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6.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2.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3.xml" ContentType="application/vnd.openxmlformats-officedocument.drawingml.chartshape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d.docs.live.net/9c2bf77b41f9f2c0/바탕 화면/Prain Global/SK bioscience/SK bioscience 4월 보고서/"/>
    </mc:Choice>
  </mc:AlternateContent>
  <xr:revisionPtr revIDLastSave="13" documentId="13_ncr:1_{639F088C-EFC9-4C45-A2F6-FDEFA27691D7}" xr6:coauthVersionLast="47" xr6:coauthVersionMax="47" xr10:uidLastSave="{E43880DF-1FA1-4CEF-AD00-4C8E3627C608}"/>
  <bookViews>
    <workbookView xWindow="-120" yWindow="-120" windowWidth="29040" windowHeight="15720" tabRatio="870" firstSheet="2" activeTab="2" xr2:uid="{518CBB76-D6BD-40D8-AA10-C64FF495B876}"/>
  </bookViews>
  <sheets>
    <sheet name="월간 HL" sheetId="1" r:id="rId1"/>
    <sheet name="일간 팔로워" sheetId="2" r:id="rId2"/>
    <sheet name="visitors" sheetId="16" r:id="rId3"/>
    <sheet name="일간 PV" sheetId="3" r:id="rId4"/>
    <sheet name="월간 지표비교" sheetId="4" r:id="rId5"/>
    <sheet name="PC PV 월별 비교" sheetId="7" r:id="rId6"/>
    <sheet name="모바일 PV 월별 비교" sheetId="6" r:id="rId7"/>
    <sheet name="contents" sheetId="8" r:id="rId8"/>
    <sheet name="contents 추가정보" sheetId="10" r:id="rId9"/>
    <sheet name="contents(daily)" sheetId="13" r:id="rId10"/>
    <sheet name="contents 장표" sheetId="9" r:id="rId11"/>
    <sheet name="사진추가" sheetId="11" r:id="rId12"/>
    <sheet name="일일 노출,참여" sheetId="12" r:id="rId13"/>
    <sheet name="일일 노출,참여(오가닉)" sheetId="23" r:id="rId14"/>
    <sheet name="지역 data" sheetId="14" r:id="rId15"/>
    <sheet name="경쟁사" sheetId="5" r:id="rId16"/>
    <sheet name="visitor demographic" sheetId="15" r:id="rId17"/>
    <sheet name="KPI" sheetId="17" r:id="rId18"/>
    <sheet name="Follower Ad data" sheetId="21" r:id="rId19"/>
    <sheet name="Follower Ad" sheetId="22" r:id="rId20"/>
  </sheets>
  <definedNames>
    <definedName name="광고데이터">'Follower Ad data'!$A$6:$CF$27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M27" i="17" l="1"/>
  <c r="L27" i="17"/>
  <c r="K27" i="17"/>
  <c r="J27" i="17"/>
  <c r="I27" i="17"/>
  <c r="L2" i="17"/>
  <c r="M2" i="17"/>
  <c r="K2" i="17"/>
  <c r="C6" i="22"/>
  <c r="C7" i="22"/>
  <c r="C8" i="22"/>
  <c r="C9" i="22"/>
  <c r="C10" i="22"/>
  <c r="C11" i="22"/>
  <c r="C12" i="22"/>
  <c r="C13" i="22"/>
  <c r="C5" i="22"/>
  <c r="B6" i="22"/>
  <c r="B7" i="22"/>
  <c r="B8" i="22"/>
  <c r="B9" i="22"/>
  <c r="B10" i="22"/>
  <c r="B11" i="22"/>
  <c r="B12" i="22"/>
  <c r="B13" i="22"/>
  <c r="B5" i="22"/>
  <c r="L30" i="5"/>
  <c r="L29" i="5"/>
  <c r="L28" i="5"/>
  <c r="L27" i="5"/>
  <c r="L26" i="5"/>
  <c r="L25" i="5"/>
  <c r="L24" i="5"/>
  <c r="L23" i="5"/>
  <c r="L22" i="5"/>
  <c r="L21" i="5"/>
  <c r="J21" i="5"/>
  <c r="J30" i="5"/>
  <c r="J29" i="5"/>
  <c r="J28" i="5"/>
  <c r="J27" i="5"/>
  <c r="J26" i="5"/>
  <c r="J25" i="5"/>
  <c r="J24" i="5"/>
  <c r="J23" i="5"/>
  <c r="J22" i="5"/>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5" i="9"/>
  <c r="G26" i="2"/>
  <c r="G28" i="2"/>
  <c r="G27" i="2"/>
  <c r="Y4" i="13" l="1"/>
  <c r="W54" i="1" s="1"/>
  <c r="J41" i="23"/>
  <c r="J42" i="23"/>
  <c r="J43" i="23"/>
  <c r="J44" i="23"/>
  <c r="J45" i="23"/>
  <c r="J46" i="23"/>
  <c r="J47" i="23"/>
  <c r="J48" i="23"/>
  <c r="J49" i="23"/>
  <c r="J50" i="23"/>
  <c r="J51" i="23"/>
  <c r="J40" i="23"/>
  <c r="J41" i="12"/>
  <c r="J42" i="12"/>
  <c r="J43" i="12"/>
  <c r="J44" i="12"/>
  <c r="J45" i="12"/>
  <c r="J46" i="12"/>
  <c r="J47" i="12"/>
  <c r="J48" i="12"/>
  <c r="J49" i="12"/>
  <c r="J50" i="12"/>
  <c r="J51" i="12"/>
  <c r="J40" i="12"/>
  <c r="J46" i="1"/>
  <c r="J45" i="1"/>
  <c r="J44" i="1"/>
  <c r="J43" i="1"/>
  <c r="J42" i="1"/>
  <c r="J41" i="1"/>
  <c r="J40" i="1"/>
  <c r="J39" i="1"/>
  <c r="J38" i="1"/>
  <c r="J37" i="1"/>
  <c r="J36" i="1"/>
  <c r="J35" i="1"/>
  <c r="J34" i="1"/>
  <c r="J33" i="1"/>
  <c r="J32" i="1"/>
  <c r="J31" i="1"/>
  <c r="B32" i="12"/>
  <c r="B31" i="12"/>
  <c r="B30" i="12"/>
  <c r="B29" i="12"/>
  <c r="B28" i="12"/>
  <c r="B27" i="12"/>
  <c r="B26" i="12"/>
  <c r="B25" i="12"/>
  <c r="B24" i="12"/>
  <c r="B23" i="12"/>
  <c r="B22" i="12"/>
  <c r="B21" i="12"/>
  <c r="B20" i="12"/>
  <c r="B19" i="12"/>
  <c r="B18" i="12"/>
  <c r="B17" i="12"/>
  <c r="B16" i="12"/>
  <c r="B15" i="12"/>
  <c r="B14" i="12"/>
  <c r="B13" i="12"/>
  <c r="B12" i="12"/>
  <c r="B11" i="12"/>
  <c r="B10" i="12"/>
  <c r="B9" i="12"/>
  <c r="B8" i="12"/>
  <c r="B7" i="12"/>
  <c r="B6" i="12"/>
  <c r="B5" i="12"/>
  <c r="B4" i="12"/>
  <c r="B3" i="12"/>
  <c r="C2" i="12"/>
  <c r="C3" i="12"/>
  <c r="C4" i="12"/>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B2" i="12"/>
  <c r="G48" i="23"/>
  <c r="H48" i="23" s="1"/>
  <c r="I48" i="23" s="1"/>
  <c r="G46" i="23"/>
  <c r="H46" i="23" s="1"/>
  <c r="I46" i="23" s="1"/>
  <c r="G42" i="23"/>
  <c r="H42" i="23" s="1"/>
  <c r="I42" i="23" s="1"/>
  <c r="D36" i="23"/>
  <c r="A36" i="23"/>
  <c r="G51" i="23" s="1"/>
  <c r="H51" i="23" s="1"/>
  <c r="I51" i="23" s="1"/>
  <c r="C32" i="23"/>
  <c r="B32" i="23"/>
  <c r="A32" i="23"/>
  <c r="C31" i="23"/>
  <c r="B31" i="23"/>
  <c r="C30" i="23"/>
  <c r="B30" i="23"/>
  <c r="C29" i="23"/>
  <c r="B29" i="23"/>
  <c r="C28" i="23"/>
  <c r="B28" i="23"/>
  <c r="C27" i="23"/>
  <c r="B27" i="23"/>
  <c r="C26" i="23"/>
  <c r="B26" i="23"/>
  <c r="C25" i="23"/>
  <c r="B25" i="23"/>
  <c r="C24" i="23"/>
  <c r="B24" i="23"/>
  <c r="C23" i="23"/>
  <c r="B23" i="23"/>
  <c r="C22" i="23"/>
  <c r="B22" i="23"/>
  <c r="C21" i="23"/>
  <c r="B21" i="23"/>
  <c r="C20" i="23"/>
  <c r="B20" i="23"/>
  <c r="C19" i="23"/>
  <c r="B19" i="23"/>
  <c r="C18" i="23"/>
  <c r="B18" i="23"/>
  <c r="C17" i="23"/>
  <c r="B17" i="23"/>
  <c r="C16" i="23"/>
  <c r="B16" i="23"/>
  <c r="C15" i="23"/>
  <c r="B15" i="23"/>
  <c r="C14" i="23"/>
  <c r="B14" i="23"/>
  <c r="C13" i="23"/>
  <c r="B13" i="23"/>
  <c r="C12" i="23"/>
  <c r="B12" i="23"/>
  <c r="C11" i="23"/>
  <c r="B11" i="23"/>
  <c r="C10" i="23"/>
  <c r="B10" i="23"/>
  <c r="C9" i="23"/>
  <c r="B9" i="23"/>
  <c r="C8" i="23"/>
  <c r="B8" i="23"/>
  <c r="C7" i="23"/>
  <c r="B7" i="23"/>
  <c r="C6" i="23"/>
  <c r="B6" i="23"/>
  <c r="C5" i="23"/>
  <c r="B5" i="23"/>
  <c r="C4" i="23"/>
  <c r="B4" i="23"/>
  <c r="C3" i="23"/>
  <c r="B3" i="23"/>
  <c r="C2" i="23"/>
  <c r="B2" i="23"/>
  <c r="J53" i="1"/>
  <c r="J52" i="1"/>
  <c r="F56" i="1"/>
  <c r="G55" i="1"/>
  <c r="F55" i="1"/>
  <c r="F54" i="1"/>
  <c r="F52" i="1"/>
  <c r="M13" i="22"/>
  <c r="M12" i="22"/>
  <c r="M11" i="22"/>
  <c r="M10" i="22"/>
  <c r="M9" i="22"/>
  <c r="M8" i="22"/>
  <c r="M7" i="22"/>
  <c r="M6" i="22"/>
  <c r="M5" i="22"/>
  <c r="J6" i="22"/>
  <c r="J7" i="22"/>
  <c r="J8" i="22"/>
  <c r="J9" i="22"/>
  <c r="J10" i="22"/>
  <c r="J11" i="22"/>
  <c r="J12" i="22"/>
  <c r="J13" i="22"/>
  <c r="J5" i="22"/>
  <c r="I6" i="22"/>
  <c r="I7" i="22"/>
  <c r="I8" i="22"/>
  <c r="I9" i="22"/>
  <c r="I10" i="22"/>
  <c r="I11" i="22"/>
  <c r="I12" i="22"/>
  <c r="I13" i="22"/>
  <c r="I5" i="22"/>
  <c r="CP7" i="21"/>
  <c r="CN7" i="21" s="1"/>
  <c r="CQ7" i="21"/>
  <c r="CO7" i="21" s="1"/>
  <c r="CP8" i="21"/>
  <c r="CN8" i="21" s="1"/>
  <c r="CQ8" i="21"/>
  <c r="CO8" i="21" s="1"/>
  <c r="CP9" i="21"/>
  <c r="CN9" i="21" s="1"/>
  <c r="CQ9" i="21"/>
  <c r="CO9" i="21" s="1"/>
  <c r="CP10" i="21"/>
  <c r="CN10" i="21" s="1"/>
  <c r="CQ10" i="21"/>
  <c r="CO10" i="21" s="1"/>
  <c r="H13" i="22"/>
  <c r="G13" i="22"/>
  <c r="F13" i="22"/>
  <c r="L13" i="22" s="1"/>
  <c r="H12" i="22"/>
  <c r="G12" i="22"/>
  <c r="F12" i="22"/>
  <c r="L12" i="22" s="1"/>
  <c r="H11" i="22"/>
  <c r="G11" i="22"/>
  <c r="F11" i="22"/>
  <c r="H10" i="22"/>
  <c r="G10" i="22"/>
  <c r="F10" i="22"/>
  <c r="H9" i="22"/>
  <c r="G9" i="22"/>
  <c r="F9" i="22"/>
  <c r="H8" i="22"/>
  <c r="G8" i="22"/>
  <c r="F8" i="22"/>
  <c r="H7" i="22"/>
  <c r="G7" i="22"/>
  <c r="F7" i="22"/>
  <c r="H6" i="22"/>
  <c r="G6" i="22"/>
  <c r="F6" i="22"/>
  <c r="L6" i="22" s="1"/>
  <c r="H5" i="22"/>
  <c r="G5" i="22"/>
  <c r="F5" i="22"/>
  <c r="K5" i="22" s="1"/>
  <c r="CQ45" i="21"/>
  <c r="CO45" i="21" s="1"/>
  <c r="CP45" i="21"/>
  <c r="CN45" i="21" s="1"/>
  <c r="CQ44" i="21"/>
  <c r="CO44" i="21" s="1"/>
  <c r="CP44" i="21"/>
  <c r="CN44" i="21" s="1"/>
  <c r="CQ43" i="21"/>
  <c r="CO43" i="21" s="1"/>
  <c r="CP43" i="21"/>
  <c r="CN43" i="21" s="1"/>
  <c r="CQ42" i="21"/>
  <c r="CO42" i="21" s="1"/>
  <c r="CP42" i="21"/>
  <c r="CN42" i="21" s="1"/>
  <c r="CQ41" i="21"/>
  <c r="CO41" i="21" s="1"/>
  <c r="CP41" i="21"/>
  <c r="CN41" i="21" s="1"/>
  <c r="CQ40" i="21"/>
  <c r="CO40" i="21" s="1"/>
  <c r="CP40" i="21"/>
  <c r="CN40" i="21" s="1"/>
  <c r="CQ39" i="21"/>
  <c r="CO39" i="21" s="1"/>
  <c r="CP39" i="21"/>
  <c r="CN39" i="21" s="1"/>
  <c r="CQ38" i="21"/>
  <c r="CO38" i="21" s="1"/>
  <c r="CP38" i="21"/>
  <c r="CN38" i="21" s="1"/>
  <c r="CQ37" i="21"/>
  <c r="CO37" i="21" s="1"/>
  <c r="CP37" i="21"/>
  <c r="CN37" i="21" s="1"/>
  <c r="CQ36" i="21"/>
  <c r="CO36" i="21" s="1"/>
  <c r="CP36" i="21"/>
  <c r="CN36" i="21" s="1"/>
  <c r="CQ35" i="21"/>
  <c r="CO35" i="21" s="1"/>
  <c r="CP35" i="21"/>
  <c r="CN35" i="21" s="1"/>
  <c r="CQ34" i="21"/>
  <c r="CO34" i="21" s="1"/>
  <c r="CP34" i="21"/>
  <c r="CN34" i="21" s="1"/>
  <c r="CQ33" i="21"/>
  <c r="CO33" i="21" s="1"/>
  <c r="CP33" i="21"/>
  <c r="CN33" i="21" s="1"/>
  <c r="CQ32" i="21"/>
  <c r="CO32" i="21" s="1"/>
  <c r="CP32" i="21"/>
  <c r="CN32" i="21" s="1"/>
  <c r="CQ31" i="21"/>
  <c r="CO31" i="21" s="1"/>
  <c r="CP31" i="21"/>
  <c r="CN31" i="21" s="1"/>
  <c r="CQ30" i="21"/>
  <c r="CO30" i="21" s="1"/>
  <c r="CP30" i="21"/>
  <c r="CN30" i="21" s="1"/>
  <c r="CQ29" i="21"/>
  <c r="CO29" i="21" s="1"/>
  <c r="CP29" i="21"/>
  <c r="CN29" i="21" s="1"/>
  <c r="CQ28" i="21"/>
  <c r="CO28" i="21" s="1"/>
  <c r="CP28" i="21"/>
  <c r="CN28" i="21" s="1"/>
  <c r="CQ27" i="21"/>
  <c r="CO27" i="21" s="1"/>
  <c r="CP27" i="21"/>
  <c r="CN27" i="21" s="1"/>
  <c r="CQ26" i="21"/>
  <c r="CO26" i="21" s="1"/>
  <c r="CP26" i="21"/>
  <c r="CN26" i="21" s="1"/>
  <c r="CQ25" i="21"/>
  <c r="CO25" i="21" s="1"/>
  <c r="CP25" i="21"/>
  <c r="CN25" i="21" s="1"/>
  <c r="CQ24" i="21"/>
  <c r="CO24" i="21" s="1"/>
  <c r="CP24" i="21"/>
  <c r="CN24" i="21" s="1"/>
  <c r="CQ23" i="21"/>
  <c r="CO23" i="21" s="1"/>
  <c r="CP23" i="21"/>
  <c r="CN23" i="21" s="1"/>
  <c r="CQ22" i="21"/>
  <c r="CO22" i="21" s="1"/>
  <c r="CP22" i="21"/>
  <c r="CN22" i="21" s="1"/>
  <c r="CQ21" i="21"/>
  <c r="CO21" i="21" s="1"/>
  <c r="CP21" i="21"/>
  <c r="CN21" i="21" s="1"/>
  <c r="CQ20" i="21"/>
  <c r="CO20" i="21" s="1"/>
  <c r="CP20" i="21"/>
  <c r="CN20" i="21" s="1"/>
  <c r="CQ19" i="21"/>
  <c r="CO19" i="21" s="1"/>
  <c r="CP19" i="21"/>
  <c r="CN19" i="21" s="1"/>
  <c r="CQ18" i="21"/>
  <c r="CO18" i="21" s="1"/>
  <c r="CP18" i="21"/>
  <c r="CN18" i="21" s="1"/>
  <c r="CQ17" i="21"/>
  <c r="CO17" i="21" s="1"/>
  <c r="CP17" i="21"/>
  <c r="CN17" i="21" s="1"/>
  <c r="CQ16" i="21"/>
  <c r="CO16" i="21" s="1"/>
  <c r="CP16" i="21"/>
  <c r="CN16" i="21" s="1"/>
  <c r="CQ15" i="21"/>
  <c r="CO15" i="21" s="1"/>
  <c r="CP15" i="21"/>
  <c r="CN15" i="21" s="1"/>
  <c r="CQ14" i="21"/>
  <c r="CO14" i="21" s="1"/>
  <c r="CP14" i="21"/>
  <c r="CN14" i="21" s="1"/>
  <c r="CQ13" i="21"/>
  <c r="CO13" i="21" s="1"/>
  <c r="CP13" i="21"/>
  <c r="CN13" i="21" s="1"/>
  <c r="CQ12" i="21"/>
  <c r="CO12" i="21" s="1"/>
  <c r="CP12" i="21"/>
  <c r="CN12" i="21" s="1"/>
  <c r="CQ11" i="21"/>
  <c r="CO11" i="21" s="1"/>
  <c r="CP11" i="21"/>
  <c r="CN11" i="21" s="1"/>
  <c r="L11" i="22" l="1"/>
  <c r="L10" i="22"/>
  <c r="G44" i="23"/>
  <c r="H44" i="23" s="1"/>
  <c r="I44" i="23" s="1"/>
  <c r="G40" i="23"/>
  <c r="H40" i="23" s="1"/>
  <c r="B36" i="23"/>
  <c r="W52" i="1" s="1"/>
  <c r="G50" i="23"/>
  <c r="H50" i="23" s="1"/>
  <c r="I50" i="23" s="1"/>
  <c r="C36" i="23"/>
  <c r="E25" i="23" s="1"/>
  <c r="I40" i="23"/>
  <c r="G41" i="23"/>
  <c r="H41" i="23" s="1"/>
  <c r="I41" i="23" s="1"/>
  <c r="G43" i="23"/>
  <c r="H43" i="23" s="1"/>
  <c r="I43" i="23" s="1"/>
  <c r="G45" i="23"/>
  <c r="H45" i="23" s="1"/>
  <c r="I45" i="23" s="1"/>
  <c r="G47" i="23"/>
  <c r="H47" i="23" s="1"/>
  <c r="I47" i="23" s="1"/>
  <c r="G49" i="23"/>
  <c r="H49" i="23" s="1"/>
  <c r="I49" i="23" s="1"/>
  <c r="K9" i="22"/>
  <c r="K13" i="22"/>
  <c r="M14" i="22"/>
  <c r="K6" i="22"/>
  <c r="K7" i="22"/>
  <c r="L5" i="22"/>
  <c r="K8" i="22"/>
  <c r="L9" i="22"/>
  <c r="L8" i="22"/>
  <c r="K12" i="22"/>
  <c r="L7" i="22"/>
  <c r="K11" i="22"/>
  <c r="K10" i="22"/>
  <c r="H14" i="22"/>
  <c r="I14" i="22"/>
  <c r="F14" i="22"/>
  <c r="G14" i="22"/>
  <c r="W53" i="1" l="1"/>
  <c r="R4" i="22"/>
  <c r="S4" i="22"/>
  <c r="E23" i="23"/>
  <c r="E24" i="23"/>
  <c r="P4" i="22"/>
  <c r="Q4" i="22"/>
  <c r="E17" i="22" s="1"/>
  <c r="J14" i="22"/>
  <c r="L14" i="22"/>
  <c r="K14" i="22"/>
  <c r="A36" i="12" l="1"/>
  <c r="I19" i="17" l="1"/>
  <c r="P34" i="17"/>
  <c r="A32" i="12" l="1"/>
  <c r="B36" i="12" l="1"/>
  <c r="U52" i="1" s="1"/>
  <c r="C36" i="12"/>
  <c r="U53" i="1" s="1"/>
  <c r="B23" i="5" l="1"/>
  <c r="B24" i="5"/>
  <c r="B25" i="5"/>
  <c r="B26" i="5"/>
  <c r="B27" i="5"/>
  <c r="B28" i="5"/>
  <c r="B29" i="5"/>
  <c r="B30" i="5"/>
  <c r="B22" i="5"/>
  <c r="B21" i="5"/>
  <c r="C38" i="5"/>
  <c r="U3" i="13"/>
  <c r="U4" i="13"/>
  <c r="U5" i="13"/>
  <c r="U6" i="13"/>
  <c r="U7" i="13"/>
  <c r="U8" i="13"/>
  <c r="U9" i="13"/>
  <c r="U10" i="13"/>
  <c r="U11" i="13"/>
  <c r="U12" i="13"/>
  <c r="U13" i="13"/>
  <c r="U14" i="13"/>
  <c r="U15" i="13"/>
  <c r="U16" i="13"/>
  <c r="U17" i="13"/>
  <c r="U18" i="13"/>
  <c r="U19" i="13"/>
  <c r="U20" i="13"/>
  <c r="U21" i="13"/>
  <c r="U22" i="13"/>
  <c r="U23" i="13"/>
  <c r="U24" i="13"/>
  <c r="U25" i="13"/>
  <c r="U26" i="13"/>
  <c r="U27" i="13"/>
  <c r="U28" i="13"/>
  <c r="U29" i="13"/>
  <c r="U30" i="13"/>
  <c r="U31" i="13"/>
  <c r="U32" i="13"/>
  <c r="U2" i="13"/>
  <c r="A21" i="23" l="1"/>
  <c r="A21" i="12"/>
  <c r="A31" i="23"/>
  <c r="A31" i="12"/>
  <c r="A30" i="23"/>
  <c r="A30" i="12"/>
  <c r="A29" i="23"/>
  <c r="A29" i="12"/>
  <c r="A13" i="23"/>
  <c r="A13" i="12"/>
  <c r="A5" i="23"/>
  <c r="A5" i="12"/>
  <c r="A28" i="23"/>
  <c r="A28" i="12"/>
  <c r="A20" i="23"/>
  <c r="A20" i="12"/>
  <c r="A12" i="23"/>
  <c r="A12" i="12"/>
  <c r="A4" i="23"/>
  <c r="A4" i="12"/>
  <c r="A7" i="23"/>
  <c r="A7" i="12"/>
  <c r="A6" i="23"/>
  <c r="A6" i="12"/>
  <c r="A19" i="23"/>
  <c r="A19" i="12"/>
  <c r="A26" i="23"/>
  <c r="A26" i="12"/>
  <c r="A10" i="23"/>
  <c r="A10" i="12"/>
  <c r="A15" i="23"/>
  <c r="A15" i="12"/>
  <c r="A14" i="23"/>
  <c r="A14" i="12"/>
  <c r="A3" i="23"/>
  <c r="A3" i="12"/>
  <c r="A18" i="23"/>
  <c r="A18" i="12"/>
  <c r="A25" i="23"/>
  <c r="A25" i="12"/>
  <c r="A17" i="23"/>
  <c r="A17" i="12"/>
  <c r="A9" i="23"/>
  <c r="A9" i="12"/>
  <c r="A23" i="23"/>
  <c r="A23" i="12"/>
  <c r="A22" i="23"/>
  <c r="A22" i="12"/>
  <c r="A27" i="23"/>
  <c r="A27" i="12"/>
  <c r="A11" i="23"/>
  <c r="A11" i="12"/>
  <c r="A2" i="23"/>
  <c r="A2" i="12"/>
  <c r="A24" i="23"/>
  <c r="A24" i="12"/>
  <c r="A16" i="23"/>
  <c r="A16" i="12"/>
  <c r="A8" i="23"/>
  <c r="A8" i="12"/>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4" i="3"/>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4" i="2"/>
  <c r="J1" i="2" s="1"/>
  <c r="Y2" i="13"/>
  <c r="U54" i="1" s="1"/>
  <c r="J3" i="1"/>
  <c r="I3" i="1"/>
  <c r="AF3" i="8"/>
  <c r="AF4" i="8"/>
  <c r="AF5" i="8"/>
  <c r="AF6" i="8"/>
  <c r="AF7" i="8"/>
  <c r="AF8" i="8"/>
  <c r="AF9" i="8"/>
  <c r="AF10" i="8"/>
  <c r="AF11" i="8"/>
  <c r="AF12" i="8"/>
  <c r="AF13" i="8"/>
  <c r="AF14" i="8"/>
  <c r="AF15" i="8"/>
  <c r="AF16" i="8"/>
  <c r="AF17" i="8"/>
  <c r="AF18" i="8"/>
  <c r="AF19" i="8"/>
  <c r="AF20" i="8"/>
  <c r="AF21" i="8"/>
  <c r="AF22" i="8"/>
  <c r="AF23" i="8"/>
  <c r="AF24" i="8"/>
  <c r="AF25" i="8"/>
  <c r="AF26" i="8"/>
  <c r="AF27" i="8"/>
  <c r="AF28" i="8"/>
  <c r="AF29" i="8"/>
  <c r="AF30" i="8"/>
  <c r="AF31" i="8"/>
  <c r="AF32" i="8"/>
  <c r="AF33" i="8"/>
  <c r="AF34" i="8"/>
  <c r="AF35" i="8"/>
  <c r="AF36" i="8"/>
  <c r="AF37" i="8"/>
  <c r="AF38" i="8"/>
  <c r="AF39" i="8"/>
  <c r="AF40" i="8"/>
  <c r="AF41" i="8"/>
  <c r="AF42" i="8"/>
  <c r="AF43" i="8"/>
  <c r="AF44" i="8"/>
  <c r="AF45" i="8"/>
  <c r="AF46" i="8"/>
  <c r="AF47" i="8"/>
  <c r="AF48" i="8"/>
  <c r="AF49" i="8"/>
  <c r="AF50" i="8"/>
  <c r="AF51" i="8"/>
  <c r="AF52" i="8"/>
  <c r="AF53" i="8"/>
  <c r="AF54" i="8"/>
  <c r="AF55" i="8"/>
  <c r="AF56" i="8"/>
  <c r="AF57" i="8"/>
  <c r="AF58" i="8"/>
  <c r="AF59" i="8"/>
  <c r="AF60" i="8"/>
  <c r="AF61" i="8"/>
  <c r="AF62" i="8"/>
  <c r="AF63" i="8"/>
  <c r="AF64" i="8"/>
  <c r="AF65" i="8"/>
  <c r="AF66" i="8"/>
  <c r="AF67" i="8"/>
  <c r="AF68" i="8"/>
  <c r="AF69" i="8"/>
  <c r="AF70" i="8"/>
  <c r="AF71" i="8"/>
  <c r="AF72" i="8"/>
  <c r="AF73" i="8"/>
  <c r="AF74" i="8"/>
  <c r="AF75" i="8"/>
  <c r="AF2" i="8"/>
  <c r="AE3" i="8"/>
  <c r="AE4" i="8"/>
  <c r="AE5" i="8"/>
  <c r="AE6" i="8"/>
  <c r="AE7" i="8"/>
  <c r="AE8" i="8"/>
  <c r="AE9" i="8"/>
  <c r="AE10" i="8"/>
  <c r="AE11" i="8"/>
  <c r="AE12" i="8"/>
  <c r="AE13" i="8"/>
  <c r="AE14" i="8"/>
  <c r="AE15" i="8"/>
  <c r="AE16" i="8"/>
  <c r="AE17" i="8"/>
  <c r="AE18" i="8"/>
  <c r="AE19" i="8"/>
  <c r="AE20" i="8"/>
  <c r="AE21" i="8"/>
  <c r="AE22" i="8"/>
  <c r="AE23" i="8"/>
  <c r="AE24" i="8"/>
  <c r="AE25" i="8"/>
  <c r="AE26" i="8"/>
  <c r="AE27" i="8"/>
  <c r="AE28" i="8"/>
  <c r="AE29" i="8"/>
  <c r="AE30" i="8"/>
  <c r="AE31" i="8"/>
  <c r="AE32" i="8"/>
  <c r="AE33" i="8"/>
  <c r="AE34" i="8"/>
  <c r="AE35" i="8"/>
  <c r="AE36" i="8"/>
  <c r="AE37" i="8"/>
  <c r="AE38" i="8"/>
  <c r="AE39" i="8"/>
  <c r="AE40" i="8"/>
  <c r="AE41" i="8"/>
  <c r="AE42" i="8"/>
  <c r="AE43" i="8"/>
  <c r="AE44" i="8"/>
  <c r="AE45" i="8"/>
  <c r="AE46" i="8"/>
  <c r="AE47" i="8"/>
  <c r="AE48" i="8"/>
  <c r="AE49" i="8"/>
  <c r="AE50" i="8"/>
  <c r="AE51" i="8"/>
  <c r="AE52" i="8"/>
  <c r="AE53" i="8"/>
  <c r="AE54" i="8"/>
  <c r="AE55" i="8"/>
  <c r="AE56" i="8"/>
  <c r="AE57" i="8"/>
  <c r="AE58" i="8"/>
  <c r="AE59" i="8"/>
  <c r="AE60" i="8"/>
  <c r="AE61" i="8"/>
  <c r="AE62" i="8"/>
  <c r="AE63" i="8"/>
  <c r="AE64" i="8"/>
  <c r="AE65" i="8"/>
  <c r="AE66" i="8"/>
  <c r="AE67" i="8"/>
  <c r="AE68" i="8"/>
  <c r="AE69" i="8"/>
  <c r="AE70" i="8"/>
  <c r="AE71" i="8"/>
  <c r="AE72" i="8"/>
  <c r="AE73" i="8"/>
  <c r="AE74" i="8"/>
  <c r="AE75" i="8"/>
  <c r="AE2" i="8"/>
  <c r="G50" i="12" l="1"/>
  <c r="G40" i="12"/>
  <c r="G48" i="12"/>
  <c r="G41" i="12"/>
  <c r="G42" i="12"/>
  <c r="N22" i="14"/>
  <c r="N4" i="14"/>
  <c r="AD3" i="8"/>
  <c r="AD4" i="8"/>
  <c r="AD5" i="8"/>
  <c r="AD6" i="8"/>
  <c r="AD7" i="8"/>
  <c r="AD8" i="8"/>
  <c r="AD9" i="8"/>
  <c r="AD10" i="8"/>
  <c r="AD11" i="8"/>
  <c r="AD12" i="8"/>
  <c r="AD13" i="8"/>
  <c r="AD14" i="8"/>
  <c r="AD15" i="8"/>
  <c r="AD16" i="8"/>
  <c r="AD17" i="8"/>
  <c r="AD18" i="8"/>
  <c r="AD19" i="8"/>
  <c r="AD20" i="8"/>
  <c r="AD21" i="8"/>
  <c r="AD22" i="8"/>
  <c r="AD23" i="8"/>
  <c r="AD24" i="8"/>
  <c r="AD25" i="8"/>
  <c r="AD26" i="8"/>
  <c r="AD27" i="8"/>
  <c r="AD28" i="8"/>
  <c r="AD29" i="8"/>
  <c r="AD30" i="8"/>
  <c r="AD31" i="8"/>
  <c r="AD32" i="8"/>
  <c r="AD33" i="8"/>
  <c r="AD34" i="8"/>
  <c r="AD35" i="8"/>
  <c r="AD36" i="8"/>
  <c r="AD37" i="8"/>
  <c r="AD38" i="8"/>
  <c r="AD39" i="8"/>
  <c r="AD40" i="8"/>
  <c r="AD41" i="8"/>
  <c r="AD42" i="8"/>
  <c r="AD43" i="8"/>
  <c r="AD44" i="8"/>
  <c r="AD45" i="8"/>
  <c r="AD46" i="8"/>
  <c r="AD47" i="8"/>
  <c r="AD48" i="8"/>
  <c r="AD49" i="8"/>
  <c r="AD50" i="8"/>
  <c r="AD51" i="8"/>
  <c r="AD52" i="8"/>
  <c r="AD53" i="8"/>
  <c r="AD54" i="8"/>
  <c r="AD55" i="8"/>
  <c r="AD56" i="8"/>
  <c r="AD57" i="8"/>
  <c r="AD58" i="8"/>
  <c r="AD59" i="8"/>
  <c r="AD60" i="8"/>
  <c r="AD61" i="8"/>
  <c r="AD62" i="8"/>
  <c r="AD63" i="8"/>
  <c r="AD64" i="8"/>
  <c r="AD65" i="8"/>
  <c r="AD66" i="8"/>
  <c r="AD67" i="8"/>
  <c r="AD68" i="8"/>
  <c r="AD69" i="8"/>
  <c r="AD70" i="8"/>
  <c r="AD71" i="8"/>
  <c r="AD72" i="8"/>
  <c r="AD73" i="8"/>
  <c r="AD74" i="8"/>
  <c r="AD75" i="8"/>
  <c r="AD2" i="8"/>
  <c r="I16" i="17"/>
  <c r="J2" i="17"/>
  <c r="I2" i="17"/>
  <c r="H2" i="17"/>
  <c r="M4" i="4"/>
  <c r="I4" i="4"/>
  <c r="O5" i="6"/>
  <c r="O6" i="6" s="1"/>
  <c r="O7" i="6" s="1"/>
  <c r="O8" i="6" s="1"/>
  <c r="O9" i="6" s="1"/>
  <c r="O10" i="6" s="1"/>
  <c r="O11" i="6" s="1"/>
  <c r="O12" i="6" s="1"/>
  <c r="O13" i="6" s="1"/>
  <c r="O14" i="6" s="1"/>
  <c r="O15" i="6" s="1"/>
  <c r="O16" i="6" s="1"/>
  <c r="O17" i="6" s="1"/>
  <c r="O18" i="6" s="1"/>
  <c r="O19" i="6" s="1"/>
  <c r="O20" i="6" s="1"/>
  <c r="O21" i="6" s="1"/>
  <c r="O22" i="6" s="1"/>
  <c r="O23" i="6" s="1"/>
  <c r="O24" i="6" s="1"/>
  <c r="O25" i="6" s="1"/>
  <c r="O26" i="6" s="1"/>
  <c r="O27" i="6" s="1"/>
  <c r="O28" i="6" s="1"/>
  <c r="O29" i="6" s="1"/>
  <c r="O30" i="6" s="1"/>
  <c r="O31" i="6" s="1"/>
  <c r="O32" i="6" s="1"/>
  <c r="O33" i="6" s="1"/>
  <c r="O34" i="6" s="1"/>
  <c r="O35" i="6" s="1"/>
  <c r="O36" i="6" s="1"/>
  <c r="O37" i="6" s="1"/>
  <c r="O38" i="6" s="1"/>
  <c r="O39" i="6" s="1"/>
  <c r="O40" i="6" s="1"/>
  <c r="O41" i="6" s="1"/>
  <c r="N5" i="6"/>
  <c r="N6" i="6" s="1"/>
  <c r="N7" i="6" s="1"/>
  <c r="N8" i="6" s="1"/>
  <c r="N9" i="6" s="1"/>
  <c r="N10" i="6" s="1"/>
  <c r="N11" i="6" s="1"/>
  <c r="N12" i="6" s="1"/>
  <c r="N13" i="6" s="1"/>
  <c r="N14" i="6" s="1"/>
  <c r="N15" i="6" s="1"/>
  <c r="N16" i="6" s="1"/>
  <c r="N17" i="6" s="1"/>
  <c r="N18" i="6" s="1"/>
  <c r="N19" i="6" s="1"/>
  <c r="N20" i="6" s="1"/>
  <c r="N21" i="6" s="1"/>
  <c r="N22" i="6" s="1"/>
  <c r="N23" i="6" s="1"/>
  <c r="N24" i="6" s="1"/>
  <c r="N25" i="6" s="1"/>
  <c r="N26" i="6" s="1"/>
  <c r="N27" i="6" s="1"/>
  <c r="N28" i="6" s="1"/>
  <c r="N29" i="6" s="1"/>
  <c r="N30" i="6" s="1"/>
  <c r="N31" i="6" s="1"/>
  <c r="N32" i="6" s="1"/>
  <c r="N33" i="6" s="1"/>
  <c r="N34" i="6" s="1"/>
  <c r="N35" i="6" s="1"/>
  <c r="N36" i="6" s="1"/>
  <c r="N37" i="6" s="1"/>
  <c r="N38" i="6" s="1"/>
  <c r="N39" i="6" s="1"/>
  <c r="N40" i="6" s="1"/>
  <c r="N41" i="6" s="1"/>
  <c r="P41" i="6" s="1"/>
  <c r="O5" i="7"/>
  <c r="O6" i="7" s="1"/>
  <c r="O7" i="7" s="1"/>
  <c r="O8" i="7" s="1"/>
  <c r="O9" i="7" s="1"/>
  <c r="O10" i="7" s="1"/>
  <c r="O11" i="7" s="1"/>
  <c r="O12" i="7" s="1"/>
  <c r="O13" i="7" s="1"/>
  <c r="O14" i="7" s="1"/>
  <c r="O15" i="7" s="1"/>
  <c r="O16" i="7" s="1"/>
  <c r="O17" i="7" s="1"/>
  <c r="O18" i="7" s="1"/>
  <c r="O19" i="7" s="1"/>
  <c r="O20" i="7" s="1"/>
  <c r="O21" i="7" s="1"/>
  <c r="O22" i="7" s="1"/>
  <c r="O23" i="7" s="1"/>
  <c r="O24" i="7" s="1"/>
  <c r="O25" i="7" s="1"/>
  <c r="O26" i="7" s="1"/>
  <c r="O27" i="7" s="1"/>
  <c r="O28" i="7" s="1"/>
  <c r="O29" i="7" s="1"/>
  <c r="O30" i="7" s="1"/>
  <c r="O31" i="7" s="1"/>
  <c r="O32" i="7" s="1"/>
  <c r="O33" i="7" s="1"/>
  <c r="O34" i="7" s="1"/>
  <c r="O35" i="7" s="1"/>
  <c r="O36" i="7" s="1"/>
  <c r="O37" i="7" s="1"/>
  <c r="O38" i="7" s="1"/>
  <c r="O39" i="7" s="1"/>
  <c r="O40" i="7" s="1"/>
  <c r="O41" i="7" s="1"/>
  <c r="N5" i="7"/>
  <c r="N6" i="7" s="1"/>
  <c r="C34" i="3"/>
  <c r="C33" i="3"/>
  <c r="C32" i="3"/>
  <c r="C31" i="3"/>
  <c r="C30" i="3"/>
  <c r="C29" i="3"/>
  <c r="C28" i="3"/>
  <c r="C27" i="3"/>
  <c r="C26" i="3"/>
  <c r="C25" i="3"/>
  <c r="C24" i="3"/>
  <c r="C23" i="3"/>
  <c r="C22" i="3"/>
  <c r="C21" i="3"/>
  <c r="C20" i="3"/>
  <c r="C19" i="3"/>
  <c r="C18" i="3"/>
  <c r="C17" i="3"/>
  <c r="C16" i="3"/>
  <c r="C15" i="3"/>
  <c r="C14" i="3"/>
  <c r="C13" i="3"/>
  <c r="C12" i="3"/>
  <c r="C11" i="3"/>
  <c r="C10" i="3"/>
  <c r="C9" i="3"/>
  <c r="C8" i="3"/>
  <c r="C7" i="3"/>
  <c r="C6" i="3"/>
  <c r="C5" i="3"/>
  <c r="C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 i="3"/>
  <c r="A1" i="2"/>
  <c r="H3" i="1"/>
  <c r="I29" i="17"/>
  <c r="J29" i="17"/>
  <c r="K29" i="17"/>
  <c r="L29" i="17"/>
  <c r="M29" i="17"/>
  <c r="I30" i="17"/>
  <c r="J30" i="17"/>
  <c r="K30" i="17"/>
  <c r="L30" i="17"/>
  <c r="M30" i="17"/>
  <c r="I31" i="17"/>
  <c r="J31" i="17"/>
  <c r="K31" i="17"/>
  <c r="L31" i="17"/>
  <c r="M31" i="17"/>
  <c r="I32" i="17"/>
  <c r="J32" i="17"/>
  <c r="K32" i="17"/>
  <c r="L32" i="17"/>
  <c r="M32" i="17"/>
  <c r="J28" i="17"/>
  <c r="K28" i="17"/>
  <c r="L28" i="17"/>
  <c r="M28" i="17"/>
  <c r="I28" i="17"/>
  <c r="G46" i="12" l="1"/>
  <c r="G45" i="12"/>
  <c r="G43" i="12"/>
  <c r="K4" i="4"/>
  <c r="J4" i="4"/>
  <c r="L4" i="4"/>
  <c r="G44" i="12"/>
  <c r="G49" i="12"/>
  <c r="H49" i="12" s="1"/>
  <c r="I49" i="12" s="1"/>
  <c r="G47" i="12"/>
  <c r="G51" i="12"/>
  <c r="H51" i="12" s="1"/>
  <c r="I51" i="12" s="1"/>
  <c r="P6" i="7"/>
  <c r="N7" i="7"/>
  <c r="P5" i="7"/>
  <c r="P33" i="6"/>
  <c r="P5" i="6"/>
  <c r="P34" i="6"/>
  <c r="P26" i="6"/>
  <c r="P18" i="6"/>
  <c r="P10" i="6"/>
  <c r="P40" i="6"/>
  <c r="P24" i="6"/>
  <c r="P8" i="6"/>
  <c r="P23" i="6"/>
  <c r="P25" i="6"/>
  <c r="P17" i="6"/>
  <c r="P9" i="6"/>
  <c r="P32" i="6"/>
  <c r="P16" i="6"/>
  <c r="P39" i="6"/>
  <c r="P31" i="6"/>
  <c r="P15" i="6"/>
  <c r="P7" i="6"/>
  <c r="P38" i="6"/>
  <c r="P30" i="6"/>
  <c r="P22" i="6"/>
  <c r="P14" i="6"/>
  <c r="P6" i="6"/>
  <c r="P37" i="6"/>
  <c r="P29" i="6"/>
  <c r="P21" i="6"/>
  <c r="P13" i="6"/>
  <c r="P36" i="6"/>
  <c r="P28" i="6"/>
  <c r="P20" i="6"/>
  <c r="P12" i="6"/>
  <c r="P35" i="6"/>
  <c r="P27" i="6"/>
  <c r="P19" i="6"/>
  <c r="P11" i="6"/>
  <c r="H50" i="12"/>
  <c r="I50" i="12" s="1"/>
  <c r="J2" i="2"/>
  <c r="J2" i="5"/>
  <c r="K21" i="5"/>
  <c r="E23" i="5"/>
  <c r="E24" i="5"/>
  <c r="E25" i="5"/>
  <c r="E26" i="5"/>
  <c r="E27" i="5"/>
  <c r="E28" i="5"/>
  <c r="E29" i="5"/>
  <c r="E30" i="5"/>
  <c r="E22" i="5"/>
  <c r="C40" i="5"/>
  <c r="C41" i="5"/>
  <c r="C42" i="5"/>
  <c r="C43" i="5"/>
  <c r="C44" i="5"/>
  <c r="C45" i="5"/>
  <c r="C46" i="5"/>
  <c r="C47" i="5"/>
  <c r="C39" i="5"/>
  <c r="F4" i="5"/>
  <c r="F5" i="5"/>
  <c r="F6" i="5"/>
  <c r="F7" i="5"/>
  <c r="F8" i="5"/>
  <c r="F9" i="5"/>
  <c r="F10" i="5"/>
  <c r="F11" i="5"/>
  <c r="F3" i="5"/>
  <c r="C288" i="15"/>
  <c r="C287" i="15"/>
  <c r="C286" i="15"/>
  <c r="C285" i="15"/>
  <c r="C284" i="15"/>
  <c r="C283" i="15"/>
  <c r="C282" i="15"/>
  <c r="C281" i="15"/>
  <c r="C280" i="15"/>
  <c r="C279" i="15"/>
  <c r="C278" i="15"/>
  <c r="C277" i="15"/>
  <c r="C276" i="15"/>
  <c r="C275" i="15"/>
  <c r="C274" i="15"/>
  <c r="C273" i="15"/>
  <c r="C272" i="15"/>
  <c r="C271" i="15"/>
  <c r="C270" i="15"/>
  <c r="C269" i="15"/>
  <c r="C268" i="15"/>
  <c r="C267" i="15"/>
  <c r="C266" i="15"/>
  <c r="C265" i="15"/>
  <c r="C264" i="15"/>
  <c r="C263" i="15"/>
  <c r="C262" i="15"/>
  <c r="C261" i="15"/>
  <c r="C260" i="15"/>
  <c r="C259" i="15"/>
  <c r="C258" i="15"/>
  <c r="C257" i="15"/>
  <c r="C256" i="15"/>
  <c r="C255" i="15"/>
  <c r="C254" i="15"/>
  <c r="C253" i="15"/>
  <c r="C252" i="15"/>
  <c r="C251" i="15"/>
  <c r="C250" i="15"/>
  <c r="C249" i="15"/>
  <c r="C248" i="15"/>
  <c r="C247" i="15"/>
  <c r="C246" i="15"/>
  <c r="C245" i="15"/>
  <c r="C244" i="15"/>
  <c r="C243" i="15"/>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149" i="15"/>
  <c r="C148" i="15"/>
  <c r="C147" i="15"/>
  <c r="C146" i="15"/>
  <c r="C145" i="15"/>
  <c r="C144" i="15"/>
  <c r="C143" i="15"/>
  <c r="C142" i="15"/>
  <c r="C141" i="15"/>
  <c r="C140" i="15"/>
  <c r="C139" i="15"/>
  <c r="C138" i="15"/>
  <c r="C137" i="15"/>
  <c r="C136" i="15"/>
  <c r="C135" i="15"/>
  <c r="C134" i="15"/>
  <c r="C133" i="15"/>
  <c r="C132"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G39" i="15"/>
  <c r="C39" i="15"/>
  <c r="G38" i="15"/>
  <c r="C38" i="15"/>
  <c r="G37" i="15"/>
  <c r="C37" i="15"/>
  <c r="G36" i="15"/>
  <c r="C36" i="15"/>
  <c r="G35" i="15"/>
  <c r="C35" i="15"/>
  <c r="G34" i="15"/>
  <c r="C34" i="15"/>
  <c r="G33" i="15"/>
  <c r="C33" i="15"/>
  <c r="G32" i="15"/>
  <c r="C32" i="15"/>
  <c r="G31" i="15"/>
  <c r="C31" i="15"/>
  <c r="G30" i="15"/>
  <c r="C30" i="15"/>
  <c r="G29" i="15"/>
  <c r="C29" i="15"/>
  <c r="G28" i="15"/>
  <c r="C28" i="15"/>
  <c r="G27" i="15"/>
  <c r="C27" i="15"/>
  <c r="G26" i="15"/>
  <c r="C26" i="15"/>
  <c r="G25" i="15"/>
  <c r="C25" i="15"/>
  <c r="G24" i="15"/>
  <c r="C24" i="15"/>
  <c r="G23" i="15"/>
  <c r="C23" i="15"/>
  <c r="G22" i="15"/>
  <c r="C22" i="15"/>
  <c r="G21" i="15"/>
  <c r="C21" i="15"/>
  <c r="G20" i="15"/>
  <c r="C20" i="15"/>
  <c r="G19" i="15"/>
  <c r="C19" i="15"/>
  <c r="G18" i="15"/>
  <c r="C18" i="15"/>
  <c r="G17" i="15"/>
  <c r="C17" i="15"/>
  <c r="G16" i="15"/>
  <c r="C16" i="15"/>
  <c r="G15" i="15"/>
  <c r="C15" i="15"/>
  <c r="G14" i="15"/>
  <c r="C14" i="15"/>
  <c r="G13" i="15"/>
  <c r="C13" i="15"/>
  <c r="G12" i="15"/>
  <c r="C12" i="15"/>
  <c r="G11" i="15"/>
  <c r="C11" i="15"/>
  <c r="G10" i="15"/>
  <c r="C10" i="15"/>
  <c r="G9" i="15"/>
  <c r="C9" i="15"/>
  <c r="G8" i="15"/>
  <c r="C8" i="15"/>
  <c r="G7" i="15"/>
  <c r="C7" i="15"/>
  <c r="G6" i="15"/>
  <c r="C6" i="15"/>
  <c r="G5" i="15"/>
  <c r="C5" i="15"/>
  <c r="D500" i="14" a="1"/>
  <c r="D500" i="14" s="1"/>
  <c r="C500" i="14" a="1"/>
  <c r="C500" i="14" s="1"/>
  <c r="D499" i="14" a="1"/>
  <c r="D499" i="14" s="1"/>
  <c r="C499" i="14"/>
  <c r="C499" i="14" a="1"/>
  <c r="D498" i="14"/>
  <c r="D498" i="14" a="1"/>
  <c r="C498" i="14"/>
  <c r="C498" i="14" a="1"/>
  <c r="D497" i="14" a="1"/>
  <c r="D497" i="14" s="1"/>
  <c r="C497" i="14"/>
  <c r="C497" i="14" a="1"/>
  <c r="D496" i="14"/>
  <c r="D496" i="14" a="1"/>
  <c r="C496" i="14"/>
  <c r="C496" i="14" a="1"/>
  <c r="D495" i="14" a="1"/>
  <c r="D495" i="14" s="1"/>
  <c r="C495" i="14"/>
  <c r="C495" i="14" a="1"/>
  <c r="D494" i="14"/>
  <c r="D494" i="14" a="1"/>
  <c r="C494" i="14"/>
  <c r="C494" i="14" a="1"/>
  <c r="D493" i="14" a="1"/>
  <c r="D493" i="14" s="1"/>
  <c r="C493" i="14"/>
  <c r="C493" i="14" a="1"/>
  <c r="D492" i="14"/>
  <c r="D492" i="14" a="1"/>
  <c r="C492" i="14"/>
  <c r="C492" i="14" a="1"/>
  <c r="D491" i="14" a="1"/>
  <c r="D491" i="14" s="1"/>
  <c r="C491" i="14"/>
  <c r="C491" i="14" a="1"/>
  <c r="D490" i="14"/>
  <c r="D490" i="14" a="1"/>
  <c r="C490" i="14"/>
  <c r="C490" i="14" a="1"/>
  <c r="D489" i="14" a="1"/>
  <c r="D489" i="14" s="1"/>
  <c r="C489" i="14"/>
  <c r="C489" i="14" a="1"/>
  <c r="D488" i="14"/>
  <c r="D488" i="14" a="1"/>
  <c r="C488" i="14"/>
  <c r="C488" i="14" a="1"/>
  <c r="D487" i="14" a="1"/>
  <c r="D487" i="14" s="1"/>
  <c r="C487" i="14"/>
  <c r="C487" i="14" a="1"/>
  <c r="D486" i="14"/>
  <c r="D486" i="14" a="1"/>
  <c r="C486" i="14"/>
  <c r="C486" i="14" a="1"/>
  <c r="D485" i="14" a="1"/>
  <c r="D485" i="14" s="1"/>
  <c r="C485" i="14"/>
  <c r="C485" i="14" a="1"/>
  <c r="D484" i="14"/>
  <c r="D484" i="14" a="1"/>
  <c r="C484" i="14"/>
  <c r="C484" i="14" a="1"/>
  <c r="D483" i="14" a="1"/>
  <c r="D483" i="14" s="1"/>
  <c r="C483" i="14"/>
  <c r="C483" i="14" a="1"/>
  <c r="D482" i="14"/>
  <c r="D482" i="14" a="1"/>
  <c r="C482" i="14"/>
  <c r="C482" i="14" a="1"/>
  <c r="D481" i="14" a="1"/>
  <c r="D481" i="14" s="1"/>
  <c r="C481" i="14"/>
  <c r="C481" i="14" a="1"/>
  <c r="D480" i="14"/>
  <c r="D480" i="14" a="1"/>
  <c r="C480" i="14"/>
  <c r="C480" i="14" a="1"/>
  <c r="D479" i="14" a="1"/>
  <c r="D479" i="14" s="1"/>
  <c r="C479" i="14"/>
  <c r="C479" i="14" a="1"/>
  <c r="D478" i="14"/>
  <c r="D478" i="14" a="1"/>
  <c r="C478" i="14"/>
  <c r="C478" i="14" a="1"/>
  <c r="D477" i="14" a="1"/>
  <c r="D477" i="14" s="1"/>
  <c r="C477" i="14"/>
  <c r="C477" i="14" a="1"/>
  <c r="D476" i="14"/>
  <c r="D476" i="14" a="1"/>
  <c r="C476" i="14"/>
  <c r="C476" i="14" a="1"/>
  <c r="D475" i="14" a="1"/>
  <c r="D475" i="14" s="1"/>
  <c r="C475" i="14"/>
  <c r="C475" i="14" a="1"/>
  <c r="D474" i="14"/>
  <c r="D474" i="14" a="1"/>
  <c r="C474" i="14"/>
  <c r="C474" i="14" a="1"/>
  <c r="D473" i="14" a="1"/>
  <c r="D473" i="14" s="1"/>
  <c r="C473" i="14"/>
  <c r="C473" i="14" a="1"/>
  <c r="D472" i="14"/>
  <c r="D472" i="14" a="1"/>
  <c r="C472" i="14"/>
  <c r="C472" i="14" a="1"/>
  <c r="D471" i="14" a="1"/>
  <c r="D471" i="14" s="1"/>
  <c r="C471" i="14"/>
  <c r="C471" i="14" a="1"/>
  <c r="D470" i="14"/>
  <c r="D470" i="14" a="1"/>
  <c r="C470" i="14"/>
  <c r="C470" i="14" a="1"/>
  <c r="D469" i="14" a="1"/>
  <c r="D469" i="14" s="1"/>
  <c r="C469" i="14"/>
  <c r="C469" i="14" a="1"/>
  <c r="D468" i="14"/>
  <c r="D468" i="14" a="1"/>
  <c r="C468" i="14"/>
  <c r="C468" i="14" a="1"/>
  <c r="D467" i="14" a="1"/>
  <c r="D467" i="14" s="1"/>
  <c r="C467" i="14"/>
  <c r="C467" i="14" a="1"/>
  <c r="D466" i="14"/>
  <c r="D466" i="14" a="1"/>
  <c r="C466" i="14"/>
  <c r="C466" i="14" a="1"/>
  <c r="D465" i="14" a="1"/>
  <c r="D465" i="14" s="1"/>
  <c r="C465" i="14"/>
  <c r="C465" i="14" a="1"/>
  <c r="D464" i="14"/>
  <c r="D464" i="14" a="1"/>
  <c r="C464" i="14"/>
  <c r="C464" i="14" a="1"/>
  <c r="D463" i="14" a="1"/>
  <c r="D463" i="14" s="1"/>
  <c r="C463" i="14"/>
  <c r="C463" i="14" a="1"/>
  <c r="D462" i="14"/>
  <c r="D462" i="14" a="1"/>
  <c r="C462" i="14"/>
  <c r="C462" i="14" a="1"/>
  <c r="D461" i="14" a="1"/>
  <c r="D461" i="14" s="1"/>
  <c r="C461" i="14"/>
  <c r="C461" i="14" a="1"/>
  <c r="D460" i="14"/>
  <c r="D460" i="14" a="1"/>
  <c r="C460" i="14"/>
  <c r="C460" i="14" a="1"/>
  <c r="D459" i="14" a="1"/>
  <c r="D459" i="14" s="1"/>
  <c r="C459" i="14"/>
  <c r="C459" i="14" a="1"/>
  <c r="D458" i="14"/>
  <c r="D458" i="14" a="1"/>
  <c r="C458" i="14"/>
  <c r="C458" i="14" a="1"/>
  <c r="D457" i="14" a="1"/>
  <c r="D457" i="14" s="1"/>
  <c r="C457" i="14"/>
  <c r="C457" i="14" a="1"/>
  <c r="D456" i="14"/>
  <c r="D456" i="14" a="1"/>
  <c r="C456" i="14"/>
  <c r="C456" i="14" a="1"/>
  <c r="D455" i="14" a="1"/>
  <c r="D455" i="14" s="1"/>
  <c r="C455" i="14"/>
  <c r="C455" i="14" a="1"/>
  <c r="D454" i="14"/>
  <c r="D454" i="14" a="1"/>
  <c r="C454" i="14"/>
  <c r="C454" i="14" a="1"/>
  <c r="D453" i="14" a="1"/>
  <c r="D453" i="14" s="1"/>
  <c r="C453" i="14"/>
  <c r="C453" i="14" a="1"/>
  <c r="D452" i="14"/>
  <c r="D452" i="14" a="1"/>
  <c r="C452" i="14"/>
  <c r="C452" i="14" a="1"/>
  <c r="D451" i="14" a="1"/>
  <c r="D451" i="14" s="1"/>
  <c r="C451" i="14"/>
  <c r="C451" i="14" a="1"/>
  <c r="D450" i="14"/>
  <c r="D450" i="14" a="1"/>
  <c r="C450" i="14"/>
  <c r="C450" i="14" a="1"/>
  <c r="D449" i="14" a="1"/>
  <c r="D449" i="14" s="1"/>
  <c r="C449" i="14"/>
  <c r="C449" i="14" a="1"/>
  <c r="D448" i="14"/>
  <c r="D448" i="14" a="1"/>
  <c r="C448" i="14"/>
  <c r="C448" i="14" a="1"/>
  <c r="D447" i="14" a="1"/>
  <c r="D447" i="14" s="1"/>
  <c r="C447" i="14"/>
  <c r="C447" i="14" a="1"/>
  <c r="D446" i="14"/>
  <c r="D446" i="14" a="1"/>
  <c r="C446" i="14"/>
  <c r="C446" i="14" a="1"/>
  <c r="D445" i="14" a="1"/>
  <c r="D445" i="14" s="1"/>
  <c r="C445" i="14"/>
  <c r="C445" i="14" a="1"/>
  <c r="D444" i="14"/>
  <c r="D444" i="14" a="1"/>
  <c r="C444" i="14"/>
  <c r="C444" i="14" a="1"/>
  <c r="D443" i="14" a="1"/>
  <c r="D443" i="14" s="1"/>
  <c r="C443" i="14"/>
  <c r="C443" i="14" a="1"/>
  <c r="D442" i="14"/>
  <c r="D442" i="14" a="1"/>
  <c r="C442" i="14"/>
  <c r="C442" i="14" a="1"/>
  <c r="D441" i="14" a="1"/>
  <c r="D441" i="14" s="1"/>
  <c r="C441" i="14"/>
  <c r="C441" i="14" a="1"/>
  <c r="D440" i="14" a="1"/>
  <c r="D440" i="14" s="1"/>
  <c r="C440" i="14"/>
  <c r="C440" i="14" a="1"/>
  <c r="D439" i="14" a="1"/>
  <c r="D439" i="14" s="1"/>
  <c r="C439" i="14"/>
  <c r="C439" i="14" a="1"/>
  <c r="D438" i="14" a="1"/>
  <c r="D438" i="14" s="1"/>
  <c r="C438" i="14"/>
  <c r="C438" i="14" a="1"/>
  <c r="D437" i="14" a="1"/>
  <c r="D437" i="14" s="1"/>
  <c r="C437" i="14"/>
  <c r="C437" i="14" a="1"/>
  <c r="D436" i="14" a="1"/>
  <c r="D436" i="14" s="1"/>
  <c r="C436" i="14"/>
  <c r="C436" i="14" a="1"/>
  <c r="D435" i="14" a="1"/>
  <c r="D435" i="14" s="1"/>
  <c r="C435" i="14"/>
  <c r="C435" i="14" a="1"/>
  <c r="D434" i="14" a="1"/>
  <c r="D434" i="14" s="1"/>
  <c r="C434" i="14"/>
  <c r="C434" i="14" a="1"/>
  <c r="D433" i="14" a="1"/>
  <c r="D433" i="14" s="1"/>
  <c r="C433" i="14"/>
  <c r="C433" i="14" a="1"/>
  <c r="D432" i="14" a="1"/>
  <c r="D432" i="14" s="1"/>
  <c r="C432" i="14"/>
  <c r="C432" i="14" a="1"/>
  <c r="D431" i="14" a="1"/>
  <c r="D431" i="14" s="1"/>
  <c r="C431" i="14" a="1"/>
  <c r="C431" i="14" s="1"/>
  <c r="D430" i="14" a="1"/>
  <c r="D430" i="14" s="1"/>
  <c r="C430" i="14" a="1"/>
  <c r="C430" i="14" s="1"/>
  <c r="D429" i="14" a="1"/>
  <c r="D429" i="14" s="1"/>
  <c r="C429" i="14" a="1"/>
  <c r="C429" i="14" s="1"/>
  <c r="D428" i="14" a="1"/>
  <c r="D428" i="14" s="1"/>
  <c r="C428" i="14" a="1"/>
  <c r="C428" i="14" s="1"/>
  <c r="D427" i="14" a="1"/>
  <c r="D427" i="14" s="1"/>
  <c r="C427" i="14"/>
  <c r="C427" i="14" a="1"/>
  <c r="D426" i="14" a="1"/>
  <c r="D426" i="14" s="1"/>
  <c r="C426" i="14"/>
  <c r="C426" i="14" a="1"/>
  <c r="D425" i="14" a="1"/>
  <c r="D425" i="14" s="1"/>
  <c r="C425" i="14"/>
  <c r="C425" i="14" a="1"/>
  <c r="D424" i="14" a="1"/>
  <c r="D424" i="14" s="1"/>
  <c r="C424" i="14"/>
  <c r="C424" i="14" a="1"/>
  <c r="D423" i="14" a="1"/>
  <c r="D423" i="14" s="1"/>
  <c r="C423" i="14" a="1"/>
  <c r="C423" i="14" s="1"/>
  <c r="D422" i="14" a="1"/>
  <c r="D422" i="14" s="1"/>
  <c r="C422" i="14" a="1"/>
  <c r="C422" i="14" s="1"/>
  <c r="D421" i="14" a="1"/>
  <c r="D421" i="14" s="1"/>
  <c r="C421" i="14" a="1"/>
  <c r="C421" i="14" s="1"/>
  <c r="D420" i="14" a="1"/>
  <c r="D420" i="14" s="1"/>
  <c r="C420" i="14" a="1"/>
  <c r="C420" i="14" s="1"/>
  <c r="D419" i="14" a="1"/>
  <c r="D419" i="14" s="1"/>
  <c r="C419" i="14"/>
  <c r="C419" i="14" a="1"/>
  <c r="D418" i="14" a="1"/>
  <c r="D418" i="14" s="1"/>
  <c r="C418" i="14"/>
  <c r="C418" i="14" a="1"/>
  <c r="D417" i="14" a="1"/>
  <c r="D417" i="14" s="1"/>
  <c r="C417" i="14"/>
  <c r="C417" i="14" a="1"/>
  <c r="D416" i="14" a="1"/>
  <c r="D416" i="14" s="1"/>
  <c r="C416" i="14"/>
  <c r="C416" i="14" a="1"/>
  <c r="D415" i="14" a="1"/>
  <c r="D415" i="14" s="1"/>
  <c r="C415" i="14" a="1"/>
  <c r="C415" i="14" s="1"/>
  <c r="D414" i="14" a="1"/>
  <c r="D414" i="14" s="1"/>
  <c r="C414" i="14" a="1"/>
  <c r="C414" i="14" s="1"/>
  <c r="D413" i="14" a="1"/>
  <c r="D413" i="14" s="1"/>
  <c r="C413" i="14" a="1"/>
  <c r="C413" i="14" s="1"/>
  <c r="D412" i="14" a="1"/>
  <c r="D412" i="14" s="1"/>
  <c r="C412" i="14" a="1"/>
  <c r="C412" i="14" s="1"/>
  <c r="D411" i="14" a="1"/>
  <c r="D411" i="14" s="1"/>
  <c r="C411" i="14"/>
  <c r="C411" i="14" a="1"/>
  <c r="D410" i="14" a="1"/>
  <c r="D410" i="14" s="1"/>
  <c r="C410" i="14"/>
  <c r="C410" i="14" a="1"/>
  <c r="D409" i="14" a="1"/>
  <c r="D409" i="14" s="1"/>
  <c r="C409" i="14"/>
  <c r="C409" i="14" a="1"/>
  <c r="D408" i="14" a="1"/>
  <c r="D408" i="14" s="1"/>
  <c r="C408" i="14"/>
  <c r="C408" i="14" a="1"/>
  <c r="D407" i="14" a="1"/>
  <c r="D407" i="14" s="1"/>
  <c r="C407" i="14" a="1"/>
  <c r="C407" i="14" s="1"/>
  <c r="D406" i="14" a="1"/>
  <c r="D406" i="14" s="1"/>
  <c r="C406" i="14" a="1"/>
  <c r="C406" i="14" s="1"/>
  <c r="D405" i="14" a="1"/>
  <c r="D405" i="14" s="1"/>
  <c r="C405" i="14" a="1"/>
  <c r="C405" i="14" s="1"/>
  <c r="D404" i="14" a="1"/>
  <c r="D404" i="14" s="1"/>
  <c r="C404" i="14" a="1"/>
  <c r="C404" i="14" s="1"/>
  <c r="D403" i="14" a="1"/>
  <c r="D403" i="14" s="1"/>
  <c r="C403" i="14"/>
  <c r="C403" i="14" a="1"/>
  <c r="D402" i="14" a="1"/>
  <c r="D402" i="14" s="1"/>
  <c r="C402" i="14" a="1"/>
  <c r="C402" i="14" s="1"/>
  <c r="D401" i="14" a="1"/>
  <c r="D401" i="14" s="1"/>
  <c r="C401" i="14" a="1"/>
  <c r="C401" i="14" s="1"/>
  <c r="D400" i="14"/>
  <c r="D400" i="14" a="1"/>
  <c r="C400" i="14"/>
  <c r="C400" i="14" a="1"/>
  <c r="D399" i="14" a="1"/>
  <c r="D399" i="14" s="1"/>
  <c r="C399" i="14"/>
  <c r="C399" i="14" a="1"/>
  <c r="D398" i="14"/>
  <c r="D398" i="14" a="1"/>
  <c r="C398" i="14" a="1"/>
  <c r="C398" i="14" s="1"/>
  <c r="D397" i="14" a="1"/>
  <c r="D397" i="14" s="1"/>
  <c r="C397" i="14" a="1"/>
  <c r="C397" i="14" s="1"/>
  <c r="D396" i="14" a="1"/>
  <c r="D396" i="14" s="1"/>
  <c r="C396" i="14"/>
  <c r="C396" i="14" a="1"/>
  <c r="D395" i="14" a="1"/>
  <c r="D395" i="14" s="1"/>
  <c r="C395" i="14" a="1"/>
  <c r="C395" i="14" s="1"/>
  <c r="D394" i="14"/>
  <c r="D394" i="14" a="1"/>
  <c r="C394" i="14"/>
  <c r="C394" i="14" a="1"/>
  <c r="D393" i="14" a="1"/>
  <c r="D393" i="14" s="1"/>
  <c r="C393" i="14"/>
  <c r="C393" i="14" a="1"/>
  <c r="D392" i="14" a="1"/>
  <c r="D392" i="14" s="1"/>
  <c r="C392" i="14" a="1"/>
  <c r="C392" i="14" s="1"/>
  <c r="D391" i="14" a="1"/>
  <c r="D391" i="14" s="1"/>
  <c r="C391" i="14" a="1"/>
  <c r="C391" i="14" s="1"/>
  <c r="D390" i="14" a="1"/>
  <c r="D390" i="14" s="1"/>
  <c r="C390" i="14"/>
  <c r="C390" i="14" a="1"/>
  <c r="D389" i="14" a="1"/>
  <c r="D389" i="14" s="1"/>
  <c r="C389" i="14"/>
  <c r="C389" i="14" a="1"/>
  <c r="D388" i="14"/>
  <c r="D388" i="14" a="1"/>
  <c r="C388" i="14" a="1"/>
  <c r="C388" i="14" s="1"/>
  <c r="D387" i="14" a="1"/>
  <c r="D387" i="14" s="1"/>
  <c r="C387" i="14"/>
  <c r="C387" i="14" a="1"/>
  <c r="D386" i="14" a="1"/>
  <c r="D386" i="14" s="1"/>
  <c r="C386" i="14" a="1"/>
  <c r="C386" i="14" s="1"/>
  <c r="D385" i="14" a="1"/>
  <c r="D385" i="14" s="1"/>
  <c r="C385" i="14" a="1"/>
  <c r="C385" i="14" s="1"/>
  <c r="D384" i="14"/>
  <c r="D384" i="14" a="1"/>
  <c r="C384" i="14"/>
  <c r="C384" i="14" a="1"/>
  <c r="D383" i="14" a="1"/>
  <c r="D383" i="14" s="1"/>
  <c r="C383" i="14"/>
  <c r="C383" i="14" a="1"/>
  <c r="D382" i="14"/>
  <c r="D382" i="14" a="1"/>
  <c r="C382" i="14" a="1"/>
  <c r="C382" i="14" s="1"/>
  <c r="D381" i="14" a="1"/>
  <c r="D381" i="14" s="1"/>
  <c r="C381" i="14" a="1"/>
  <c r="C381" i="14" s="1"/>
  <c r="D380" i="14" a="1"/>
  <c r="D380" i="14" s="1"/>
  <c r="C380" i="14"/>
  <c r="C380" i="14" a="1"/>
  <c r="D379" i="14" a="1"/>
  <c r="D379" i="14" s="1"/>
  <c r="C379" i="14"/>
  <c r="C379" i="14" a="1"/>
  <c r="D378" i="14"/>
  <c r="D378" i="14" a="1"/>
  <c r="C378" i="14"/>
  <c r="C378" i="14" a="1"/>
  <c r="D377" i="14" a="1"/>
  <c r="D377" i="14" s="1"/>
  <c r="C377" i="14"/>
  <c r="C377" i="14" a="1"/>
  <c r="D376" i="14" a="1"/>
  <c r="D376" i="14" s="1"/>
  <c r="C376" i="14" a="1"/>
  <c r="C376" i="14" s="1"/>
  <c r="D375" i="14" a="1"/>
  <c r="D375" i="14" s="1"/>
  <c r="C375" i="14" a="1"/>
  <c r="C375" i="14" s="1"/>
  <c r="D374" i="14"/>
  <c r="D374" i="14" a="1"/>
  <c r="C374" i="14"/>
  <c r="C374" i="14" a="1"/>
  <c r="D373" i="14" a="1"/>
  <c r="D373" i="14" s="1"/>
  <c r="C373" i="14"/>
  <c r="C373" i="14" a="1"/>
  <c r="D372" i="14"/>
  <c r="D372" i="14" a="1"/>
  <c r="C372" i="14" a="1"/>
  <c r="C372" i="14" s="1"/>
  <c r="D371" i="14" a="1"/>
  <c r="D371" i="14" s="1"/>
  <c r="C371" i="14"/>
  <c r="C371" i="14" a="1"/>
  <c r="D370" i="14" a="1"/>
  <c r="D370" i="14" s="1"/>
  <c r="C370" i="14" a="1"/>
  <c r="C370" i="14" s="1"/>
  <c r="D369" i="14" a="1"/>
  <c r="D369" i="14" s="1"/>
  <c r="C369" i="14" a="1"/>
  <c r="C369" i="14" s="1"/>
  <c r="D368" i="14"/>
  <c r="D368" i="14" a="1"/>
  <c r="C368" i="14"/>
  <c r="C368" i="14" a="1"/>
  <c r="D367" i="14" a="1"/>
  <c r="D367" i="14" s="1"/>
  <c r="C367" i="14"/>
  <c r="C367" i="14" a="1"/>
  <c r="D366" i="14"/>
  <c r="D366" i="14" a="1"/>
  <c r="C366" i="14" a="1"/>
  <c r="C366" i="14" s="1"/>
  <c r="D365" i="14" a="1"/>
  <c r="D365" i="14" s="1"/>
  <c r="C365" i="14" a="1"/>
  <c r="C365" i="14" s="1"/>
  <c r="D364" i="14" a="1"/>
  <c r="D364" i="14" s="1"/>
  <c r="C364" i="14"/>
  <c r="C364" i="14" a="1"/>
  <c r="D363" i="14" a="1"/>
  <c r="D363" i="14" s="1"/>
  <c r="C363" i="14" a="1"/>
  <c r="C363" i="14" s="1"/>
  <c r="D362" i="14"/>
  <c r="D362" i="14" a="1"/>
  <c r="C362" i="14"/>
  <c r="C362" i="14" a="1"/>
  <c r="D361" i="14" a="1"/>
  <c r="D361" i="14" s="1"/>
  <c r="C361" i="14"/>
  <c r="C361" i="14" a="1"/>
  <c r="D360" i="14" a="1"/>
  <c r="D360" i="14" s="1"/>
  <c r="C360" i="14" a="1"/>
  <c r="C360" i="14" s="1"/>
  <c r="D359" i="14" a="1"/>
  <c r="D359" i="14" s="1"/>
  <c r="C359" i="14" a="1"/>
  <c r="C359" i="14" s="1"/>
  <c r="D358" i="14" a="1"/>
  <c r="D358" i="14" s="1"/>
  <c r="C358" i="14"/>
  <c r="C358" i="14" a="1"/>
  <c r="D357" i="14" a="1"/>
  <c r="D357" i="14" s="1"/>
  <c r="C357" i="14" a="1"/>
  <c r="C357" i="14" s="1"/>
  <c r="D356" i="14"/>
  <c r="D356" i="14" a="1"/>
  <c r="C356" i="14" a="1"/>
  <c r="C356" i="14" s="1"/>
  <c r="D355" i="14" a="1"/>
  <c r="D355" i="14" s="1"/>
  <c r="C355" i="14"/>
  <c r="C355" i="14" a="1"/>
  <c r="D354" i="14" a="1"/>
  <c r="D354" i="14" s="1"/>
  <c r="C354" i="14" a="1"/>
  <c r="C354" i="14" s="1"/>
  <c r="D353" i="14" a="1"/>
  <c r="D353" i="14" s="1"/>
  <c r="C353" i="14" a="1"/>
  <c r="C353" i="14" s="1"/>
  <c r="D352" i="14" a="1"/>
  <c r="D352" i="14" s="1"/>
  <c r="C352" i="14"/>
  <c r="C352" i="14" a="1"/>
  <c r="D351" i="14" a="1"/>
  <c r="D351" i="14" s="1"/>
  <c r="C351" i="14"/>
  <c r="C351" i="14" a="1"/>
  <c r="D350" i="14"/>
  <c r="D350" i="14" a="1"/>
  <c r="C350" i="14" a="1"/>
  <c r="C350" i="14" s="1"/>
  <c r="D349" i="14" a="1"/>
  <c r="D349" i="14" s="1"/>
  <c r="C349" i="14" a="1"/>
  <c r="C349" i="14" s="1"/>
  <c r="D348" i="14" a="1"/>
  <c r="D348" i="14" s="1"/>
  <c r="C348" i="14" a="1"/>
  <c r="C348" i="14" s="1"/>
  <c r="D347" i="14" a="1"/>
  <c r="D347" i="14" s="1"/>
  <c r="C347" i="14" a="1"/>
  <c r="C347" i="14" s="1"/>
  <c r="D346" i="14"/>
  <c r="D346" i="14" a="1"/>
  <c r="C346" i="14"/>
  <c r="C346" i="14" a="1"/>
  <c r="D345" i="14" a="1"/>
  <c r="D345" i="14" s="1"/>
  <c r="C345" i="14"/>
  <c r="C345" i="14" a="1"/>
  <c r="D344" i="14" a="1"/>
  <c r="D344" i="14" s="1"/>
  <c r="C344" i="14" a="1"/>
  <c r="C344" i="14" s="1"/>
  <c r="D343" i="14" a="1"/>
  <c r="D343" i="14" s="1"/>
  <c r="C343" i="14" a="1"/>
  <c r="C343" i="14" s="1"/>
  <c r="D342" i="14" a="1"/>
  <c r="D342" i="14" s="1"/>
  <c r="C342" i="14"/>
  <c r="C342" i="14" a="1"/>
  <c r="D341" i="14" a="1"/>
  <c r="D341" i="14" s="1"/>
  <c r="C341" i="14"/>
  <c r="C341" i="14" a="1"/>
  <c r="D340" i="14"/>
  <c r="D340" i="14" a="1"/>
  <c r="C340" i="14" a="1"/>
  <c r="C340" i="14" s="1"/>
  <c r="D339" i="14" a="1"/>
  <c r="D339" i="14" s="1"/>
  <c r="C339" i="14"/>
  <c r="C339" i="14" a="1"/>
  <c r="D338" i="14" a="1"/>
  <c r="D338" i="14" s="1"/>
  <c r="C338" i="14" a="1"/>
  <c r="C338" i="14" s="1"/>
  <c r="D337" i="14" a="1"/>
  <c r="D337" i="14" s="1"/>
  <c r="C337" i="14" a="1"/>
  <c r="C337" i="14" s="1"/>
  <c r="D336" i="14"/>
  <c r="D336" i="14" a="1"/>
  <c r="C336" i="14"/>
  <c r="C336" i="14" a="1"/>
  <c r="D335" i="14" a="1"/>
  <c r="D335" i="14" s="1"/>
  <c r="C335" i="14"/>
  <c r="C335" i="14" a="1"/>
  <c r="D334" i="14" a="1"/>
  <c r="D334" i="14" s="1"/>
  <c r="C334" i="14" a="1"/>
  <c r="C334" i="14" s="1"/>
  <c r="D333" i="14" a="1"/>
  <c r="D333" i="14" s="1"/>
  <c r="C333" i="14" a="1"/>
  <c r="C333" i="14" s="1"/>
  <c r="D332" i="14" a="1"/>
  <c r="D332" i="14" s="1"/>
  <c r="C332" i="14"/>
  <c r="C332" i="14" a="1"/>
  <c r="D331" i="14" a="1"/>
  <c r="D331" i="14" s="1"/>
  <c r="C331" i="14" a="1"/>
  <c r="C331" i="14" s="1"/>
  <c r="D330" i="14"/>
  <c r="D330" i="14" a="1"/>
  <c r="C330" i="14"/>
  <c r="C330" i="14" a="1"/>
  <c r="D329" i="14" a="1"/>
  <c r="D329" i="14" s="1"/>
  <c r="C329" i="14" a="1"/>
  <c r="C329" i="14" s="1"/>
  <c r="D328" i="14"/>
  <c r="D328" i="14" a="1"/>
  <c r="C328" i="14" a="1"/>
  <c r="C328" i="14" s="1"/>
  <c r="D327" i="14" a="1"/>
  <c r="D327" i="14" s="1"/>
  <c r="C327" i="14" a="1"/>
  <c r="C327" i="14" s="1"/>
  <c r="D326" i="14"/>
  <c r="D326" i="14" a="1"/>
  <c r="C326" i="14" a="1"/>
  <c r="C326" i="14" s="1"/>
  <c r="D325" i="14" a="1"/>
  <c r="D325" i="14" s="1"/>
  <c r="C325" i="14" a="1"/>
  <c r="C325" i="14" s="1"/>
  <c r="D324" i="14"/>
  <c r="D324" i="14" a="1"/>
  <c r="C324" i="14" a="1"/>
  <c r="C324" i="14" s="1"/>
  <c r="D323" i="14" a="1"/>
  <c r="D323" i="14" s="1"/>
  <c r="C323" i="14" a="1"/>
  <c r="C323" i="14" s="1"/>
  <c r="D322" i="14" a="1"/>
  <c r="D322" i="14" s="1"/>
  <c r="C322" i="14" a="1"/>
  <c r="C322" i="14" s="1"/>
  <c r="D321" i="14" a="1"/>
  <c r="D321" i="14" s="1"/>
  <c r="C321" i="14" a="1"/>
  <c r="C321" i="14" s="1"/>
  <c r="D320" i="14"/>
  <c r="D320" i="14" a="1"/>
  <c r="C320" i="14" a="1"/>
  <c r="C320" i="14" s="1"/>
  <c r="D319" i="14" a="1"/>
  <c r="D319" i="14" s="1"/>
  <c r="C319" i="14" a="1"/>
  <c r="C319" i="14" s="1"/>
  <c r="D318" i="14" a="1"/>
  <c r="D318" i="14" s="1"/>
  <c r="C318" i="14" a="1"/>
  <c r="C318" i="14" s="1"/>
  <c r="D317" i="14" a="1"/>
  <c r="D317" i="14" s="1"/>
  <c r="C317" i="14" a="1"/>
  <c r="C317" i="14" s="1"/>
  <c r="D316" i="14"/>
  <c r="D316" i="14" a="1"/>
  <c r="C316" i="14" a="1"/>
  <c r="C316" i="14" s="1"/>
  <c r="D315" i="14" a="1"/>
  <c r="D315" i="14" s="1"/>
  <c r="C315" i="14" a="1"/>
  <c r="C315" i="14" s="1"/>
  <c r="D314" i="14" a="1"/>
  <c r="D314" i="14" s="1"/>
  <c r="C314" i="14" a="1"/>
  <c r="C314" i="14" s="1"/>
  <c r="D313" i="14" a="1"/>
  <c r="D313" i="14" s="1"/>
  <c r="C313" i="14" a="1"/>
  <c r="C313" i="14" s="1"/>
  <c r="D312" i="14"/>
  <c r="D312" i="14" a="1"/>
  <c r="C312" i="14" a="1"/>
  <c r="C312" i="14" s="1"/>
  <c r="D311" i="14" a="1"/>
  <c r="D311" i="14" s="1"/>
  <c r="C311" i="14" a="1"/>
  <c r="C311" i="14" s="1"/>
  <c r="D310" i="14" a="1"/>
  <c r="D310" i="14" s="1"/>
  <c r="C310" i="14" a="1"/>
  <c r="C310" i="14" s="1"/>
  <c r="D309" i="14" a="1"/>
  <c r="D309" i="14" s="1"/>
  <c r="C309" i="14" a="1"/>
  <c r="C309" i="14" s="1"/>
  <c r="D308" i="14" a="1"/>
  <c r="D308" i="14" s="1"/>
  <c r="C308" i="14" a="1"/>
  <c r="C308" i="14" s="1"/>
  <c r="D307" i="14" a="1"/>
  <c r="D307" i="14" s="1"/>
  <c r="C307" i="14" a="1"/>
  <c r="C307" i="14" s="1"/>
  <c r="D306" i="14" a="1"/>
  <c r="D306" i="14" s="1"/>
  <c r="C306" i="14" a="1"/>
  <c r="C306" i="14" s="1"/>
  <c r="D305" i="14" a="1"/>
  <c r="D305" i="14" s="1"/>
  <c r="C305" i="14" a="1"/>
  <c r="C305" i="14" s="1"/>
  <c r="D304" i="14"/>
  <c r="D304" i="14" a="1"/>
  <c r="C304" i="14" a="1"/>
  <c r="C304" i="14" s="1"/>
  <c r="D303" i="14" a="1"/>
  <c r="D303" i="14" s="1"/>
  <c r="C303" i="14" a="1"/>
  <c r="C303" i="14" s="1"/>
  <c r="D302" i="14" a="1"/>
  <c r="D302" i="14" s="1"/>
  <c r="C302" i="14" a="1"/>
  <c r="C302" i="14" s="1"/>
  <c r="D301" i="14" a="1"/>
  <c r="D301" i="14" s="1"/>
  <c r="C301" i="14" a="1"/>
  <c r="C301" i="14" s="1"/>
  <c r="D300" i="14"/>
  <c r="D300" i="14" a="1"/>
  <c r="C300" i="14" a="1"/>
  <c r="C300" i="14" s="1"/>
  <c r="D299" i="14" a="1"/>
  <c r="D299" i="14" s="1"/>
  <c r="C299" i="14" a="1"/>
  <c r="C299" i="14" s="1"/>
  <c r="D298" i="14" a="1"/>
  <c r="D298" i="14" s="1"/>
  <c r="C298" i="14" a="1"/>
  <c r="C298" i="14" s="1"/>
  <c r="D297" i="14" a="1"/>
  <c r="D297" i="14" s="1"/>
  <c r="C297" i="14" a="1"/>
  <c r="C297" i="14" s="1"/>
  <c r="D296" i="14"/>
  <c r="D296" i="14" a="1"/>
  <c r="C296" i="14" a="1"/>
  <c r="C296" i="14" s="1"/>
  <c r="D295" i="14" a="1"/>
  <c r="D295" i="14" s="1"/>
  <c r="C295" i="14" a="1"/>
  <c r="C295" i="14" s="1"/>
  <c r="D294" i="14" a="1"/>
  <c r="D294" i="14" s="1"/>
  <c r="C294" i="14" a="1"/>
  <c r="C294" i="14" s="1"/>
  <c r="D293" i="14" a="1"/>
  <c r="D293" i="14" s="1"/>
  <c r="C293" i="14" a="1"/>
  <c r="C293" i="14" s="1"/>
  <c r="D292" i="14" a="1"/>
  <c r="D292" i="14" s="1"/>
  <c r="C292" i="14" a="1"/>
  <c r="C292" i="14" s="1"/>
  <c r="D291" i="14" a="1"/>
  <c r="D291" i="14" s="1"/>
  <c r="C291" i="14" a="1"/>
  <c r="C291" i="14" s="1"/>
  <c r="D290" i="14" a="1"/>
  <c r="D290" i="14" s="1"/>
  <c r="C290" i="14" a="1"/>
  <c r="C290" i="14" s="1"/>
  <c r="D289" i="14" a="1"/>
  <c r="D289" i="14" s="1"/>
  <c r="C289" i="14" a="1"/>
  <c r="C289" i="14" s="1"/>
  <c r="D288" i="14"/>
  <c r="D288" i="14" a="1"/>
  <c r="C288" i="14" a="1"/>
  <c r="C288" i="14" s="1"/>
  <c r="D287" i="14" a="1"/>
  <c r="D287" i="14" s="1"/>
  <c r="C287" i="14" a="1"/>
  <c r="C287" i="14" s="1"/>
  <c r="D286" i="14" a="1"/>
  <c r="D286" i="14" s="1"/>
  <c r="C286" i="14" a="1"/>
  <c r="C286" i="14" s="1"/>
  <c r="D285" i="14" a="1"/>
  <c r="D285" i="14" s="1"/>
  <c r="C285" i="14" a="1"/>
  <c r="C285" i="14" s="1"/>
  <c r="D284" i="14"/>
  <c r="D284" i="14" a="1"/>
  <c r="C284" i="14" a="1"/>
  <c r="C284" i="14" s="1"/>
  <c r="D283" i="14" a="1"/>
  <c r="D283" i="14" s="1"/>
  <c r="C283" i="14" a="1"/>
  <c r="C283" i="14" s="1"/>
  <c r="D282" i="14" a="1"/>
  <c r="D282" i="14" s="1"/>
  <c r="C282" i="14" a="1"/>
  <c r="C282" i="14" s="1"/>
  <c r="D281" i="14" a="1"/>
  <c r="D281" i="14" s="1"/>
  <c r="C281" i="14" a="1"/>
  <c r="C281" i="14" s="1"/>
  <c r="D280" i="14"/>
  <c r="D280" i="14" a="1"/>
  <c r="C280" i="14" a="1"/>
  <c r="C280" i="14" s="1"/>
  <c r="D279" i="14" a="1"/>
  <c r="D279" i="14" s="1"/>
  <c r="C279" i="14" a="1"/>
  <c r="C279" i="14" s="1"/>
  <c r="D278" i="14" a="1"/>
  <c r="D278" i="14" s="1"/>
  <c r="C278" i="14" a="1"/>
  <c r="C278" i="14" s="1"/>
  <c r="D277" i="14" a="1"/>
  <c r="D277" i="14" s="1"/>
  <c r="C277" i="14" a="1"/>
  <c r="C277" i="14" s="1"/>
  <c r="D276" i="14" a="1"/>
  <c r="D276" i="14" s="1"/>
  <c r="C276" i="14" a="1"/>
  <c r="C276" i="14" s="1"/>
  <c r="D275" i="14" a="1"/>
  <c r="D275" i="14" s="1"/>
  <c r="C275" i="14" a="1"/>
  <c r="C275" i="14" s="1"/>
  <c r="D274" i="14" a="1"/>
  <c r="D274" i="14" s="1"/>
  <c r="C274" i="14" a="1"/>
  <c r="C274" i="14" s="1"/>
  <c r="D273" i="14" a="1"/>
  <c r="D273" i="14" s="1"/>
  <c r="C273" i="14" a="1"/>
  <c r="C273" i="14" s="1"/>
  <c r="D272" i="14"/>
  <c r="D272" i="14" a="1"/>
  <c r="C272" i="14" a="1"/>
  <c r="C272" i="14" s="1"/>
  <c r="D271" i="14" a="1"/>
  <c r="D271" i="14" s="1"/>
  <c r="C271" i="14" a="1"/>
  <c r="C271" i="14" s="1"/>
  <c r="D270" i="14" a="1"/>
  <c r="D270" i="14" s="1"/>
  <c r="C270" i="14" a="1"/>
  <c r="C270" i="14" s="1"/>
  <c r="D269" i="14" a="1"/>
  <c r="D269" i="14" s="1"/>
  <c r="C269" i="14" a="1"/>
  <c r="C269" i="14" s="1"/>
  <c r="D268" i="14"/>
  <c r="D268" i="14" a="1"/>
  <c r="C268" i="14" a="1"/>
  <c r="C268" i="14" s="1"/>
  <c r="D267" i="14" a="1"/>
  <c r="D267" i="14" s="1"/>
  <c r="C267" i="14" a="1"/>
  <c r="C267" i="14" s="1"/>
  <c r="D266" i="14" a="1"/>
  <c r="D266" i="14" s="1"/>
  <c r="C266" i="14" a="1"/>
  <c r="C266" i="14" s="1"/>
  <c r="D265" i="14" a="1"/>
  <c r="D265" i="14" s="1"/>
  <c r="C265" i="14" a="1"/>
  <c r="C265" i="14" s="1"/>
  <c r="D264" i="14"/>
  <c r="D264" i="14" a="1"/>
  <c r="C264" i="14" a="1"/>
  <c r="C264" i="14" s="1"/>
  <c r="D263" i="14" a="1"/>
  <c r="D263" i="14" s="1"/>
  <c r="C263" i="14" a="1"/>
  <c r="C263" i="14" s="1"/>
  <c r="D262" i="14" a="1"/>
  <c r="D262" i="14" s="1"/>
  <c r="C262" i="14" a="1"/>
  <c r="C262" i="14" s="1"/>
  <c r="D261" i="14" a="1"/>
  <c r="D261" i="14" s="1"/>
  <c r="C261" i="14" a="1"/>
  <c r="C261" i="14" s="1"/>
  <c r="D260" i="14" a="1"/>
  <c r="D260" i="14" s="1"/>
  <c r="C260" i="14" a="1"/>
  <c r="C260" i="14" s="1"/>
  <c r="D259" i="14" a="1"/>
  <c r="D259" i="14" s="1"/>
  <c r="C259" i="14" a="1"/>
  <c r="C259" i="14" s="1"/>
  <c r="D258" i="14" a="1"/>
  <c r="D258" i="14" s="1"/>
  <c r="C258" i="14" a="1"/>
  <c r="C258" i="14" s="1"/>
  <c r="D257" i="14" a="1"/>
  <c r="D257" i="14" s="1"/>
  <c r="C257" i="14" a="1"/>
  <c r="C257" i="14" s="1"/>
  <c r="D256" i="14"/>
  <c r="D256" i="14" a="1"/>
  <c r="C256" i="14" a="1"/>
  <c r="C256" i="14" s="1"/>
  <c r="D255" i="14" a="1"/>
  <c r="D255" i="14" s="1"/>
  <c r="C255" i="14" a="1"/>
  <c r="C255" i="14" s="1"/>
  <c r="D254" i="14" a="1"/>
  <c r="D254" i="14" s="1"/>
  <c r="C254" i="14" a="1"/>
  <c r="C254" i="14" s="1"/>
  <c r="D253" i="14" a="1"/>
  <c r="D253" i="14" s="1"/>
  <c r="C253" i="14" a="1"/>
  <c r="C253" i="14" s="1"/>
  <c r="D252" i="14" a="1"/>
  <c r="D252" i="14" s="1"/>
  <c r="C252" i="14" a="1"/>
  <c r="C252" i="14" s="1"/>
  <c r="D251" i="14" a="1"/>
  <c r="D251" i="14" s="1"/>
  <c r="C251" i="14" a="1"/>
  <c r="C251" i="14" s="1"/>
  <c r="D250" i="14" a="1"/>
  <c r="D250" i="14" s="1"/>
  <c r="C250" i="14" a="1"/>
  <c r="C250" i="14" s="1"/>
  <c r="D249" i="14" a="1"/>
  <c r="D249" i="14" s="1"/>
  <c r="C249" i="14" a="1"/>
  <c r="C249" i="14" s="1"/>
  <c r="D248" i="14"/>
  <c r="D248" i="14" a="1"/>
  <c r="C248" i="14" a="1"/>
  <c r="C248" i="14" s="1"/>
  <c r="D247" i="14" a="1"/>
  <c r="D247" i="14" s="1"/>
  <c r="C247" i="14" a="1"/>
  <c r="C247" i="14" s="1"/>
  <c r="D246" i="14" a="1"/>
  <c r="D246" i="14" s="1"/>
  <c r="C246" i="14" a="1"/>
  <c r="C246" i="14" s="1"/>
  <c r="D245" i="14" a="1"/>
  <c r="D245" i="14" s="1"/>
  <c r="C245" i="14" a="1"/>
  <c r="C245" i="14" s="1"/>
  <c r="D244" i="14" a="1"/>
  <c r="D244" i="14" s="1"/>
  <c r="C244" i="14" a="1"/>
  <c r="C244" i="14" s="1"/>
  <c r="D243" i="14" a="1"/>
  <c r="D243" i="14" s="1"/>
  <c r="C243" i="14" a="1"/>
  <c r="C243" i="14" s="1"/>
  <c r="D242" i="14" a="1"/>
  <c r="D242" i="14" s="1"/>
  <c r="C242" i="14" a="1"/>
  <c r="C242" i="14" s="1"/>
  <c r="D241" i="14" a="1"/>
  <c r="D241" i="14" s="1"/>
  <c r="C241" i="14" a="1"/>
  <c r="C241" i="14" s="1"/>
  <c r="D240" i="14"/>
  <c r="D240" i="14" a="1"/>
  <c r="C240" i="14" a="1"/>
  <c r="C240" i="14" s="1"/>
  <c r="D239" i="14" a="1"/>
  <c r="D239" i="14" s="1"/>
  <c r="C239" i="14" a="1"/>
  <c r="C239" i="14" s="1"/>
  <c r="D238" i="14" a="1"/>
  <c r="D238" i="14" s="1"/>
  <c r="C238" i="14" a="1"/>
  <c r="C238" i="14" s="1"/>
  <c r="D237" i="14" a="1"/>
  <c r="D237" i="14" s="1"/>
  <c r="C237" i="14" a="1"/>
  <c r="C237" i="14" s="1"/>
  <c r="D236" i="14" a="1"/>
  <c r="D236" i="14" s="1"/>
  <c r="C236" i="14" a="1"/>
  <c r="C236" i="14" s="1"/>
  <c r="D235" i="14" a="1"/>
  <c r="D235" i="14" s="1"/>
  <c r="C235" i="14" a="1"/>
  <c r="C235" i="14" s="1"/>
  <c r="D234" i="14" a="1"/>
  <c r="D234" i="14" s="1"/>
  <c r="C234" i="14" a="1"/>
  <c r="C234" i="14" s="1"/>
  <c r="D233" i="14" a="1"/>
  <c r="D233" i="14" s="1"/>
  <c r="C233" i="14" a="1"/>
  <c r="C233" i="14" s="1"/>
  <c r="D232" i="14"/>
  <c r="D232" i="14" a="1"/>
  <c r="C232" i="14" a="1"/>
  <c r="C232" i="14" s="1"/>
  <c r="D231" i="14" a="1"/>
  <c r="D231" i="14" s="1"/>
  <c r="C231" i="14" a="1"/>
  <c r="C231" i="14" s="1"/>
  <c r="D230" i="14" a="1"/>
  <c r="D230" i="14" s="1"/>
  <c r="C230" i="14" a="1"/>
  <c r="C230" i="14" s="1"/>
  <c r="D229" i="14" a="1"/>
  <c r="D229" i="14" s="1"/>
  <c r="C229" i="14" a="1"/>
  <c r="C229" i="14" s="1"/>
  <c r="D228" i="14" a="1"/>
  <c r="D228" i="14" s="1"/>
  <c r="C228" i="14" a="1"/>
  <c r="C228" i="14" s="1"/>
  <c r="D227" i="14" a="1"/>
  <c r="D227" i="14" s="1"/>
  <c r="C227" i="14" a="1"/>
  <c r="C227" i="14" s="1"/>
  <c r="D226" i="14" a="1"/>
  <c r="D226" i="14" s="1"/>
  <c r="C226" i="14" a="1"/>
  <c r="C226" i="14" s="1"/>
  <c r="D225" i="14" a="1"/>
  <c r="D225" i="14" s="1"/>
  <c r="C225" i="14" a="1"/>
  <c r="C225" i="14" s="1"/>
  <c r="D224" i="14"/>
  <c r="D224" i="14" a="1"/>
  <c r="C224" i="14" a="1"/>
  <c r="C224" i="14" s="1"/>
  <c r="D223" i="14" a="1"/>
  <c r="D223" i="14" s="1"/>
  <c r="C223" i="14" a="1"/>
  <c r="C223" i="14" s="1"/>
  <c r="D222" i="14" a="1"/>
  <c r="D222" i="14" s="1"/>
  <c r="C222" i="14" a="1"/>
  <c r="C222" i="14" s="1"/>
  <c r="D221" i="14" a="1"/>
  <c r="D221" i="14" s="1"/>
  <c r="C221" i="14" a="1"/>
  <c r="C221" i="14" s="1"/>
  <c r="D220" i="14" a="1"/>
  <c r="D220" i="14" s="1"/>
  <c r="C220" i="14" a="1"/>
  <c r="C220" i="14" s="1"/>
  <c r="D219" i="14" a="1"/>
  <c r="D219" i="14" s="1"/>
  <c r="C219" i="14" a="1"/>
  <c r="C219" i="14" s="1"/>
  <c r="D218" i="14" a="1"/>
  <c r="D218" i="14" s="1"/>
  <c r="C218" i="14" a="1"/>
  <c r="C218" i="14" s="1"/>
  <c r="D217" i="14" a="1"/>
  <c r="D217" i="14" s="1"/>
  <c r="C217" i="14" a="1"/>
  <c r="C217" i="14" s="1"/>
  <c r="D216" i="14"/>
  <c r="D216" i="14" a="1"/>
  <c r="C216" i="14" a="1"/>
  <c r="C216" i="14" s="1"/>
  <c r="D215" i="14" a="1"/>
  <c r="D215" i="14" s="1"/>
  <c r="C215" i="14" a="1"/>
  <c r="C215" i="14" s="1"/>
  <c r="D214" i="14" a="1"/>
  <c r="D214" i="14" s="1"/>
  <c r="C214" i="14" a="1"/>
  <c r="C214" i="14" s="1"/>
  <c r="D213" i="14" a="1"/>
  <c r="D213" i="14" s="1"/>
  <c r="C213" i="14" a="1"/>
  <c r="C213" i="14" s="1"/>
  <c r="D212" i="14" a="1"/>
  <c r="D212" i="14" s="1"/>
  <c r="C212" i="14" a="1"/>
  <c r="C212" i="14" s="1"/>
  <c r="D211" i="14" a="1"/>
  <c r="D211" i="14" s="1"/>
  <c r="C211" i="14" a="1"/>
  <c r="C211" i="14" s="1"/>
  <c r="D210" i="14" a="1"/>
  <c r="D210" i="14" s="1"/>
  <c r="C210" i="14" a="1"/>
  <c r="C210" i="14" s="1"/>
  <c r="D209" i="14" a="1"/>
  <c r="D209" i="14" s="1"/>
  <c r="C209" i="14" a="1"/>
  <c r="C209" i="14" s="1"/>
  <c r="D208" i="14"/>
  <c r="D208" i="14" a="1"/>
  <c r="C208" i="14" a="1"/>
  <c r="C208" i="14" s="1"/>
  <c r="D207" i="14" a="1"/>
  <c r="D207" i="14" s="1"/>
  <c r="C207" i="14" a="1"/>
  <c r="C207" i="14" s="1"/>
  <c r="D206" i="14" a="1"/>
  <c r="D206" i="14" s="1"/>
  <c r="C206" i="14" a="1"/>
  <c r="C206" i="14" s="1"/>
  <c r="D205" i="14" a="1"/>
  <c r="D205" i="14" s="1"/>
  <c r="C205" i="14" a="1"/>
  <c r="C205" i="14" s="1"/>
  <c r="D204" i="14" a="1"/>
  <c r="D204" i="14" s="1"/>
  <c r="C204" i="14" a="1"/>
  <c r="C204" i="14" s="1"/>
  <c r="D203" i="14" a="1"/>
  <c r="D203" i="14" s="1"/>
  <c r="C203" i="14" a="1"/>
  <c r="C203" i="14" s="1"/>
  <c r="D202" i="14" a="1"/>
  <c r="D202" i="14" s="1"/>
  <c r="C202" i="14" a="1"/>
  <c r="C202" i="14" s="1"/>
  <c r="D201" i="14" a="1"/>
  <c r="D201" i="14" s="1"/>
  <c r="C201" i="14" a="1"/>
  <c r="C201" i="14" s="1"/>
  <c r="D200" i="14"/>
  <c r="D200" i="14" a="1"/>
  <c r="C200" i="14" a="1"/>
  <c r="C200" i="14" s="1"/>
  <c r="D199" i="14"/>
  <c r="D199" i="14" a="1"/>
  <c r="C199" i="14" a="1"/>
  <c r="C199" i="14" s="1"/>
  <c r="D198" i="14"/>
  <c r="D198" i="14" a="1"/>
  <c r="C198" i="14" a="1"/>
  <c r="C198" i="14" s="1"/>
  <c r="D197" i="14"/>
  <c r="D197" i="14" a="1"/>
  <c r="C197" i="14" a="1"/>
  <c r="C197" i="14" s="1"/>
  <c r="D196" i="14"/>
  <c r="D196" i="14" a="1"/>
  <c r="C196" i="14" a="1"/>
  <c r="C196" i="14" s="1"/>
  <c r="D195" i="14"/>
  <c r="D195" i="14" a="1"/>
  <c r="C195" i="14" a="1"/>
  <c r="C195" i="14" s="1"/>
  <c r="D194" i="14"/>
  <c r="D194" i="14" a="1"/>
  <c r="C194" i="14" a="1"/>
  <c r="C194" i="14" s="1"/>
  <c r="D193" i="14"/>
  <c r="D193" i="14" a="1"/>
  <c r="C193" i="14" a="1"/>
  <c r="C193" i="14" s="1"/>
  <c r="D192" i="14"/>
  <c r="D192" i="14" a="1"/>
  <c r="C192" i="14" a="1"/>
  <c r="C192" i="14" s="1"/>
  <c r="D191" i="14"/>
  <c r="D191" i="14" a="1"/>
  <c r="C191" i="14" a="1"/>
  <c r="C191" i="14" s="1"/>
  <c r="D190" i="14"/>
  <c r="D190" i="14" a="1"/>
  <c r="C190" i="14" a="1"/>
  <c r="C190" i="14" s="1"/>
  <c r="D189" i="14"/>
  <c r="D189" i="14" a="1"/>
  <c r="C189" i="14" a="1"/>
  <c r="C189" i="14" s="1"/>
  <c r="D188" i="14"/>
  <c r="D188" i="14" a="1"/>
  <c r="C188" i="14" a="1"/>
  <c r="C188" i="14" s="1"/>
  <c r="D187" i="14"/>
  <c r="D187" i="14" a="1"/>
  <c r="C187" i="14" a="1"/>
  <c r="C187" i="14" s="1"/>
  <c r="D186" i="14"/>
  <c r="D186" i="14" a="1"/>
  <c r="C186" i="14" a="1"/>
  <c r="C186" i="14" s="1"/>
  <c r="D185" i="14"/>
  <c r="D185" i="14" a="1"/>
  <c r="C185" i="14" a="1"/>
  <c r="C185" i="14" s="1"/>
  <c r="D184" i="14"/>
  <c r="D184" i="14" a="1"/>
  <c r="C184" i="14" a="1"/>
  <c r="C184" i="14" s="1"/>
  <c r="D183" i="14"/>
  <c r="D183" i="14" a="1"/>
  <c r="C183" i="14" a="1"/>
  <c r="C183" i="14" s="1"/>
  <c r="D182" i="14"/>
  <c r="D182" i="14" a="1"/>
  <c r="C182" i="14" a="1"/>
  <c r="C182" i="14" s="1"/>
  <c r="D181" i="14"/>
  <c r="D181" i="14" a="1"/>
  <c r="C181" i="14" a="1"/>
  <c r="C181" i="14" s="1"/>
  <c r="D180" i="14"/>
  <c r="D180" i="14" a="1"/>
  <c r="C180" i="14" a="1"/>
  <c r="C180" i="14" s="1"/>
  <c r="I179" i="14"/>
  <c r="I179" i="14" a="1"/>
  <c r="H179" i="14" a="1"/>
  <c r="H179" i="14" s="1"/>
  <c r="D179" i="14" a="1"/>
  <c r="D179" i="14" s="1"/>
  <c r="C179" i="14"/>
  <c r="C179" i="14" a="1"/>
  <c r="I178" i="14" a="1"/>
  <c r="I178" i="14" s="1"/>
  <c r="H178" i="14"/>
  <c r="H178" i="14" a="1"/>
  <c r="D178" i="14"/>
  <c r="D178" i="14" a="1"/>
  <c r="C178" i="14" a="1"/>
  <c r="C178" i="14" s="1"/>
  <c r="I177" i="14"/>
  <c r="I177" i="14" a="1"/>
  <c r="H177" i="14" a="1"/>
  <c r="H177" i="14" s="1"/>
  <c r="D177" i="14" a="1"/>
  <c r="D177" i="14" s="1"/>
  <c r="C177" i="14"/>
  <c r="C177" i="14" a="1"/>
  <c r="I176" i="14" a="1"/>
  <c r="I176" i="14" s="1"/>
  <c r="H176" i="14" a="1"/>
  <c r="H176" i="14" s="1"/>
  <c r="D176" i="14"/>
  <c r="D176" i="14" a="1"/>
  <c r="C176" i="14" a="1"/>
  <c r="C176" i="14" s="1"/>
  <c r="I175" i="14" a="1"/>
  <c r="I175" i="14" s="1"/>
  <c r="H175" i="14" a="1"/>
  <c r="H175" i="14" s="1"/>
  <c r="D175" i="14" a="1"/>
  <c r="D175" i="14" s="1"/>
  <c r="C175" i="14"/>
  <c r="C175" i="14" a="1"/>
  <c r="I174" i="14" a="1"/>
  <c r="I174" i="14" s="1"/>
  <c r="H174" i="14"/>
  <c r="H174" i="14" a="1"/>
  <c r="D174" i="14"/>
  <c r="D174" i="14" a="1"/>
  <c r="C174" i="14" a="1"/>
  <c r="C174" i="14" s="1"/>
  <c r="I173" i="14"/>
  <c r="I173" i="14" a="1"/>
  <c r="H173" i="14" a="1"/>
  <c r="H173" i="14" s="1"/>
  <c r="D173" i="14" a="1"/>
  <c r="D173" i="14" s="1"/>
  <c r="C173" i="14"/>
  <c r="C173" i="14" a="1"/>
  <c r="I172" i="14" a="1"/>
  <c r="I172" i="14" s="1"/>
  <c r="H172" i="14"/>
  <c r="H172" i="14" a="1"/>
  <c r="D172" i="14"/>
  <c r="D172" i="14" a="1"/>
  <c r="C172" i="14" a="1"/>
  <c r="C172" i="14" s="1"/>
  <c r="I171" i="14"/>
  <c r="I171" i="14" a="1"/>
  <c r="H171" i="14" a="1"/>
  <c r="H171" i="14" s="1"/>
  <c r="D171" i="14" a="1"/>
  <c r="D171" i="14" s="1"/>
  <c r="C171" i="14" a="1"/>
  <c r="C171" i="14" s="1"/>
  <c r="I170" i="14" a="1"/>
  <c r="I170" i="14" s="1"/>
  <c r="H170" i="14"/>
  <c r="H170" i="14" a="1"/>
  <c r="D170" i="14" a="1"/>
  <c r="D170" i="14" s="1"/>
  <c r="C170" i="14" a="1"/>
  <c r="C170" i="14" s="1"/>
  <c r="I169" i="14"/>
  <c r="I169" i="14" a="1"/>
  <c r="H169" i="14" a="1"/>
  <c r="H169" i="14" s="1"/>
  <c r="D169" i="14" a="1"/>
  <c r="D169" i="14" s="1"/>
  <c r="C169" i="14" a="1"/>
  <c r="C169" i="14" s="1"/>
  <c r="I168" i="14" a="1"/>
  <c r="I168" i="14" s="1"/>
  <c r="H168" i="14" a="1"/>
  <c r="H168" i="14" s="1"/>
  <c r="D168" i="14" a="1"/>
  <c r="D168" i="14" s="1"/>
  <c r="C168" i="14" a="1"/>
  <c r="C168" i="14" s="1"/>
  <c r="I167" i="14" a="1"/>
  <c r="I167" i="14" s="1"/>
  <c r="H167" i="14" a="1"/>
  <c r="H167" i="14" s="1"/>
  <c r="D167" i="14" a="1"/>
  <c r="D167" i="14" s="1"/>
  <c r="C167" i="14"/>
  <c r="C167" i="14" a="1"/>
  <c r="I166" i="14" a="1"/>
  <c r="I166" i="14" s="1"/>
  <c r="H166" i="14" a="1"/>
  <c r="H166" i="14" s="1"/>
  <c r="D166" i="14"/>
  <c r="D166" i="14" a="1"/>
  <c r="C166" i="14" a="1"/>
  <c r="C166" i="14" s="1"/>
  <c r="I165" i="14" a="1"/>
  <c r="I165" i="14" s="1"/>
  <c r="H165" i="14" a="1"/>
  <c r="H165" i="14" s="1"/>
  <c r="D165" i="14" a="1"/>
  <c r="D165" i="14" s="1"/>
  <c r="C165" i="14"/>
  <c r="C165" i="14" a="1"/>
  <c r="I164" i="14" a="1"/>
  <c r="I164" i="14" s="1"/>
  <c r="H164" i="14"/>
  <c r="H164" i="14" a="1"/>
  <c r="D164" i="14"/>
  <c r="D164" i="14" a="1"/>
  <c r="C164" i="14" a="1"/>
  <c r="C164" i="14" s="1"/>
  <c r="I163" i="14"/>
  <c r="I163" i="14" a="1"/>
  <c r="H163" i="14" a="1"/>
  <c r="H163" i="14" s="1"/>
  <c r="D163" i="14" a="1"/>
  <c r="D163" i="14" s="1"/>
  <c r="C163" i="14" a="1"/>
  <c r="C163" i="14" s="1"/>
  <c r="I162" i="14" a="1"/>
  <c r="I162" i="14" s="1"/>
  <c r="H162" i="14"/>
  <c r="H162" i="14" a="1"/>
  <c r="D162" i="14" a="1"/>
  <c r="D162" i="14" s="1"/>
  <c r="C162" i="14" a="1"/>
  <c r="C162" i="14" s="1"/>
  <c r="I161" i="14"/>
  <c r="I161" i="14" a="1"/>
  <c r="H161" i="14" a="1"/>
  <c r="H161" i="14" s="1"/>
  <c r="D161" i="14" a="1"/>
  <c r="D161" i="14" s="1"/>
  <c r="C161" i="14" a="1"/>
  <c r="C161" i="14" s="1"/>
  <c r="I160" i="14" a="1"/>
  <c r="I160" i="14" s="1"/>
  <c r="H160" i="14" a="1"/>
  <c r="H160" i="14" s="1"/>
  <c r="D160" i="14" a="1"/>
  <c r="D160" i="14" s="1"/>
  <c r="C160" i="14" a="1"/>
  <c r="C160" i="14" s="1"/>
  <c r="I159" i="14" a="1"/>
  <c r="I159" i="14" s="1"/>
  <c r="H159" i="14" a="1"/>
  <c r="H159" i="14" s="1"/>
  <c r="D159" i="14" a="1"/>
  <c r="D159" i="14" s="1"/>
  <c r="C159" i="14" a="1"/>
  <c r="C159" i="14" s="1"/>
  <c r="I158" i="14" a="1"/>
  <c r="I158" i="14" s="1"/>
  <c r="H158" i="14" a="1"/>
  <c r="H158" i="14" s="1"/>
  <c r="D158" i="14" a="1"/>
  <c r="D158" i="14" s="1"/>
  <c r="C158" i="14" a="1"/>
  <c r="C158" i="14" s="1"/>
  <c r="I157" i="14" a="1"/>
  <c r="I157" i="14" s="1"/>
  <c r="H157" i="14" a="1"/>
  <c r="H157" i="14" s="1"/>
  <c r="D157" i="14" a="1"/>
  <c r="D157" i="14" s="1"/>
  <c r="C157" i="14"/>
  <c r="C157" i="14" a="1"/>
  <c r="I156" i="14" a="1"/>
  <c r="I156" i="14" s="1"/>
  <c r="H156" i="14" a="1"/>
  <c r="H156" i="14" s="1"/>
  <c r="D156" i="14"/>
  <c r="D156" i="14" a="1"/>
  <c r="C156" i="14" a="1"/>
  <c r="C156" i="14" s="1"/>
  <c r="I155" i="14" a="1"/>
  <c r="I155" i="14" s="1"/>
  <c r="H155" i="14" a="1"/>
  <c r="H155" i="14" s="1"/>
  <c r="D155" i="14" a="1"/>
  <c r="D155" i="14" s="1"/>
  <c r="C155" i="14" a="1"/>
  <c r="C155" i="14" s="1"/>
  <c r="I154" i="14" a="1"/>
  <c r="I154" i="14" s="1"/>
  <c r="H154" i="14"/>
  <c r="H154" i="14" a="1"/>
  <c r="D154" i="14" a="1"/>
  <c r="D154" i="14" s="1"/>
  <c r="C154" i="14" a="1"/>
  <c r="C154" i="14" s="1"/>
  <c r="I153" i="14"/>
  <c r="I153" i="14" a="1"/>
  <c r="H153" i="14" a="1"/>
  <c r="H153" i="14" s="1"/>
  <c r="D153" i="14" a="1"/>
  <c r="D153" i="14" s="1"/>
  <c r="C153" i="14" a="1"/>
  <c r="C153" i="14" s="1"/>
  <c r="I152" i="14" a="1"/>
  <c r="I152" i="14" s="1"/>
  <c r="H152" i="14" a="1"/>
  <c r="H152" i="14" s="1"/>
  <c r="D152" i="14" a="1"/>
  <c r="D152" i="14" s="1"/>
  <c r="C152" i="14" a="1"/>
  <c r="C152" i="14" s="1"/>
  <c r="I151" i="14" a="1"/>
  <c r="I151" i="14" s="1"/>
  <c r="H151" i="14" a="1"/>
  <c r="H151" i="14" s="1"/>
  <c r="D151" i="14" a="1"/>
  <c r="D151" i="14" s="1"/>
  <c r="C151" i="14" a="1"/>
  <c r="C151" i="14" s="1"/>
  <c r="I150" i="14" a="1"/>
  <c r="I150" i="14" s="1"/>
  <c r="H150" i="14" a="1"/>
  <c r="H150" i="14" s="1"/>
  <c r="D150" i="14" a="1"/>
  <c r="D150" i="14" s="1"/>
  <c r="C150" i="14" a="1"/>
  <c r="C150" i="14" s="1"/>
  <c r="I149" i="14" a="1"/>
  <c r="I149" i="14" s="1"/>
  <c r="H149" i="14" a="1"/>
  <c r="H149" i="14" s="1"/>
  <c r="D149" i="14" a="1"/>
  <c r="D149" i="14" s="1"/>
  <c r="C149" i="14"/>
  <c r="C149" i="14" a="1"/>
  <c r="I148" i="14" a="1"/>
  <c r="I148" i="14" s="1"/>
  <c r="H148" i="14" a="1"/>
  <c r="H148" i="14" s="1"/>
  <c r="D148" i="14"/>
  <c r="D148" i="14" a="1"/>
  <c r="C148" i="14" a="1"/>
  <c r="C148" i="14" s="1"/>
  <c r="I147" i="14" a="1"/>
  <c r="I147" i="14" s="1"/>
  <c r="H147" i="14" a="1"/>
  <c r="H147" i="14" s="1"/>
  <c r="D147" i="14" a="1"/>
  <c r="D147" i="14" s="1"/>
  <c r="C147" i="14" a="1"/>
  <c r="C147" i="14" s="1"/>
  <c r="I146" i="14" a="1"/>
  <c r="I146" i="14" s="1"/>
  <c r="H146" i="14"/>
  <c r="H146" i="14" a="1"/>
  <c r="D146" i="14" a="1"/>
  <c r="D146" i="14" s="1"/>
  <c r="C146" i="14" a="1"/>
  <c r="C146" i="14" s="1"/>
  <c r="I145" i="14"/>
  <c r="I145" i="14" a="1"/>
  <c r="H145" i="14" a="1"/>
  <c r="H145" i="14" s="1"/>
  <c r="D145" i="14" a="1"/>
  <c r="D145" i="14" s="1"/>
  <c r="C145" i="14" a="1"/>
  <c r="C145" i="14" s="1"/>
  <c r="I144" i="14" a="1"/>
  <c r="I144" i="14" s="1"/>
  <c r="H144" i="14" a="1"/>
  <c r="H144" i="14" s="1"/>
  <c r="D144" i="14" a="1"/>
  <c r="D144" i="14" s="1"/>
  <c r="C144" i="14" a="1"/>
  <c r="C144" i="14" s="1"/>
  <c r="I143" i="14" a="1"/>
  <c r="I143" i="14" s="1"/>
  <c r="H143" i="14" a="1"/>
  <c r="H143" i="14" s="1"/>
  <c r="D143" i="14" a="1"/>
  <c r="D143" i="14" s="1"/>
  <c r="C143" i="14"/>
  <c r="C143" i="14" a="1"/>
  <c r="I142" i="14" a="1"/>
  <c r="I142" i="14" s="1"/>
  <c r="H142" i="14"/>
  <c r="H142" i="14" a="1"/>
  <c r="D142" i="14" a="1"/>
  <c r="D142" i="14" s="1"/>
  <c r="C142" i="14" a="1"/>
  <c r="C142" i="14" s="1"/>
  <c r="I141" i="14" a="1"/>
  <c r="I141" i="14" s="1"/>
  <c r="H141" i="14" a="1"/>
  <c r="H141" i="14" s="1"/>
  <c r="D141" i="14" a="1"/>
  <c r="D141" i="14" s="1"/>
  <c r="C141" i="14"/>
  <c r="C141" i="14" a="1"/>
  <c r="I140" i="14" a="1"/>
  <c r="I140" i="14" s="1"/>
  <c r="H140" i="14"/>
  <c r="H140" i="14" a="1"/>
  <c r="D140" i="14" a="1"/>
  <c r="D140" i="14" s="1"/>
  <c r="C140" i="14" a="1"/>
  <c r="C140" i="14" s="1"/>
  <c r="I139" i="14" a="1"/>
  <c r="I139" i="14" s="1"/>
  <c r="H139" i="14" a="1"/>
  <c r="H139" i="14" s="1"/>
  <c r="D139" i="14" a="1"/>
  <c r="D139" i="14" s="1"/>
  <c r="C139" i="14"/>
  <c r="C139" i="14" a="1"/>
  <c r="I138" i="14" a="1"/>
  <c r="I138" i="14" s="1"/>
  <c r="H138" i="14"/>
  <c r="H138" i="14" a="1"/>
  <c r="D138" i="14" a="1"/>
  <c r="D138" i="14" s="1"/>
  <c r="C138" i="14" a="1"/>
  <c r="C138" i="14" s="1"/>
  <c r="I137" i="14" a="1"/>
  <c r="I137" i="14" s="1"/>
  <c r="H137" i="14" a="1"/>
  <c r="H137" i="14" s="1"/>
  <c r="D137" i="14" a="1"/>
  <c r="D137" i="14" s="1"/>
  <c r="C137" i="14" a="1"/>
  <c r="C137" i="14" s="1"/>
  <c r="I136" i="14"/>
  <c r="I136" i="14" a="1"/>
  <c r="H136" i="14" a="1"/>
  <c r="H136" i="14" s="1"/>
  <c r="D136" i="14" a="1"/>
  <c r="D136" i="14" s="1"/>
  <c r="C136" i="14" a="1"/>
  <c r="C136" i="14" s="1"/>
  <c r="I135" i="14" a="1"/>
  <c r="I135" i="14" s="1"/>
  <c r="H135" i="14" a="1"/>
  <c r="H135" i="14" s="1"/>
  <c r="D135" i="14" a="1"/>
  <c r="D135" i="14" s="1"/>
  <c r="C135" i="14" a="1"/>
  <c r="C135" i="14" s="1"/>
  <c r="I134" i="14" a="1"/>
  <c r="I134" i="14" s="1"/>
  <c r="H134" i="14" a="1"/>
  <c r="H134" i="14" s="1"/>
  <c r="D134" i="14" a="1"/>
  <c r="D134" i="14" s="1"/>
  <c r="C134" i="14" a="1"/>
  <c r="C134" i="14" s="1"/>
  <c r="I133" i="14" a="1"/>
  <c r="I133" i="14" s="1"/>
  <c r="H133" i="14" a="1"/>
  <c r="H133" i="14" s="1"/>
  <c r="D133" i="14" a="1"/>
  <c r="D133" i="14" s="1"/>
  <c r="C133" i="14"/>
  <c r="C133" i="14" a="1"/>
  <c r="I132" i="14" a="1"/>
  <c r="I132" i="14" s="1"/>
  <c r="H132" i="14" a="1"/>
  <c r="H132" i="14" s="1"/>
  <c r="D132" i="14" a="1"/>
  <c r="D132" i="14" s="1"/>
  <c r="C132" i="14" a="1"/>
  <c r="C132" i="14" s="1"/>
  <c r="I131" i="14" a="1"/>
  <c r="I131" i="14" s="1"/>
  <c r="H131" i="14" a="1"/>
  <c r="H131" i="14" s="1"/>
  <c r="D131" i="14"/>
  <c r="D131" i="14" a="1"/>
  <c r="C131" i="14" a="1"/>
  <c r="C131" i="14" s="1"/>
  <c r="I130" i="14" a="1"/>
  <c r="I130" i="14" s="1"/>
  <c r="H130" i="14"/>
  <c r="H130" i="14" a="1"/>
  <c r="D130" i="14" a="1"/>
  <c r="D130" i="14" s="1"/>
  <c r="C130" i="14" a="1"/>
  <c r="C130" i="14" s="1"/>
  <c r="I129" i="14" a="1"/>
  <c r="I129" i="14" s="1"/>
  <c r="H129" i="14" a="1"/>
  <c r="H129" i="14" s="1"/>
  <c r="D129" i="14" a="1"/>
  <c r="D129" i="14" s="1"/>
  <c r="C129" i="14" a="1"/>
  <c r="C129" i="14" s="1"/>
  <c r="I128" i="14"/>
  <c r="I128" i="14" a="1"/>
  <c r="H128" i="14" a="1"/>
  <c r="H128" i="14" s="1"/>
  <c r="D128" i="14" a="1"/>
  <c r="D128" i="14" s="1"/>
  <c r="C128" i="14" a="1"/>
  <c r="C128" i="14" s="1"/>
  <c r="I127" i="14" a="1"/>
  <c r="I127" i="14" s="1"/>
  <c r="H127" i="14" a="1"/>
  <c r="H127" i="14" s="1"/>
  <c r="D127" i="14" a="1"/>
  <c r="D127" i="14" s="1"/>
  <c r="C127" i="14" a="1"/>
  <c r="C127" i="14" s="1"/>
  <c r="I126" i="14" a="1"/>
  <c r="I126" i="14" s="1"/>
  <c r="H126" i="14" a="1"/>
  <c r="H126" i="14" s="1"/>
  <c r="D126" i="14" a="1"/>
  <c r="D126" i="14" s="1"/>
  <c r="C126" i="14" a="1"/>
  <c r="C126" i="14" s="1"/>
  <c r="I125" i="14" a="1"/>
  <c r="I125" i="14" s="1"/>
  <c r="H125" i="14" a="1"/>
  <c r="H125" i="14" s="1"/>
  <c r="D125" i="14" a="1"/>
  <c r="D125" i="14" s="1"/>
  <c r="C125" i="14" a="1"/>
  <c r="C125" i="14" s="1"/>
  <c r="I124" i="14" a="1"/>
  <c r="I124" i="14" s="1"/>
  <c r="H124" i="14" a="1"/>
  <c r="H124" i="14" s="1"/>
  <c r="D124" i="14" a="1"/>
  <c r="D124" i="14" s="1"/>
  <c r="C124" i="14" a="1"/>
  <c r="C124" i="14" s="1"/>
  <c r="I123" i="14" a="1"/>
  <c r="I123" i="14" s="1"/>
  <c r="H123" i="14" a="1"/>
  <c r="H123" i="14" s="1"/>
  <c r="D123" i="14" a="1"/>
  <c r="D123" i="14" s="1"/>
  <c r="C123" i="14" a="1"/>
  <c r="C123" i="14" s="1"/>
  <c r="I122" i="14" a="1"/>
  <c r="I122" i="14" s="1"/>
  <c r="H122" i="14" a="1"/>
  <c r="H122" i="14" s="1"/>
  <c r="D122" i="14" a="1"/>
  <c r="D122" i="14" s="1"/>
  <c r="C122" i="14" a="1"/>
  <c r="C122" i="14" s="1"/>
  <c r="I121" i="14" a="1"/>
  <c r="I121" i="14" s="1"/>
  <c r="H121" i="14" a="1"/>
  <c r="H121" i="14" s="1"/>
  <c r="D121" i="14" a="1"/>
  <c r="D121" i="14" s="1"/>
  <c r="C121" i="14" a="1"/>
  <c r="C121" i="14" s="1"/>
  <c r="I120" i="14" a="1"/>
  <c r="I120" i="14" s="1"/>
  <c r="H120" i="14" a="1"/>
  <c r="H120" i="14" s="1"/>
  <c r="D120" i="14" a="1"/>
  <c r="D120" i="14" s="1"/>
  <c r="C120" i="14" a="1"/>
  <c r="C120" i="14" s="1"/>
  <c r="I119" i="14" a="1"/>
  <c r="I119" i="14" s="1"/>
  <c r="H119" i="14" a="1"/>
  <c r="H119" i="14" s="1"/>
  <c r="D119" i="14" a="1"/>
  <c r="D119" i="14" s="1"/>
  <c r="C119" i="14" a="1"/>
  <c r="C119" i="14" s="1"/>
  <c r="I118" i="14" a="1"/>
  <c r="I118" i="14" s="1"/>
  <c r="H118" i="14" a="1"/>
  <c r="H118" i="14" s="1"/>
  <c r="D118" i="14" a="1"/>
  <c r="D118" i="14" s="1"/>
  <c r="C118" i="14" a="1"/>
  <c r="C118" i="14" s="1"/>
  <c r="I117" i="14" a="1"/>
  <c r="I117" i="14" s="1"/>
  <c r="H117" i="14" a="1"/>
  <c r="H117" i="14" s="1"/>
  <c r="D117" i="14" a="1"/>
  <c r="D117" i="14" s="1"/>
  <c r="C117" i="14" a="1"/>
  <c r="C117" i="14" s="1"/>
  <c r="I116" i="14" a="1"/>
  <c r="I116" i="14" s="1"/>
  <c r="H116" i="14" a="1"/>
  <c r="H116" i="14" s="1"/>
  <c r="D116" i="14" a="1"/>
  <c r="D116" i="14" s="1"/>
  <c r="C116" i="14" a="1"/>
  <c r="C116" i="14" s="1"/>
  <c r="I115" i="14" a="1"/>
  <c r="I115" i="14" s="1"/>
  <c r="H115" i="14" a="1"/>
  <c r="H115" i="14" s="1"/>
  <c r="D115" i="14" a="1"/>
  <c r="D115" i="14" s="1"/>
  <c r="C115" i="14" a="1"/>
  <c r="C115" i="14" s="1"/>
  <c r="I114" i="14" a="1"/>
  <c r="I114" i="14" s="1"/>
  <c r="H114" i="14" a="1"/>
  <c r="H114" i="14" s="1"/>
  <c r="D114" i="14" a="1"/>
  <c r="D114" i="14" s="1"/>
  <c r="C114" i="14" a="1"/>
  <c r="C114" i="14" s="1"/>
  <c r="I113" i="14" a="1"/>
  <c r="I113" i="14" s="1"/>
  <c r="H113" i="14" a="1"/>
  <c r="H113" i="14" s="1"/>
  <c r="D113" i="14" a="1"/>
  <c r="D113" i="14" s="1"/>
  <c r="C113" i="14" a="1"/>
  <c r="C113" i="14" s="1"/>
  <c r="I112" i="14" a="1"/>
  <c r="I112" i="14" s="1"/>
  <c r="H112" i="14" a="1"/>
  <c r="H112" i="14" s="1"/>
  <c r="D112" i="14" a="1"/>
  <c r="D112" i="14" s="1"/>
  <c r="C112" i="14" a="1"/>
  <c r="C112" i="14" s="1"/>
  <c r="I111" i="14" a="1"/>
  <c r="I111" i="14" s="1"/>
  <c r="H111" i="14" a="1"/>
  <c r="H111" i="14" s="1"/>
  <c r="D111" i="14" a="1"/>
  <c r="D111" i="14" s="1"/>
  <c r="C111" i="14" a="1"/>
  <c r="C111" i="14" s="1"/>
  <c r="I110" i="14" a="1"/>
  <c r="I110" i="14" s="1"/>
  <c r="H110" i="14" a="1"/>
  <c r="H110" i="14" s="1"/>
  <c r="D110" i="14" a="1"/>
  <c r="D110" i="14" s="1"/>
  <c r="C110" i="14" a="1"/>
  <c r="C110" i="14" s="1"/>
  <c r="I109" i="14" a="1"/>
  <c r="I109" i="14" s="1"/>
  <c r="H109" i="14" a="1"/>
  <c r="H109" i="14" s="1"/>
  <c r="D109" i="14" a="1"/>
  <c r="D109" i="14" s="1"/>
  <c r="C109" i="14" a="1"/>
  <c r="C109" i="14" s="1"/>
  <c r="I108" i="14" a="1"/>
  <c r="I108" i="14" s="1"/>
  <c r="H108" i="14" a="1"/>
  <c r="H108" i="14" s="1"/>
  <c r="D108" i="14" a="1"/>
  <c r="D108" i="14" s="1"/>
  <c r="C108" i="14" a="1"/>
  <c r="C108" i="14" s="1"/>
  <c r="I107" i="14" a="1"/>
  <c r="I107" i="14" s="1"/>
  <c r="H107" i="14" a="1"/>
  <c r="H107" i="14" s="1"/>
  <c r="D107" i="14" a="1"/>
  <c r="D107" i="14" s="1"/>
  <c r="C107" i="14" a="1"/>
  <c r="C107" i="14" s="1"/>
  <c r="I106" i="14" a="1"/>
  <c r="I106" i="14" s="1"/>
  <c r="H106" i="14" a="1"/>
  <c r="H106" i="14" s="1"/>
  <c r="D106" i="14" a="1"/>
  <c r="D106" i="14" s="1"/>
  <c r="C106" i="14" a="1"/>
  <c r="C106" i="14" s="1"/>
  <c r="I105" i="14" a="1"/>
  <c r="I105" i="14" s="1"/>
  <c r="H105" i="14" a="1"/>
  <c r="H105" i="14" s="1"/>
  <c r="D105" i="14" a="1"/>
  <c r="D105" i="14" s="1"/>
  <c r="C105" i="14" a="1"/>
  <c r="C105" i="14" s="1"/>
  <c r="I104" i="14" a="1"/>
  <c r="I104" i="14" s="1"/>
  <c r="H104" i="14" a="1"/>
  <c r="H104" i="14" s="1"/>
  <c r="D104" i="14" a="1"/>
  <c r="D104" i="14" s="1"/>
  <c r="C104" i="14" a="1"/>
  <c r="C104" i="14" s="1"/>
  <c r="I103" i="14" a="1"/>
  <c r="I103" i="14" s="1"/>
  <c r="H103" i="14" a="1"/>
  <c r="H103" i="14" s="1"/>
  <c r="D103" i="14" a="1"/>
  <c r="D103" i="14" s="1"/>
  <c r="C103" i="14" a="1"/>
  <c r="C103" i="14" s="1"/>
  <c r="I102" i="14" a="1"/>
  <c r="I102" i="14" s="1"/>
  <c r="H102" i="14" a="1"/>
  <c r="H102" i="14" s="1"/>
  <c r="D102" i="14" a="1"/>
  <c r="D102" i="14" s="1"/>
  <c r="C102" i="14" a="1"/>
  <c r="C102" i="14" s="1"/>
  <c r="I101" i="14" a="1"/>
  <c r="I101" i="14" s="1"/>
  <c r="H101" i="14" a="1"/>
  <c r="H101" i="14" s="1"/>
  <c r="D101" i="14" a="1"/>
  <c r="D101" i="14" s="1"/>
  <c r="C101" i="14" a="1"/>
  <c r="C101" i="14" s="1"/>
  <c r="I100" i="14" a="1"/>
  <c r="I100" i="14" s="1"/>
  <c r="H100" i="14" a="1"/>
  <c r="H100" i="14" s="1"/>
  <c r="D100" i="14" a="1"/>
  <c r="D100" i="14" s="1"/>
  <c r="C100" i="14" a="1"/>
  <c r="C100" i="14" s="1"/>
  <c r="I99" i="14" a="1"/>
  <c r="I99" i="14" s="1"/>
  <c r="H99" i="14" a="1"/>
  <c r="H99" i="14" s="1"/>
  <c r="D99" i="14" a="1"/>
  <c r="D99" i="14" s="1"/>
  <c r="C99" i="14" a="1"/>
  <c r="C99" i="14" s="1"/>
  <c r="I98" i="14" a="1"/>
  <c r="I98" i="14" s="1"/>
  <c r="H98" i="14" a="1"/>
  <c r="H98" i="14" s="1"/>
  <c r="D98" i="14" a="1"/>
  <c r="D98" i="14" s="1"/>
  <c r="C98" i="14" a="1"/>
  <c r="C98" i="14" s="1"/>
  <c r="I97" i="14" a="1"/>
  <c r="I97" i="14" s="1"/>
  <c r="H97" i="14" a="1"/>
  <c r="H97" i="14" s="1"/>
  <c r="D97" i="14" a="1"/>
  <c r="D97" i="14" s="1"/>
  <c r="C97" i="14" a="1"/>
  <c r="C97" i="14" s="1"/>
  <c r="I96" i="14" a="1"/>
  <c r="I96" i="14" s="1"/>
  <c r="H96" i="14" a="1"/>
  <c r="H96" i="14" s="1"/>
  <c r="D96" i="14" a="1"/>
  <c r="D96" i="14" s="1"/>
  <c r="C96" i="14" a="1"/>
  <c r="C96" i="14" s="1"/>
  <c r="I95" i="14" a="1"/>
  <c r="I95" i="14" s="1"/>
  <c r="H95" i="14" a="1"/>
  <c r="H95" i="14" s="1"/>
  <c r="D95" i="14" a="1"/>
  <c r="D95" i="14" s="1"/>
  <c r="C95" i="14" a="1"/>
  <c r="C95" i="14" s="1"/>
  <c r="I94" i="14" a="1"/>
  <c r="I94" i="14" s="1"/>
  <c r="H94" i="14" a="1"/>
  <c r="H94" i="14" s="1"/>
  <c r="D94" i="14" a="1"/>
  <c r="D94" i="14" s="1"/>
  <c r="C94" i="14" a="1"/>
  <c r="C94" i="14" s="1"/>
  <c r="I93" i="14" a="1"/>
  <c r="I93" i="14" s="1"/>
  <c r="H93" i="14" a="1"/>
  <c r="H93" i="14" s="1"/>
  <c r="D93" i="14" a="1"/>
  <c r="D93" i="14" s="1"/>
  <c r="C93" i="14" a="1"/>
  <c r="C93" i="14" s="1"/>
  <c r="I92" i="14" a="1"/>
  <c r="I92" i="14" s="1"/>
  <c r="H92" i="14" a="1"/>
  <c r="H92" i="14" s="1"/>
  <c r="D92" i="14" a="1"/>
  <c r="D92" i="14" s="1"/>
  <c r="C92" i="14" a="1"/>
  <c r="C92" i="14" s="1"/>
  <c r="I91" i="14" a="1"/>
  <c r="I91" i="14" s="1"/>
  <c r="H91" i="14" a="1"/>
  <c r="H91" i="14" s="1"/>
  <c r="D91" i="14" a="1"/>
  <c r="D91" i="14" s="1"/>
  <c r="C91" i="14" a="1"/>
  <c r="C91" i="14" s="1"/>
  <c r="I90" i="14" a="1"/>
  <c r="I90" i="14" s="1"/>
  <c r="H90" i="14" a="1"/>
  <c r="H90" i="14" s="1"/>
  <c r="D90" i="14" a="1"/>
  <c r="D90" i="14" s="1"/>
  <c r="C90" i="14" a="1"/>
  <c r="C90" i="14" s="1"/>
  <c r="I89" i="14" a="1"/>
  <c r="I89" i="14" s="1"/>
  <c r="H89" i="14" a="1"/>
  <c r="H89" i="14" s="1"/>
  <c r="D89" i="14" a="1"/>
  <c r="D89" i="14" s="1"/>
  <c r="C89" i="14" a="1"/>
  <c r="C89" i="14" s="1"/>
  <c r="I88" i="14" a="1"/>
  <c r="I88" i="14" s="1"/>
  <c r="H88" i="14" a="1"/>
  <c r="H88" i="14" s="1"/>
  <c r="D88" i="14" a="1"/>
  <c r="D88" i="14" s="1"/>
  <c r="C88" i="14" a="1"/>
  <c r="C88" i="14" s="1"/>
  <c r="I87" i="14" a="1"/>
  <c r="I87" i="14" s="1"/>
  <c r="H87" i="14" a="1"/>
  <c r="H87" i="14" s="1"/>
  <c r="D87" i="14" a="1"/>
  <c r="D87" i="14" s="1"/>
  <c r="C87" i="14" a="1"/>
  <c r="C87" i="14" s="1"/>
  <c r="I86" i="14" a="1"/>
  <c r="I86" i="14" s="1"/>
  <c r="H86" i="14" a="1"/>
  <c r="H86" i="14" s="1"/>
  <c r="D86" i="14" a="1"/>
  <c r="D86" i="14" s="1"/>
  <c r="C86" i="14" a="1"/>
  <c r="C86" i="14" s="1"/>
  <c r="I85" i="14" a="1"/>
  <c r="I85" i="14" s="1"/>
  <c r="H85" i="14" a="1"/>
  <c r="H85" i="14" s="1"/>
  <c r="D85" i="14" a="1"/>
  <c r="D85" i="14" s="1"/>
  <c r="C85" i="14" a="1"/>
  <c r="C85" i="14" s="1"/>
  <c r="I84" i="14" a="1"/>
  <c r="I84" i="14" s="1"/>
  <c r="H84" i="14" a="1"/>
  <c r="H84" i="14" s="1"/>
  <c r="D84" i="14" a="1"/>
  <c r="D84" i="14" s="1"/>
  <c r="C84" i="14" a="1"/>
  <c r="C84" i="14" s="1"/>
  <c r="I83" i="14" a="1"/>
  <c r="I83" i="14" s="1"/>
  <c r="H83" i="14" a="1"/>
  <c r="H83" i="14" s="1"/>
  <c r="D83" i="14" a="1"/>
  <c r="D83" i="14" s="1"/>
  <c r="C83" i="14" a="1"/>
  <c r="C83" i="14" s="1"/>
  <c r="I82" i="14" a="1"/>
  <c r="I82" i="14" s="1"/>
  <c r="H82" i="14" a="1"/>
  <c r="H82" i="14" s="1"/>
  <c r="D82" i="14" a="1"/>
  <c r="D82" i="14" s="1"/>
  <c r="C82" i="14" a="1"/>
  <c r="C82" i="14" s="1"/>
  <c r="I81" i="14" a="1"/>
  <c r="I81" i="14" s="1"/>
  <c r="H81" i="14" a="1"/>
  <c r="H81" i="14" s="1"/>
  <c r="D81" i="14" a="1"/>
  <c r="D81" i="14" s="1"/>
  <c r="C81" i="14" a="1"/>
  <c r="C81" i="14" s="1"/>
  <c r="I80" i="14" a="1"/>
  <c r="I80" i="14" s="1"/>
  <c r="H80" i="14" a="1"/>
  <c r="H80" i="14" s="1"/>
  <c r="D80" i="14" a="1"/>
  <c r="D80" i="14" s="1"/>
  <c r="C80" i="14" a="1"/>
  <c r="C80" i="14" s="1"/>
  <c r="I79" i="14" a="1"/>
  <c r="I79" i="14" s="1"/>
  <c r="H79" i="14" a="1"/>
  <c r="H79" i="14" s="1"/>
  <c r="D79" i="14" a="1"/>
  <c r="D79" i="14" s="1"/>
  <c r="C79" i="14" a="1"/>
  <c r="C79" i="14" s="1"/>
  <c r="I78" i="14" a="1"/>
  <c r="I78" i="14" s="1"/>
  <c r="H78" i="14" a="1"/>
  <c r="H78" i="14" s="1"/>
  <c r="D78" i="14" a="1"/>
  <c r="D78" i="14" s="1"/>
  <c r="C78" i="14" a="1"/>
  <c r="C78" i="14" s="1"/>
  <c r="I77" i="14" a="1"/>
  <c r="I77" i="14" s="1"/>
  <c r="H77" i="14" a="1"/>
  <c r="H77" i="14" s="1"/>
  <c r="D77" i="14" a="1"/>
  <c r="D77" i="14" s="1"/>
  <c r="C77" i="14" a="1"/>
  <c r="C77" i="14" s="1"/>
  <c r="I76" i="14" a="1"/>
  <c r="I76" i="14" s="1"/>
  <c r="H76" i="14" a="1"/>
  <c r="H76" i="14" s="1"/>
  <c r="D76" i="14" a="1"/>
  <c r="D76" i="14" s="1"/>
  <c r="C76" i="14" a="1"/>
  <c r="C76" i="14" s="1"/>
  <c r="I75" i="14" a="1"/>
  <c r="I75" i="14" s="1"/>
  <c r="H75" i="14" a="1"/>
  <c r="H75" i="14" s="1"/>
  <c r="D75" i="14" a="1"/>
  <c r="D75" i="14" s="1"/>
  <c r="C75" i="14" a="1"/>
  <c r="C75" i="14" s="1"/>
  <c r="I74" i="14" a="1"/>
  <c r="I74" i="14" s="1"/>
  <c r="H74" i="14" a="1"/>
  <c r="H74" i="14" s="1"/>
  <c r="D74" i="14" a="1"/>
  <c r="D74" i="14" s="1"/>
  <c r="C74" i="14" a="1"/>
  <c r="C74" i="14" s="1"/>
  <c r="I73" i="14" a="1"/>
  <c r="I73" i="14" s="1"/>
  <c r="H73" i="14" a="1"/>
  <c r="H73" i="14" s="1"/>
  <c r="D73" i="14" a="1"/>
  <c r="D73" i="14" s="1"/>
  <c r="C73" i="14" a="1"/>
  <c r="C73" i="14" s="1"/>
  <c r="I72" i="14" a="1"/>
  <c r="I72" i="14" s="1"/>
  <c r="H72" i="14" a="1"/>
  <c r="H72" i="14" s="1"/>
  <c r="D72" i="14" a="1"/>
  <c r="D72" i="14" s="1"/>
  <c r="C72" i="14" a="1"/>
  <c r="C72" i="14" s="1"/>
  <c r="I71" i="14" a="1"/>
  <c r="I71" i="14" s="1"/>
  <c r="H71" i="14" a="1"/>
  <c r="H71" i="14" s="1"/>
  <c r="D71" i="14" a="1"/>
  <c r="D71" i="14" s="1"/>
  <c r="C71" i="14" a="1"/>
  <c r="C71" i="14" s="1"/>
  <c r="I70" i="14" a="1"/>
  <c r="I70" i="14" s="1"/>
  <c r="H70" i="14" a="1"/>
  <c r="H70" i="14" s="1"/>
  <c r="D70" i="14" a="1"/>
  <c r="D70" i="14" s="1"/>
  <c r="C70" i="14" a="1"/>
  <c r="C70" i="14" s="1"/>
  <c r="I69" i="14" a="1"/>
  <c r="I69" i="14" s="1"/>
  <c r="H69" i="14" a="1"/>
  <c r="H69" i="14" s="1"/>
  <c r="D69" i="14" a="1"/>
  <c r="D69" i="14" s="1"/>
  <c r="C69" i="14" a="1"/>
  <c r="C69" i="14" s="1"/>
  <c r="I68" i="14" a="1"/>
  <c r="I68" i="14" s="1"/>
  <c r="H68" i="14" a="1"/>
  <c r="H68" i="14" s="1"/>
  <c r="D68" i="14" a="1"/>
  <c r="D68" i="14" s="1"/>
  <c r="C68" i="14" a="1"/>
  <c r="C68" i="14" s="1"/>
  <c r="I67" i="14" a="1"/>
  <c r="I67" i="14" s="1"/>
  <c r="H67" i="14" a="1"/>
  <c r="H67" i="14" s="1"/>
  <c r="D67" i="14" a="1"/>
  <c r="D67" i="14" s="1"/>
  <c r="C67" i="14" a="1"/>
  <c r="C67" i="14" s="1"/>
  <c r="I66" i="14" a="1"/>
  <c r="I66" i="14" s="1"/>
  <c r="H66" i="14" a="1"/>
  <c r="H66" i="14" s="1"/>
  <c r="D66" i="14" a="1"/>
  <c r="D66" i="14" s="1"/>
  <c r="C66" i="14" a="1"/>
  <c r="C66" i="14" s="1"/>
  <c r="I65" i="14" a="1"/>
  <c r="I65" i="14" s="1"/>
  <c r="H65" i="14" a="1"/>
  <c r="H65" i="14" s="1"/>
  <c r="D65" i="14" a="1"/>
  <c r="D65" i="14" s="1"/>
  <c r="C65" i="14" a="1"/>
  <c r="C65" i="14" s="1"/>
  <c r="I64" i="14" a="1"/>
  <c r="I64" i="14" s="1"/>
  <c r="H64" i="14" a="1"/>
  <c r="H64" i="14" s="1"/>
  <c r="D64" i="14" a="1"/>
  <c r="D64" i="14" s="1"/>
  <c r="C64" i="14" a="1"/>
  <c r="C64" i="14" s="1"/>
  <c r="I63" i="14" a="1"/>
  <c r="I63" i="14" s="1"/>
  <c r="H63" i="14" a="1"/>
  <c r="H63" i="14" s="1"/>
  <c r="D63" i="14" a="1"/>
  <c r="D63" i="14" s="1"/>
  <c r="C63" i="14" a="1"/>
  <c r="C63" i="14" s="1"/>
  <c r="I62" i="14" a="1"/>
  <c r="I62" i="14" s="1"/>
  <c r="H62" i="14" a="1"/>
  <c r="H62" i="14" s="1"/>
  <c r="D62" i="14" a="1"/>
  <c r="D62" i="14" s="1"/>
  <c r="C62" i="14" a="1"/>
  <c r="C62" i="14" s="1"/>
  <c r="I61" i="14" a="1"/>
  <c r="I61" i="14" s="1"/>
  <c r="H61" i="14" a="1"/>
  <c r="H61" i="14" s="1"/>
  <c r="D61" i="14" a="1"/>
  <c r="D61" i="14" s="1"/>
  <c r="C61" i="14" a="1"/>
  <c r="C61" i="14" s="1"/>
  <c r="I60" i="14" a="1"/>
  <c r="I60" i="14" s="1"/>
  <c r="H60" i="14" a="1"/>
  <c r="H60" i="14" s="1"/>
  <c r="D60" i="14" a="1"/>
  <c r="D60" i="14" s="1"/>
  <c r="C60" i="14" a="1"/>
  <c r="C60" i="14" s="1"/>
  <c r="I59" i="14" a="1"/>
  <c r="I59" i="14" s="1"/>
  <c r="H59" i="14" a="1"/>
  <c r="H59" i="14" s="1"/>
  <c r="D59" i="14" a="1"/>
  <c r="D59" i="14" s="1"/>
  <c r="C59" i="14" a="1"/>
  <c r="C59" i="14" s="1"/>
  <c r="I58" i="14" a="1"/>
  <c r="I58" i="14" s="1"/>
  <c r="H58" i="14" a="1"/>
  <c r="H58" i="14" s="1"/>
  <c r="D58" i="14" a="1"/>
  <c r="D58" i="14" s="1"/>
  <c r="C58" i="14" a="1"/>
  <c r="C58" i="14" s="1"/>
  <c r="I57" i="14" a="1"/>
  <c r="I57" i="14" s="1"/>
  <c r="H57" i="14" a="1"/>
  <c r="H57" i="14" s="1"/>
  <c r="D57" i="14" a="1"/>
  <c r="D57" i="14" s="1"/>
  <c r="C57" i="14" a="1"/>
  <c r="C57" i="14" s="1"/>
  <c r="I56" i="14" a="1"/>
  <c r="I56" i="14" s="1"/>
  <c r="H56" i="14" a="1"/>
  <c r="H56" i="14" s="1"/>
  <c r="D56" i="14" a="1"/>
  <c r="D56" i="14" s="1"/>
  <c r="C56" i="14" a="1"/>
  <c r="C56" i="14" s="1"/>
  <c r="I55" i="14" a="1"/>
  <c r="I55" i="14" s="1"/>
  <c r="H55" i="14" a="1"/>
  <c r="H55" i="14" s="1"/>
  <c r="D55" i="14" a="1"/>
  <c r="D55" i="14" s="1"/>
  <c r="C55" i="14" a="1"/>
  <c r="C55" i="14" s="1"/>
  <c r="I54" i="14" a="1"/>
  <c r="I54" i="14" s="1"/>
  <c r="H54" i="14" a="1"/>
  <c r="H54" i="14" s="1"/>
  <c r="D54" i="14" a="1"/>
  <c r="D54" i="14" s="1"/>
  <c r="C54" i="14" a="1"/>
  <c r="C54" i="14" s="1"/>
  <c r="I53" i="14" a="1"/>
  <c r="I53" i="14" s="1"/>
  <c r="H53" i="14" a="1"/>
  <c r="H53" i="14" s="1"/>
  <c r="D53" i="14" a="1"/>
  <c r="D53" i="14" s="1"/>
  <c r="C53" i="14" a="1"/>
  <c r="C53" i="14" s="1"/>
  <c r="I52" i="14" a="1"/>
  <c r="I52" i="14" s="1"/>
  <c r="H52" i="14" a="1"/>
  <c r="H52" i="14" s="1"/>
  <c r="D52" i="14" a="1"/>
  <c r="D52" i="14" s="1"/>
  <c r="C52" i="14" a="1"/>
  <c r="C52" i="14" s="1"/>
  <c r="I51" i="14" a="1"/>
  <c r="I51" i="14" s="1"/>
  <c r="H51" i="14" a="1"/>
  <c r="H51" i="14" s="1"/>
  <c r="D51" i="14" a="1"/>
  <c r="D51" i="14" s="1"/>
  <c r="C51" i="14" a="1"/>
  <c r="C51" i="14" s="1"/>
  <c r="I50" i="14" a="1"/>
  <c r="I50" i="14" s="1"/>
  <c r="H50" i="14" a="1"/>
  <c r="H50" i="14" s="1"/>
  <c r="D50" i="14" a="1"/>
  <c r="D50" i="14" s="1"/>
  <c r="C50" i="14" a="1"/>
  <c r="C50" i="14" s="1"/>
  <c r="I49" i="14" a="1"/>
  <c r="I49" i="14" s="1"/>
  <c r="H49" i="14" a="1"/>
  <c r="H49" i="14" s="1"/>
  <c r="D49" i="14" a="1"/>
  <c r="D49" i="14" s="1"/>
  <c r="C49" i="14" a="1"/>
  <c r="C49" i="14" s="1"/>
  <c r="I48" i="14" a="1"/>
  <c r="I48" i="14" s="1"/>
  <c r="H48" i="14" a="1"/>
  <c r="H48" i="14" s="1"/>
  <c r="D48" i="14" a="1"/>
  <c r="D48" i="14" s="1"/>
  <c r="C48" i="14" a="1"/>
  <c r="C48" i="14" s="1"/>
  <c r="I47" i="14" a="1"/>
  <c r="I47" i="14" s="1"/>
  <c r="H47" i="14" a="1"/>
  <c r="H47" i="14" s="1"/>
  <c r="D47" i="14" a="1"/>
  <c r="D47" i="14" s="1"/>
  <c r="C47" i="14" a="1"/>
  <c r="C47" i="14" s="1"/>
  <c r="I46" i="14" a="1"/>
  <c r="I46" i="14" s="1"/>
  <c r="H46" i="14" a="1"/>
  <c r="H46" i="14" s="1"/>
  <c r="D46" i="14" a="1"/>
  <c r="D46" i="14" s="1"/>
  <c r="C46" i="14" a="1"/>
  <c r="C46" i="14" s="1"/>
  <c r="I45" i="14" a="1"/>
  <c r="I45" i="14" s="1"/>
  <c r="H45" i="14" a="1"/>
  <c r="H45" i="14" s="1"/>
  <c r="D45" i="14" a="1"/>
  <c r="D45" i="14" s="1"/>
  <c r="C45" i="14" a="1"/>
  <c r="C45" i="14" s="1"/>
  <c r="I44" i="14" a="1"/>
  <c r="I44" i="14" s="1"/>
  <c r="H44" i="14" a="1"/>
  <c r="H44" i="14" s="1"/>
  <c r="D44" i="14" a="1"/>
  <c r="D44" i="14" s="1"/>
  <c r="C44" i="14" a="1"/>
  <c r="C44" i="14" s="1"/>
  <c r="I43" i="14" a="1"/>
  <c r="I43" i="14" s="1"/>
  <c r="H43" i="14" a="1"/>
  <c r="H43" i="14" s="1"/>
  <c r="D43" i="14" a="1"/>
  <c r="D43" i="14" s="1"/>
  <c r="C43" i="14" a="1"/>
  <c r="C43" i="14" s="1"/>
  <c r="I42" i="14" a="1"/>
  <c r="I42" i="14" s="1"/>
  <c r="H42" i="14" a="1"/>
  <c r="H42" i="14" s="1"/>
  <c r="D42" i="14" a="1"/>
  <c r="D42" i="14" s="1"/>
  <c r="C42" i="14" a="1"/>
  <c r="C42" i="14" s="1"/>
  <c r="I41" i="14" a="1"/>
  <c r="I41" i="14" s="1"/>
  <c r="H41" i="14" a="1"/>
  <c r="H41" i="14" s="1"/>
  <c r="D41" i="14" a="1"/>
  <c r="D41" i="14" s="1"/>
  <c r="C41" i="14" a="1"/>
  <c r="C41" i="14" s="1"/>
  <c r="I40" i="14" a="1"/>
  <c r="I40" i="14" s="1"/>
  <c r="H40" i="14" a="1"/>
  <c r="H40" i="14" s="1"/>
  <c r="D40" i="14" a="1"/>
  <c r="D40" i="14" s="1"/>
  <c r="C40" i="14" a="1"/>
  <c r="C40" i="14" s="1"/>
  <c r="I39" i="14" a="1"/>
  <c r="I39" i="14" s="1"/>
  <c r="H39" i="14" a="1"/>
  <c r="H39" i="14" s="1"/>
  <c r="D39" i="14" a="1"/>
  <c r="D39" i="14" s="1"/>
  <c r="C39" i="14" a="1"/>
  <c r="C39" i="14" s="1"/>
  <c r="I38" i="14" a="1"/>
  <c r="I38" i="14" s="1"/>
  <c r="H38" i="14" a="1"/>
  <c r="H38" i="14" s="1"/>
  <c r="D38" i="14" a="1"/>
  <c r="D38" i="14" s="1"/>
  <c r="C38" i="14" a="1"/>
  <c r="C38" i="14" s="1"/>
  <c r="I37" i="14" a="1"/>
  <c r="I37" i="14" s="1"/>
  <c r="H37" i="14" a="1"/>
  <c r="H37" i="14" s="1"/>
  <c r="D37" i="14" a="1"/>
  <c r="D37" i="14" s="1"/>
  <c r="C37" i="14" a="1"/>
  <c r="C37" i="14" s="1"/>
  <c r="I36" i="14" a="1"/>
  <c r="I36" i="14" s="1"/>
  <c r="H36" i="14" a="1"/>
  <c r="H36" i="14" s="1"/>
  <c r="D36" i="14" a="1"/>
  <c r="D36" i="14" s="1"/>
  <c r="C36" i="14" a="1"/>
  <c r="C36" i="14" s="1"/>
  <c r="I35" i="14" a="1"/>
  <c r="I35" i="14" s="1"/>
  <c r="H35" i="14" a="1"/>
  <c r="H35" i="14" s="1"/>
  <c r="D35" i="14" a="1"/>
  <c r="D35" i="14" s="1"/>
  <c r="C35" i="14" a="1"/>
  <c r="C35" i="14" s="1"/>
  <c r="I34" i="14" a="1"/>
  <c r="I34" i="14" s="1"/>
  <c r="H34" i="14" a="1"/>
  <c r="H34" i="14" s="1"/>
  <c r="D34" i="14" a="1"/>
  <c r="D34" i="14" s="1"/>
  <c r="C34" i="14" a="1"/>
  <c r="C34" i="14" s="1"/>
  <c r="I33" i="14" a="1"/>
  <c r="I33" i="14" s="1"/>
  <c r="H33" i="14" a="1"/>
  <c r="H33" i="14" s="1"/>
  <c r="D33" i="14" a="1"/>
  <c r="D33" i="14" s="1"/>
  <c r="C33" i="14" a="1"/>
  <c r="C33" i="14" s="1"/>
  <c r="I32" i="14" a="1"/>
  <c r="I32" i="14" s="1"/>
  <c r="H32" i="14" a="1"/>
  <c r="H32" i="14" s="1"/>
  <c r="D32" i="14" a="1"/>
  <c r="D32" i="14" s="1"/>
  <c r="C32" i="14" a="1"/>
  <c r="C32" i="14" s="1"/>
  <c r="I31" i="14" a="1"/>
  <c r="I31" i="14" s="1"/>
  <c r="H31" i="14" a="1"/>
  <c r="H31" i="14" s="1"/>
  <c r="D31" i="14" a="1"/>
  <c r="D31" i="14" s="1"/>
  <c r="C31" i="14" a="1"/>
  <c r="C31" i="14" s="1"/>
  <c r="I30" i="14" a="1"/>
  <c r="I30" i="14" s="1"/>
  <c r="H30" i="14" a="1"/>
  <c r="H30" i="14" s="1"/>
  <c r="D30" i="14" a="1"/>
  <c r="D30" i="14" s="1"/>
  <c r="C30" i="14" a="1"/>
  <c r="C30" i="14" s="1"/>
  <c r="I29" i="14" a="1"/>
  <c r="I29" i="14" s="1"/>
  <c r="H29" i="14" a="1"/>
  <c r="H29" i="14" s="1"/>
  <c r="D29" i="14" a="1"/>
  <c r="D29" i="14" s="1"/>
  <c r="C29" i="14" a="1"/>
  <c r="C29" i="14" s="1"/>
  <c r="I28" i="14" a="1"/>
  <c r="I28" i="14" s="1"/>
  <c r="H28" i="14" a="1"/>
  <c r="H28" i="14" s="1"/>
  <c r="D28" i="14" a="1"/>
  <c r="D28" i="14" s="1"/>
  <c r="C28" i="14" a="1"/>
  <c r="C28" i="14" s="1"/>
  <c r="I27" i="14" a="1"/>
  <c r="I27" i="14" s="1"/>
  <c r="H27" i="14" a="1"/>
  <c r="H27" i="14" s="1"/>
  <c r="D27" i="14" a="1"/>
  <c r="D27" i="14" s="1"/>
  <c r="C27" i="14" a="1"/>
  <c r="C27" i="14" s="1"/>
  <c r="I26" i="14" a="1"/>
  <c r="I26" i="14" s="1"/>
  <c r="H26" i="14" a="1"/>
  <c r="H26" i="14" s="1"/>
  <c r="D26" i="14" a="1"/>
  <c r="D26" i="14" s="1"/>
  <c r="C26" i="14" a="1"/>
  <c r="C26" i="14" s="1"/>
  <c r="I25" i="14" a="1"/>
  <c r="I25" i="14" s="1"/>
  <c r="H25" i="14" a="1"/>
  <c r="H25" i="14" s="1"/>
  <c r="D25" i="14" a="1"/>
  <c r="D25" i="14" s="1"/>
  <c r="C25" i="14" a="1"/>
  <c r="C25" i="14" s="1"/>
  <c r="I24" i="14" a="1"/>
  <c r="I24" i="14" s="1"/>
  <c r="H24" i="14" a="1"/>
  <c r="H24" i="14" s="1"/>
  <c r="D24" i="14" a="1"/>
  <c r="D24" i="14" s="1"/>
  <c r="C24" i="14" a="1"/>
  <c r="C24" i="14" s="1"/>
  <c r="I23" i="14" a="1"/>
  <c r="I23" i="14" s="1"/>
  <c r="H23" i="14" a="1"/>
  <c r="H23" i="14" s="1"/>
  <c r="D23" i="14" a="1"/>
  <c r="D23" i="14" s="1"/>
  <c r="C23" i="14" a="1"/>
  <c r="C23" i="14" s="1"/>
  <c r="I22" i="14" a="1"/>
  <c r="I22" i="14" s="1"/>
  <c r="H22" i="14" a="1"/>
  <c r="H22" i="14" s="1"/>
  <c r="D22" i="14" a="1"/>
  <c r="D22" i="14" s="1"/>
  <c r="C22" i="14" a="1"/>
  <c r="C22" i="14" s="1"/>
  <c r="I21" i="14" a="1"/>
  <c r="I21" i="14" s="1"/>
  <c r="H21" i="14" a="1"/>
  <c r="H21" i="14" s="1"/>
  <c r="D21" i="14" a="1"/>
  <c r="D21" i="14" s="1"/>
  <c r="C21" i="14" a="1"/>
  <c r="C21" i="14" s="1"/>
  <c r="I20" i="14" a="1"/>
  <c r="I20" i="14" s="1"/>
  <c r="H20" i="14" a="1"/>
  <c r="H20" i="14" s="1"/>
  <c r="D20" i="14" a="1"/>
  <c r="D20" i="14" s="1"/>
  <c r="C20" i="14" a="1"/>
  <c r="C20" i="14" s="1"/>
  <c r="I19" i="14" a="1"/>
  <c r="I19" i="14" s="1"/>
  <c r="H19" i="14" a="1"/>
  <c r="H19" i="14" s="1"/>
  <c r="D19" i="14" a="1"/>
  <c r="D19" i="14" s="1"/>
  <c r="C19" i="14" a="1"/>
  <c r="C19" i="14" s="1"/>
  <c r="I18" i="14" a="1"/>
  <c r="I18" i="14" s="1"/>
  <c r="H18" i="14" a="1"/>
  <c r="H18" i="14" s="1"/>
  <c r="D18" i="14" a="1"/>
  <c r="D18" i="14" s="1"/>
  <c r="C18" i="14" a="1"/>
  <c r="C18" i="14" s="1"/>
  <c r="I17" i="14" a="1"/>
  <c r="I17" i="14" s="1"/>
  <c r="H17" i="14" a="1"/>
  <c r="H17" i="14" s="1"/>
  <c r="D17" i="14" a="1"/>
  <c r="D17" i="14" s="1"/>
  <c r="C17" i="14" a="1"/>
  <c r="C17" i="14" s="1"/>
  <c r="I16" i="14" a="1"/>
  <c r="I16" i="14" s="1"/>
  <c r="H16" i="14" a="1"/>
  <c r="H16" i="14" s="1"/>
  <c r="D16" i="14" a="1"/>
  <c r="D16" i="14" s="1"/>
  <c r="C16" i="14" a="1"/>
  <c r="C16" i="14" s="1"/>
  <c r="I15" i="14" a="1"/>
  <c r="I15" i="14" s="1"/>
  <c r="H15" i="14" a="1"/>
  <c r="H15" i="14" s="1"/>
  <c r="D15" i="14" a="1"/>
  <c r="D15" i="14" s="1"/>
  <c r="C15" i="14"/>
  <c r="C15" i="14" a="1"/>
  <c r="I14" i="14" a="1"/>
  <c r="I14" i="14" s="1"/>
  <c r="H14" i="14" a="1"/>
  <c r="H14" i="14" s="1"/>
  <c r="D14" i="14" a="1"/>
  <c r="D14" i="14" s="1"/>
  <c r="C14" i="14" a="1"/>
  <c r="C14" i="14" s="1"/>
  <c r="I13" i="14" a="1"/>
  <c r="I13" i="14" s="1"/>
  <c r="H13" i="14" a="1"/>
  <c r="H13" i="14" s="1"/>
  <c r="D13" i="14" a="1"/>
  <c r="D13" i="14" s="1"/>
  <c r="C13" i="14" a="1"/>
  <c r="C13" i="14" s="1"/>
  <c r="I12" i="14" a="1"/>
  <c r="I12" i="14" s="1"/>
  <c r="H12" i="14" a="1"/>
  <c r="H12" i="14" s="1"/>
  <c r="D12" i="14" a="1"/>
  <c r="D12" i="14" s="1"/>
  <c r="C12" i="14" a="1"/>
  <c r="C12" i="14" s="1"/>
  <c r="I11" i="14" a="1"/>
  <c r="I11" i="14" s="1"/>
  <c r="H11" i="14" a="1"/>
  <c r="H11" i="14" s="1"/>
  <c r="D11" i="14" a="1"/>
  <c r="D11" i="14" s="1"/>
  <c r="C11" i="14" a="1"/>
  <c r="C11" i="14" s="1"/>
  <c r="I10" i="14" a="1"/>
  <c r="I10" i="14" s="1"/>
  <c r="H10" i="14" a="1"/>
  <c r="H10" i="14" s="1"/>
  <c r="D10" i="14" a="1"/>
  <c r="D10" i="14" s="1"/>
  <c r="C10" i="14" a="1"/>
  <c r="C10" i="14" s="1"/>
  <c r="I9" i="14" a="1"/>
  <c r="I9" i="14" s="1"/>
  <c r="H9" i="14" a="1"/>
  <c r="H9" i="14" s="1"/>
  <c r="D9" i="14" a="1"/>
  <c r="D9" i="14" s="1"/>
  <c r="C9" i="14"/>
  <c r="C9" i="14" a="1"/>
  <c r="I8" i="14" a="1"/>
  <c r="I8" i="14" s="1"/>
  <c r="H8" i="14" a="1"/>
  <c r="H8" i="14" s="1"/>
  <c r="D8" i="14" a="1"/>
  <c r="D8" i="14" s="1"/>
  <c r="C8" i="14" a="1"/>
  <c r="C8" i="14" s="1"/>
  <c r="I7" i="14" a="1"/>
  <c r="I7" i="14" s="1"/>
  <c r="H7" i="14" a="1"/>
  <c r="H7" i="14" s="1"/>
  <c r="D7" i="14" a="1"/>
  <c r="D7" i="14" s="1"/>
  <c r="C7" i="14" a="1"/>
  <c r="C7" i="14" s="1"/>
  <c r="I6" i="14" a="1"/>
  <c r="I6" i="14" s="1"/>
  <c r="H6" i="14" a="1"/>
  <c r="H6" i="14" s="1"/>
  <c r="D6" i="14" a="1"/>
  <c r="D6" i="14" s="1"/>
  <c r="C6" i="14" a="1"/>
  <c r="C6" i="14" s="1"/>
  <c r="I5" i="14" a="1"/>
  <c r="I5" i="14" s="1"/>
  <c r="H5" i="14" a="1"/>
  <c r="H5" i="14" s="1"/>
  <c r="D5" i="14" a="1"/>
  <c r="D5" i="14" s="1"/>
  <c r="C5" i="14" a="1"/>
  <c r="C5" i="14" s="1"/>
  <c r="I4" i="14" a="1"/>
  <c r="I4" i="14" s="1"/>
  <c r="H4" i="14" a="1"/>
  <c r="H4" i="14" s="1"/>
  <c r="D4" i="14" a="1"/>
  <c r="D4" i="14" s="1"/>
  <c r="C4" i="14" a="1"/>
  <c r="C4" i="14" s="1"/>
  <c r="I3" i="14" a="1"/>
  <c r="I3" i="14" s="1"/>
  <c r="H3" i="14" a="1"/>
  <c r="H3" i="14" s="1"/>
  <c r="D3" i="14" a="1"/>
  <c r="D3" i="14" s="1"/>
  <c r="C3" i="14" a="1"/>
  <c r="C3" i="14" s="1"/>
  <c r="I2" i="14" a="1"/>
  <c r="I2" i="14" s="1"/>
  <c r="H2" i="14" a="1"/>
  <c r="H2" i="14" s="1"/>
  <c r="D2" i="14" a="1"/>
  <c r="D2" i="14" s="1"/>
  <c r="C2" i="14" a="1"/>
  <c r="C2" i="14" s="1"/>
  <c r="I25" i="5" l="1"/>
  <c r="I24" i="5"/>
  <c r="K23" i="5"/>
  <c r="I22" i="5"/>
  <c r="I23" i="5"/>
  <c r="K28" i="5"/>
  <c r="I30" i="5"/>
  <c r="K25" i="5"/>
  <c r="K26" i="5"/>
  <c r="I29" i="5"/>
  <c r="K30" i="5"/>
  <c r="K22" i="5"/>
  <c r="I28" i="5"/>
  <c r="K27" i="5"/>
  <c r="I27" i="5"/>
  <c r="K24" i="5"/>
  <c r="I26" i="5"/>
  <c r="K29" i="5"/>
  <c r="N8" i="7"/>
  <c r="P7" i="7"/>
  <c r="H48" i="12"/>
  <c r="I48" i="12" s="1"/>
  <c r="I5" i="5"/>
  <c r="J5" i="5" s="1"/>
  <c r="U9" i="15"/>
  <c r="K14" i="15"/>
  <c r="V14" i="15"/>
  <c r="W14" i="15" s="1"/>
  <c r="U14" i="15"/>
  <c r="I10" i="5"/>
  <c r="J10" i="5" s="1"/>
  <c r="I4" i="5"/>
  <c r="J4" i="5" s="1"/>
  <c r="I8" i="5"/>
  <c r="J8" i="5" s="1"/>
  <c r="I3" i="5"/>
  <c r="J3" i="5" s="1"/>
  <c r="I11" i="5"/>
  <c r="J11" i="5" s="1"/>
  <c r="I9" i="5"/>
  <c r="J9" i="5" s="1"/>
  <c r="I7" i="5"/>
  <c r="J7" i="5" s="1"/>
  <c r="I6" i="5"/>
  <c r="J6" i="5" s="1"/>
  <c r="U5" i="15"/>
  <c r="L5" i="15"/>
  <c r="M5" i="15" s="1"/>
  <c r="L6" i="15"/>
  <c r="M6" i="15" s="1"/>
  <c r="L7" i="15"/>
  <c r="M7" i="15" s="1"/>
  <c r="L8" i="15"/>
  <c r="M8" i="15" s="1"/>
  <c r="L9" i="15"/>
  <c r="M9" i="15" s="1"/>
  <c r="L10" i="15"/>
  <c r="M10" i="15" s="1"/>
  <c r="L11" i="15"/>
  <c r="M11" i="15" s="1"/>
  <c r="L12" i="15"/>
  <c r="M12" i="15" s="1"/>
  <c r="L13" i="15"/>
  <c r="M13" i="15" s="1"/>
  <c r="L14" i="15"/>
  <c r="M14" i="15" s="1"/>
  <c r="U6" i="15"/>
  <c r="U8" i="15"/>
  <c r="U12" i="15"/>
  <c r="V5" i="15"/>
  <c r="W5" i="15" s="1"/>
  <c r="V6" i="15"/>
  <c r="W6" i="15" s="1"/>
  <c r="V7" i="15"/>
  <c r="W7" i="15" s="1"/>
  <c r="V8" i="15"/>
  <c r="W8" i="15" s="1"/>
  <c r="V9" i="15"/>
  <c r="W9" i="15" s="1"/>
  <c r="V10" i="15"/>
  <c r="W10" i="15" s="1"/>
  <c r="V11" i="15"/>
  <c r="W11" i="15" s="1"/>
  <c r="V12" i="15"/>
  <c r="W12" i="15" s="1"/>
  <c r="V13" i="15"/>
  <c r="W13" i="15" s="1"/>
  <c r="U7" i="15"/>
  <c r="U10" i="15"/>
  <c r="U13" i="15"/>
  <c r="U11" i="15"/>
  <c r="K5" i="15"/>
  <c r="K6" i="15"/>
  <c r="K7" i="15"/>
  <c r="K8" i="15"/>
  <c r="K9" i="15"/>
  <c r="K10" i="15"/>
  <c r="K11" i="15"/>
  <c r="K12" i="15"/>
  <c r="K13" i="15"/>
  <c r="T203" i="14"/>
  <c r="U203" i="14" s="1"/>
  <c r="T204" i="14"/>
  <c r="U204" i="14" s="1"/>
  <c r="T200" i="14"/>
  <c r="U200" i="14" s="1"/>
  <c r="T205" i="14"/>
  <c r="U205" i="14" s="1"/>
  <c r="T206" i="14"/>
  <c r="U206" i="14" s="1"/>
  <c r="T202" i="14"/>
  <c r="U202" i="14" s="1"/>
  <c r="T198" i="14"/>
  <c r="U198" i="14" s="1"/>
  <c r="T194" i="14"/>
  <c r="U194" i="14" s="1"/>
  <c r="T190" i="14"/>
  <c r="T186" i="14"/>
  <c r="U186" i="14" s="1"/>
  <c r="T182" i="14"/>
  <c r="U182" i="14" s="1"/>
  <c r="T172" i="14"/>
  <c r="U172" i="14" s="1"/>
  <c r="T164" i="14"/>
  <c r="U164" i="14" s="1"/>
  <c r="T156" i="14"/>
  <c r="U156" i="14" s="1"/>
  <c r="T148" i="14"/>
  <c r="U148" i="14" s="1"/>
  <c r="T171" i="14"/>
  <c r="U171" i="14" s="1"/>
  <c r="T195" i="14"/>
  <c r="U195" i="14" s="1"/>
  <c r="T191" i="14"/>
  <c r="T187" i="14"/>
  <c r="U187" i="14" s="1"/>
  <c r="T183" i="14"/>
  <c r="U183" i="14" s="1"/>
  <c r="T179" i="14"/>
  <c r="T178" i="14"/>
  <c r="U178" i="14" s="1"/>
  <c r="T170" i="14"/>
  <c r="U170" i="14" s="1"/>
  <c r="T162" i="14"/>
  <c r="U162" i="14" s="1"/>
  <c r="T154" i="14"/>
  <c r="T146" i="14"/>
  <c r="U146" i="14" s="1"/>
  <c r="T201" i="14"/>
  <c r="U201" i="14" s="1"/>
  <c r="T199" i="14"/>
  <c r="U199" i="14" s="1"/>
  <c r="T177" i="14"/>
  <c r="U177" i="14" s="1"/>
  <c r="T169" i="14"/>
  <c r="U169" i="14" s="1"/>
  <c r="T161" i="14"/>
  <c r="U161" i="14" s="1"/>
  <c r="T153" i="14"/>
  <c r="U153" i="14" s="1"/>
  <c r="T145" i="14"/>
  <c r="U145" i="14" s="1"/>
  <c r="T175" i="14"/>
  <c r="U175" i="14" s="1"/>
  <c r="T167" i="14"/>
  <c r="U167" i="14" s="1"/>
  <c r="T159" i="14"/>
  <c r="U159" i="14" s="1"/>
  <c r="T151" i="14"/>
  <c r="U151" i="14" s="1"/>
  <c r="T143" i="14"/>
  <c r="U143" i="14" s="1"/>
  <c r="T141" i="14"/>
  <c r="U141" i="14" s="1"/>
  <c r="T139" i="14"/>
  <c r="U139" i="14" s="1"/>
  <c r="T137" i="14"/>
  <c r="U137" i="14" s="1"/>
  <c r="T197" i="14"/>
  <c r="T193" i="14"/>
  <c r="U193" i="14" s="1"/>
  <c r="T189" i="14"/>
  <c r="U189" i="14" s="1"/>
  <c r="T185" i="14"/>
  <c r="U185" i="14" s="1"/>
  <c r="T181" i="14"/>
  <c r="U181" i="14" s="1"/>
  <c r="T174" i="14"/>
  <c r="U174" i="14" s="1"/>
  <c r="T166" i="14"/>
  <c r="U166" i="14" s="1"/>
  <c r="T158" i="14"/>
  <c r="U158" i="14" s="1"/>
  <c r="T150" i="14"/>
  <c r="U150" i="14" s="1"/>
  <c r="T196" i="14"/>
  <c r="U196" i="14" s="1"/>
  <c r="T155" i="14"/>
  <c r="U155" i="14" s="1"/>
  <c r="T149" i="14"/>
  <c r="U149" i="14" s="1"/>
  <c r="T30" i="14"/>
  <c r="T26" i="14"/>
  <c r="T22" i="14"/>
  <c r="T13" i="14"/>
  <c r="T9" i="14"/>
  <c r="T5" i="14"/>
  <c r="U5" i="14" s="1"/>
  <c r="T59" i="14"/>
  <c r="U59" i="14" s="1"/>
  <c r="T58" i="14"/>
  <c r="U58" i="14" s="1"/>
  <c r="T152" i="14"/>
  <c r="U152" i="14" s="1"/>
  <c r="T131" i="14"/>
  <c r="U131" i="14" s="1"/>
  <c r="T130" i="14"/>
  <c r="U130" i="14" s="1"/>
  <c r="T123" i="14"/>
  <c r="U123" i="14" s="1"/>
  <c r="T122" i="14"/>
  <c r="U122" i="14" s="1"/>
  <c r="T115" i="14"/>
  <c r="U115" i="14" s="1"/>
  <c r="T114" i="14"/>
  <c r="U114" i="14" s="1"/>
  <c r="T107" i="14"/>
  <c r="U107" i="14" s="1"/>
  <c r="T106" i="14"/>
  <c r="U106" i="14" s="1"/>
  <c r="T99" i="14"/>
  <c r="U99" i="14" s="1"/>
  <c r="T98" i="14"/>
  <c r="U98" i="14" s="1"/>
  <c r="T91" i="14"/>
  <c r="U91" i="14" s="1"/>
  <c r="T90" i="14"/>
  <c r="U90" i="14" s="1"/>
  <c r="T83" i="14"/>
  <c r="U83" i="14" s="1"/>
  <c r="T82" i="14"/>
  <c r="U82" i="14" s="1"/>
  <c r="T75" i="14"/>
  <c r="U75" i="14" s="1"/>
  <c r="T74" i="14"/>
  <c r="U74" i="14" s="1"/>
  <c r="T67" i="14"/>
  <c r="U67" i="14" s="1"/>
  <c r="T66" i="14"/>
  <c r="U66" i="14" s="1"/>
  <c r="T20" i="14"/>
  <c r="T18" i="14"/>
  <c r="T16" i="14"/>
  <c r="T176" i="14"/>
  <c r="T163" i="14"/>
  <c r="U163" i="14" s="1"/>
  <c r="T142" i="14"/>
  <c r="U142" i="14" s="1"/>
  <c r="T31" i="14"/>
  <c r="U31" i="14" s="1"/>
  <c r="T27" i="14"/>
  <c r="U27" i="14" s="1"/>
  <c r="T23" i="14"/>
  <c r="U23" i="14" s="1"/>
  <c r="T14" i="14"/>
  <c r="T10" i="14"/>
  <c r="T6" i="14"/>
  <c r="T57" i="14"/>
  <c r="T56" i="14"/>
  <c r="T52" i="14"/>
  <c r="T50" i="14"/>
  <c r="U50" i="14" s="1"/>
  <c r="T48" i="14"/>
  <c r="U48" i="14" s="1"/>
  <c r="T44" i="14"/>
  <c r="U44" i="14" s="1"/>
  <c r="T42" i="14"/>
  <c r="U42" i="14" s="1"/>
  <c r="T40" i="14"/>
  <c r="T38" i="14"/>
  <c r="U38" i="14" s="1"/>
  <c r="T37" i="14"/>
  <c r="U37" i="14" s="1"/>
  <c r="T168" i="14"/>
  <c r="T157" i="14"/>
  <c r="U157" i="14" s="1"/>
  <c r="T136" i="14"/>
  <c r="U136" i="14" s="1"/>
  <c r="T129" i="14"/>
  <c r="U129" i="14" s="1"/>
  <c r="T128" i="14"/>
  <c r="U128" i="14" s="1"/>
  <c r="T121" i="14"/>
  <c r="U121" i="14" s="1"/>
  <c r="T120" i="14"/>
  <c r="U120" i="14" s="1"/>
  <c r="T113" i="14"/>
  <c r="U113" i="14" s="1"/>
  <c r="T112" i="14"/>
  <c r="T105" i="14"/>
  <c r="U105" i="14" s="1"/>
  <c r="T104" i="14"/>
  <c r="U104" i="14" s="1"/>
  <c r="T97" i="14"/>
  <c r="U97" i="14" s="1"/>
  <c r="T96" i="14"/>
  <c r="U96" i="14" s="1"/>
  <c r="T89" i="14"/>
  <c r="U89" i="14" s="1"/>
  <c r="T88" i="14"/>
  <c r="U88" i="14" s="1"/>
  <c r="T81" i="14"/>
  <c r="U81" i="14" s="1"/>
  <c r="T80" i="14"/>
  <c r="U80" i="14" s="1"/>
  <c r="T73" i="14"/>
  <c r="U73" i="14" s="1"/>
  <c r="T72" i="14"/>
  <c r="U72" i="14" s="1"/>
  <c r="T65" i="14"/>
  <c r="U65" i="14" s="1"/>
  <c r="T64" i="14"/>
  <c r="U64" i="14" s="1"/>
  <c r="T54" i="14"/>
  <c r="U54" i="14" s="1"/>
  <c r="T46" i="14"/>
  <c r="U46" i="14" s="1"/>
  <c r="T36" i="14"/>
  <c r="T34" i="14"/>
  <c r="T3" i="14"/>
  <c r="U3" i="14" s="1"/>
  <c r="T45" i="14"/>
  <c r="U45" i="14" s="1"/>
  <c r="T41" i="14"/>
  <c r="T180" i="14"/>
  <c r="U180" i="14" s="1"/>
  <c r="T165" i="14"/>
  <c r="U165" i="14" s="1"/>
  <c r="T160" i="14"/>
  <c r="U160" i="14" s="1"/>
  <c r="T138" i="14"/>
  <c r="U138" i="14" s="1"/>
  <c r="T32" i="14"/>
  <c r="T28" i="14"/>
  <c r="T24" i="14"/>
  <c r="T11" i="14"/>
  <c r="T7" i="14"/>
  <c r="T21" i="14"/>
  <c r="T19" i="14"/>
  <c r="T39" i="14"/>
  <c r="T184" i="14"/>
  <c r="U184" i="14" s="1"/>
  <c r="T173" i="14"/>
  <c r="U173" i="14" s="1"/>
  <c r="T147" i="14"/>
  <c r="T135" i="14"/>
  <c r="U135" i="14" s="1"/>
  <c r="T134" i="14"/>
  <c r="U134" i="14" s="1"/>
  <c r="T127" i="14"/>
  <c r="U127" i="14" s="1"/>
  <c r="T126" i="14"/>
  <c r="U126" i="14" s="1"/>
  <c r="T119" i="14"/>
  <c r="U119" i="14" s="1"/>
  <c r="T118" i="14"/>
  <c r="U118" i="14" s="1"/>
  <c r="T111" i="14"/>
  <c r="T110" i="14"/>
  <c r="U110" i="14" s="1"/>
  <c r="T103" i="14"/>
  <c r="U103" i="14" s="1"/>
  <c r="T102" i="14"/>
  <c r="U102" i="14" s="1"/>
  <c r="T95" i="14"/>
  <c r="U95" i="14" s="1"/>
  <c r="T94" i="14"/>
  <c r="U94" i="14" s="1"/>
  <c r="T87" i="14"/>
  <c r="U87" i="14" s="1"/>
  <c r="T86" i="14"/>
  <c r="U86" i="14" s="1"/>
  <c r="T79" i="14"/>
  <c r="U79" i="14" s="1"/>
  <c r="T78" i="14"/>
  <c r="U78" i="14" s="1"/>
  <c r="T71" i="14"/>
  <c r="U71" i="14" s="1"/>
  <c r="T70" i="14"/>
  <c r="U70" i="14" s="1"/>
  <c r="T63" i="14"/>
  <c r="U63" i="14" s="1"/>
  <c r="T62" i="14"/>
  <c r="U62" i="14" s="1"/>
  <c r="T17" i="14"/>
  <c r="U17" i="14" s="1"/>
  <c r="T15" i="14"/>
  <c r="T33" i="14"/>
  <c r="T188" i="14"/>
  <c r="U188" i="14" s="1"/>
  <c r="T144" i="14"/>
  <c r="U144" i="14" s="1"/>
  <c r="T29" i="14"/>
  <c r="T25" i="14"/>
  <c r="T12" i="14"/>
  <c r="T8" i="14"/>
  <c r="T4" i="14"/>
  <c r="U4" i="14" s="1"/>
  <c r="T55" i="14"/>
  <c r="U55" i="14" s="1"/>
  <c r="T53" i="14"/>
  <c r="U53" i="14" s="1"/>
  <c r="T49" i="14"/>
  <c r="U49" i="14" s="1"/>
  <c r="T47" i="14"/>
  <c r="T43" i="14"/>
  <c r="U43" i="14" s="1"/>
  <c r="T35" i="14"/>
  <c r="T192" i="14"/>
  <c r="T140" i="14"/>
  <c r="U140" i="14" s="1"/>
  <c r="T133" i="14"/>
  <c r="U133" i="14" s="1"/>
  <c r="T132" i="14"/>
  <c r="U132" i="14" s="1"/>
  <c r="T125" i="14"/>
  <c r="U125" i="14" s="1"/>
  <c r="T124" i="14"/>
  <c r="U124" i="14" s="1"/>
  <c r="T117" i="14"/>
  <c r="U117" i="14" s="1"/>
  <c r="T116" i="14"/>
  <c r="U116" i="14" s="1"/>
  <c r="T109" i="14"/>
  <c r="U109" i="14" s="1"/>
  <c r="T108" i="14"/>
  <c r="U108" i="14" s="1"/>
  <c r="T101" i="14"/>
  <c r="U101" i="14" s="1"/>
  <c r="T100" i="14"/>
  <c r="T93" i="14"/>
  <c r="U93" i="14" s="1"/>
  <c r="T92" i="14"/>
  <c r="U92" i="14" s="1"/>
  <c r="T85" i="14"/>
  <c r="U85" i="14" s="1"/>
  <c r="T84" i="14"/>
  <c r="U84" i="14" s="1"/>
  <c r="T77" i="14"/>
  <c r="U77" i="14" s="1"/>
  <c r="T76" i="14"/>
  <c r="U76" i="14" s="1"/>
  <c r="T69" i="14"/>
  <c r="U69" i="14" s="1"/>
  <c r="T68" i="14"/>
  <c r="U68" i="14" s="1"/>
  <c r="T61" i="14"/>
  <c r="U61" i="14" s="1"/>
  <c r="T60" i="14"/>
  <c r="U60" i="14" s="1"/>
  <c r="T51" i="14"/>
  <c r="U51" i="14" s="1"/>
  <c r="T2" i="14"/>
  <c r="V204" i="14"/>
  <c r="W204" i="14" s="1"/>
  <c r="V200" i="14"/>
  <c r="W200" i="14" s="1"/>
  <c r="V199" i="14"/>
  <c r="W199" i="14" s="1"/>
  <c r="V198" i="14"/>
  <c r="W198" i="14" s="1"/>
  <c r="V205" i="14"/>
  <c r="W205" i="14" s="1"/>
  <c r="V206" i="14"/>
  <c r="W206" i="14" s="1"/>
  <c r="V178" i="14"/>
  <c r="W178" i="14" s="1"/>
  <c r="V203" i="14"/>
  <c r="W203" i="14" s="1"/>
  <c r="V195" i="14"/>
  <c r="W195" i="14" s="1"/>
  <c r="V191" i="14"/>
  <c r="W191" i="14" s="1"/>
  <c r="V187" i="14"/>
  <c r="W187" i="14" s="1"/>
  <c r="V183" i="14"/>
  <c r="W183" i="14" s="1"/>
  <c r="V179" i="14"/>
  <c r="W179" i="14" s="1"/>
  <c r="V177" i="14"/>
  <c r="W177" i="14" s="1"/>
  <c r="V170" i="14"/>
  <c r="W170" i="14" s="1"/>
  <c r="V169" i="14"/>
  <c r="W169" i="14" s="1"/>
  <c r="V201" i="14"/>
  <c r="W201" i="14" s="1"/>
  <c r="V196" i="14"/>
  <c r="W196" i="14" s="1"/>
  <c r="V192" i="14"/>
  <c r="V188" i="14"/>
  <c r="W188" i="14" s="1"/>
  <c r="V184" i="14"/>
  <c r="W184" i="14" s="1"/>
  <c r="V180" i="14"/>
  <c r="W180" i="14" s="1"/>
  <c r="V176" i="14"/>
  <c r="W176" i="14" s="1"/>
  <c r="V175" i="14"/>
  <c r="W175" i="14" s="1"/>
  <c r="V168" i="14"/>
  <c r="W168" i="14" s="1"/>
  <c r="V167" i="14"/>
  <c r="V160" i="14"/>
  <c r="W160" i="14" s="1"/>
  <c r="V159" i="14"/>
  <c r="W159" i="14" s="1"/>
  <c r="V152" i="14"/>
  <c r="W152" i="14" s="1"/>
  <c r="V151" i="14"/>
  <c r="W151" i="14" s="1"/>
  <c r="V144" i="14"/>
  <c r="V143" i="14"/>
  <c r="W143" i="14" s="1"/>
  <c r="V141" i="14"/>
  <c r="W141" i="14" s="1"/>
  <c r="V139" i="14"/>
  <c r="W139" i="14" s="1"/>
  <c r="V174" i="14"/>
  <c r="W174" i="14" s="1"/>
  <c r="V173" i="14"/>
  <c r="W173" i="14" s="1"/>
  <c r="V166" i="14"/>
  <c r="W166" i="14" s="1"/>
  <c r="V165" i="14"/>
  <c r="W165" i="14" s="1"/>
  <c r="V158" i="14"/>
  <c r="W158" i="14" s="1"/>
  <c r="V157" i="14"/>
  <c r="W157" i="14" s="1"/>
  <c r="V150" i="14"/>
  <c r="W150" i="14" s="1"/>
  <c r="V149" i="14"/>
  <c r="W149" i="14" s="1"/>
  <c r="V194" i="14"/>
  <c r="W194" i="14" s="1"/>
  <c r="V190" i="14"/>
  <c r="W190" i="14" s="1"/>
  <c r="V186" i="14"/>
  <c r="V182" i="14"/>
  <c r="W182" i="14" s="1"/>
  <c r="V181" i="14"/>
  <c r="V162" i="14"/>
  <c r="W162" i="14" s="1"/>
  <c r="V145" i="14"/>
  <c r="W145" i="14" s="1"/>
  <c r="V130" i="14"/>
  <c r="W130" i="14" s="1"/>
  <c r="V122" i="14"/>
  <c r="W122" i="14" s="1"/>
  <c r="V114" i="14"/>
  <c r="W114" i="14" s="1"/>
  <c r="V106" i="14"/>
  <c r="W106" i="14" s="1"/>
  <c r="V98" i="14"/>
  <c r="W98" i="14" s="1"/>
  <c r="V90" i="14"/>
  <c r="W90" i="14" s="1"/>
  <c r="V82" i="14"/>
  <c r="W82" i="14" s="1"/>
  <c r="V74" i="14"/>
  <c r="W74" i="14" s="1"/>
  <c r="V66" i="14"/>
  <c r="W66" i="14" s="1"/>
  <c r="V58" i="14"/>
  <c r="W58" i="14" s="1"/>
  <c r="V31" i="14"/>
  <c r="W31" i="14" s="1"/>
  <c r="V27" i="14"/>
  <c r="W27" i="14" s="1"/>
  <c r="V23" i="14"/>
  <c r="W23" i="14" s="1"/>
  <c r="V14" i="14"/>
  <c r="V10" i="14"/>
  <c r="W10" i="14" s="1"/>
  <c r="V6" i="14"/>
  <c r="V57" i="14"/>
  <c r="V54" i="14"/>
  <c r="W54" i="14" s="1"/>
  <c r="V52" i="14"/>
  <c r="V40" i="14"/>
  <c r="V38" i="14"/>
  <c r="V36" i="14"/>
  <c r="V3" i="14"/>
  <c r="W3" i="14" s="1"/>
  <c r="V185" i="14"/>
  <c r="W185" i="14" s="1"/>
  <c r="V163" i="14"/>
  <c r="W163" i="14" s="1"/>
  <c r="V156" i="14"/>
  <c r="W156" i="14" s="1"/>
  <c r="V142" i="14"/>
  <c r="W142" i="14" s="1"/>
  <c r="V129" i="14"/>
  <c r="W129" i="14" s="1"/>
  <c r="V121" i="14"/>
  <c r="W121" i="14" s="1"/>
  <c r="V113" i="14"/>
  <c r="W113" i="14" s="1"/>
  <c r="V105" i="14"/>
  <c r="W105" i="14" s="1"/>
  <c r="V97" i="14"/>
  <c r="W97" i="14" s="1"/>
  <c r="V89" i="14"/>
  <c r="W89" i="14" s="1"/>
  <c r="V81" i="14"/>
  <c r="W81" i="14" s="1"/>
  <c r="V73" i="14"/>
  <c r="W73" i="14" s="1"/>
  <c r="V65" i="14"/>
  <c r="W65" i="14" s="1"/>
  <c r="V50" i="14"/>
  <c r="W50" i="14" s="1"/>
  <c r="V48" i="14"/>
  <c r="V46" i="14"/>
  <c r="V44" i="14"/>
  <c r="V42" i="14"/>
  <c r="W42" i="14" s="1"/>
  <c r="V34" i="14"/>
  <c r="V18" i="14"/>
  <c r="V189" i="14"/>
  <c r="V164" i="14"/>
  <c r="W164" i="14" s="1"/>
  <c r="V146" i="14"/>
  <c r="W146" i="14" s="1"/>
  <c r="V137" i="14"/>
  <c r="W137" i="14" s="1"/>
  <c r="V136" i="14"/>
  <c r="W136" i="14" s="1"/>
  <c r="V128" i="14"/>
  <c r="W128" i="14" s="1"/>
  <c r="V120" i="14"/>
  <c r="W120" i="14" s="1"/>
  <c r="V112" i="14"/>
  <c r="W112" i="14" s="1"/>
  <c r="V104" i="14"/>
  <c r="W104" i="14" s="1"/>
  <c r="V96" i="14"/>
  <c r="W96" i="14" s="1"/>
  <c r="V88" i="14"/>
  <c r="W88" i="14" s="1"/>
  <c r="V80" i="14"/>
  <c r="W80" i="14" s="1"/>
  <c r="V72" i="14"/>
  <c r="V64" i="14"/>
  <c r="W64" i="14" s="1"/>
  <c r="V56" i="14"/>
  <c r="W56" i="14" s="1"/>
  <c r="V32" i="14"/>
  <c r="V28" i="14"/>
  <c r="W28" i="14" s="1"/>
  <c r="V24" i="14"/>
  <c r="V11" i="14"/>
  <c r="W11" i="14" s="1"/>
  <c r="V7" i="14"/>
  <c r="V21" i="14"/>
  <c r="V17" i="14"/>
  <c r="W17" i="14" s="1"/>
  <c r="V15" i="14"/>
  <c r="V193" i="14"/>
  <c r="W193" i="14" s="1"/>
  <c r="V171" i="14"/>
  <c r="W171" i="14" s="1"/>
  <c r="V153" i="14"/>
  <c r="W153" i="14" s="1"/>
  <c r="V138" i="14"/>
  <c r="W138" i="14" s="1"/>
  <c r="V135" i="14"/>
  <c r="W135" i="14" s="1"/>
  <c r="V127" i="14"/>
  <c r="W127" i="14" s="1"/>
  <c r="V119" i="14"/>
  <c r="W119" i="14" s="1"/>
  <c r="V111" i="14"/>
  <c r="W111" i="14" s="1"/>
  <c r="V103" i="14"/>
  <c r="W103" i="14" s="1"/>
  <c r="V95" i="14"/>
  <c r="W95" i="14" s="1"/>
  <c r="V87" i="14"/>
  <c r="W87" i="14" s="1"/>
  <c r="V79" i="14"/>
  <c r="W79" i="14" s="1"/>
  <c r="V71" i="14"/>
  <c r="W71" i="14" s="1"/>
  <c r="V63" i="14"/>
  <c r="W63" i="14" s="1"/>
  <c r="V19" i="14"/>
  <c r="V197" i="14"/>
  <c r="W197" i="14" s="1"/>
  <c r="V172" i="14"/>
  <c r="W172" i="14" s="1"/>
  <c r="V147" i="14"/>
  <c r="W147" i="14" s="1"/>
  <c r="V134" i="14"/>
  <c r="W134" i="14" s="1"/>
  <c r="V126" i="14"/>
  <c r="W126" i="14" s="1"/>
  <c r="V118" i="14"/>
  <c r="W118" i="14" s="1"/>
  <c r="V110" i="14"/>
  <c r="W110" i="14" s="1"/>
  <c r="V102" i="14"/>
  <c r="W102" i="14" s="1"/>
  <c r="V94" i="14"/>
  <c r="V86" i="14"/>
  <c r="W86" i="14" s="1"/>
  <c r="V78" i="14"/>
  <c r="W78" i="14" s="1"/>
  <c r="V70" i="14"/>
  <c r="W70" i="14" s="1"/>
  <c r="V62" i="14"/>
  <c r="W62" i="14" s="1"/>
  <c r="V29" i="14"/>
  <c r="V25" i="14"/>
  <c r="V12" i="14"/>
  <c r="V8" i="14"/>
  <c r="V4" i="14"/>
  <c r="W4" i="14" s="1"/>
  <c r="V55" i="14"/>
  <c r="W55" i="14" s="1"/>
  <c r="V51" i="14"/>
  <c r="W51" i="14" s="1"/>
  <c r="V45" i="14"/>
  <c r="V43" i="14"/>
  <c r="V37" i="14"/>
  <c r="W37" i="14" s="1"/>
  <c r="V35" i="14"/>
  <c r="V33" i="14"/>
  <c r="V16" i="14"/>
  <c r="V202" i="14"/>
  <c r="W202" i="14" s="1"/>
  <c r="V154" i="14"/>
  <c r="W154" i="14" s="1"/>
  <c r="V133" i="14"/>
  <c r="W133" i="14" s="1"/>
  <c r="V125" i="14"/>
  <c r="W125" i="14" s="1"/>
  <c r="V117" i="14"/>
  <c r="W117" i="14" s="1"/>
  <c r="V109" i="14"/>
  <c r="W109" i="14" s="1"/>
  <c r="V101" i="14"/>
  <c r="W101" i="14" s="1"/>
  <c r="V93" i="14"/>
  <c r="W93" i="14" s="1"/>
  <c r="V85" i="14"/>
  <c r="W85" i="14" s="1"/>
  <c r="V77" i="14"/>
  <c r="W77" i="14" s="1"/>
  <c r="V69" i="14"/>
  <c r="W69" i="14" s="1"/>
  <c r="V61" i="14"/>
  <c r="W61" i="14" s="1"/>
  <c r="V53" i="14"/>
  <c r="W53" i="14" s="1"/>
  <c r="V49" i="14"/>
  <c r="V47" i="14"/>
  <c r="V41" i="14"/>
  <c r="V39" i="14"/>
  <c r="V2" i="14"/>
  <c r="V161" i="14"/>
  <c r="W161" i="14" s="1"/>
  <c r="V148" i="14"/>
  <c r="W148" i="14" s="1"/>
  <c r="V140" i="14"/>
  <c r="W140" i="14" s="1"/>
  <c r="V132" i="14"/>
  <c r="W132" i="14" s="1"/>
  <c r="V124" i="14"/>
  <c r="W124" i="14" s="1"/>
  <c r="V116" i="14"/>
  <c r="W116" i="14" s="1"/>
  <c r="V108" i="14"/>
  <c r="W108" i="14" s="1"/>
  <c r="V100" i="14"/>
  <c r="W100" i="14" s="1"/>
  <c r="V92" i="14"/>
  <c r="W92" i="14" s="1"/>
  <c r="V84" i="14"/>
  <c r="W84" i="14" s="1"/>
  <c r="V76" i="14"/>
  <c r="W76" i="14" s="1"/>
  <c r="V68" i="14"/>
  <c r="W68" i="14" s="1"/>
  <c r="V60" i="14"/>
  <c r="V30" i="14"/>
  <c r="V26" i="14"/>
  <c r="V22" i="14"/>
  <c r="V13" i="14"/>
  <c r="V9" i="14"/>
  <c r="V5" i="14"/>
  <c r="W5" i="14" s="1"/>
  <c r="V20" i="14"/>
  <c r="V155" i="14"/>
  <c r="W155" i="14" s="1"/>
  <c r="V131" i="14"/>
  <c r="W131" i="14" s="1"/>
  <c r="V123" i="14"/>
  <c r="W123" i="14" s="1"/>
  <c r="V115" i="14"/>
  <c r="W115" i="14" s="1"/>
  <c r="V107" i="14"/>
  <c r="W107" i="14" s="1"/>
  <c r="V99" i="14"/>
  <c r="W99" i="14" s="1"/>
  <c r="V91" i="14"/>
  <c r="W91" i="14" s="1"/>
  <c r="V83" i="14"/>
  <c r="W83" i="14" s="1"/>
  <c r="V75" i="14"/>
  <c r="W75" i="14" s="1"/>
  <c r="V67" i="14"/>
  <c r="W67" i="14" s="1"/>
  <c r="V59" i="14"/>
  <c r="W59" i="14" s="1"/>
  <c r="W36" i="14" l="1"/>
  <c r="U191" i="14"/>
  <c r="U190" i="14"/>
  <c r="U10" i="14"/>
  <c r="U28" i="14"/>
  <c r="U168" i="14"/>
  <c r="U52" i="14"/>
  <c r="U56" i="14"/>
  <c r="N15" i="14"/>
  <c r="U19" i="14"/>
  <c r="U176" i="14"/>
  <c r="N9" i="7"/>
  <c r="P8" i="7"/>
  <c r="H47" i="12"/>
  <c r="I47" i="12" s="1"/>
  <c r="W35" i="14"/>
  <c r="W57" i="14"/>
  <c r="W181" i="14"/>
  <c r="W144" i="14"/>
  <c r="W189" i="14"/>
  <c r="W186" i="14"/>
  <c r="W39" i="14"/>
  <c r="W41" i="14"/>
  <c r="W52" i="14"/>
  <c r="W60" i="14"/>
  <c r="W94" i="14"/>
  <c r="W34" i="14"/>
  <c r="W167" i="14"/>
  <c r="W72" i="14"/>
  <c r="U57" i="14"/>
  <c r="U179" i="14"/>
  <c r="U21" i="14"/>
  <c r="U11" i="14"/>
  <c r="U197" i="14"/>
  <c r="U154" i="14"/>
  <c r="U147" i="14"/>
  <c r="U111" i="14"/>
  <c r="U100" i="14"/>
  <c r="U34" i="14"/>
  <c r="U39" i="14"/>
  <c r="U36" i="14"/>
  <c r="U15" i="14"/>
  <c r="W24" i="14"/>
  <c r="W47" i="14"/>
  <c r="W33" i="14"/>
  <c r="W8" i="14"/>
  <c r="W15" i="14"/>
  <c r="W192" i="14"/>
  <c r="U33" i="14"/>
  <c r="U22" i="14"/>
  <c r="W20" i="14"/>
  <c r="W12" i="14"/>
  <c r="U32" i="14"/>
  <c r="W21" i="14"/>
  <c r="W44" i="14"/>
  <c r="W6" i="14"/>
  <c r="U192" i="14"/>
  <c r="U8" i="14"/>
  <c r="U30" i="14"/>
  <c r="U26" i="14"/>
  <c r="W43" i="14"/>
  <c r="W7" i="14"/>
  <c r="W46" i="14"/>
  <c r="U2" i="14"/>
  <c r="U35" i="14"/>
  <c r="U12" i="14"/>
  <c r="U112" i="14"/>
  <c r="W25" i="14"/>
  <c r="W9" i="14"/>
  <c r="W29" i="14"/>
  <c r="W13" i="14"/>
  <c r="W45" i="14"/>
  <c r="W48" i="14"/>
  <c r="W14" i="14"/>
  <c r="U25" i="14"/>
  <c r="U40" i="14"/>
  <c r="U6" i="14"/>
  <c r="W38" i="14"/>
  <c r="U47" i="14"/>
  <c r="U29" i="14"/>
  <c r="U7" i="14"/>
  <c r="U16" i="14"/>
  <c r="W49" i="14"/>
  <c r="W22" i="14"/>
  <c r="W2" i="14"/>
  <c r="W26" i="14"/>
  <c r="W40" i="14"/>
  <c r="U41" i="14"/>
  <c r="U14" i="14"/>
  <c r="U18" i="14"/>
  <c r="U9" i="14"/>
  <c r="W19" i="14"/>
  <c r="W30" i="14"/>
  <c r="W16" i="14"/>
  <c r="W32" i="14"/>
  <c r="W18" i="14"/>
  <c r="U24" i="14"/>
  <c r="U20" i="14"/>
  <c r="U13" i="14"/>
  <c r="N10" i="7" l="1"/>
  <c r="P9" i="7"/>
  <c r="H46" i="12"/>
  <c r="I46" i="12" s="1"/>
  <c r="M12" i="14"/>
  <c r="M8" i="14"/>
  <c r="N13" i="14"/>
  <c r="N9" i="14"/>
  <c r="N5" i="14"/>
  <c r="N12" i="14"/>
  <c r="N8" i="14"/>
  <c r="M13" i="14"/>
  <c r="M9" i="14"/>
  <c r="M5" i="14"/>
  <c r="N14" i="14"/>
  <c r="N10" i="14"/>
  <c r="N6" i="14"/>
  <c r="M14" i="14"/>
  <c r="M10" i="14"/>
  <c r="M6" i="14"/>
  <c r="N11" i="14"/>
  <c r="N7" i="14"/>
  <c r="M11" i="14"/>
  <c r="M7" i="14"/>
  <c r="M29" i="14"/>
  <c r="M25" i="14"/>
  <c r="N30" i="14"/>
  <c r="N26" i="14"/>
  <c r="M30" i="14"/>
  <c r="M26" i="14"/>
  <c r="N31" i="14"/>
  <c r="N27" i="14"/>
  <c r="N23" i="14"/>
  <c r="M31" i="14"/>
  <c r="M27" i="14"/>
  <c r="M23" i="14"/>
  <c r="N32" i="14"/>
  <c r="N28" i="14"/>
  <c r="N24" i="14"/>
  <c r="N29" i="14"/>
  <c r="N25" i="14"/>
  <c r="M32" i="14"/>
  <c r="M28" i="14"/>
  <c r="M24" i="14"/>
  <c r="N11" i="7" l="1"/>
  <c r="P10" i="7"/>
  <c r="H45" i="12"/>
  <c r="I45" i="12" s="1"/>
  <c r="G6" i="9"/>
  <c r="G7" i="9"/>
  <c r="G8" i="9"/>
  <c r="G9" i="9"/>
  <c r="G10" i="9"/>
  <c r="G11" i="9"/>
  <c r="G12" i="9"/>
  <c r="G13" i="9"/>
  <c r="G14" i="9"/>
  <c r="G15" i="9"/>
  <c r="G16" i="9"/>
  <c r="G17" i="9"/>
  <c r="G18" i="9"/>
  <c r="G19" i="9"/>
  <c r="G20" i="9"/>
  <c r="G21" i="9"/>
  <c r="G22" i="9"/>
  <c r="G23" i="9"/>
  <c r="G24" i="9"/>
  <c r="G25" i="9"/>
  <c r="G26" i="9"/>
  <c r="G27" i="9"/>
  <c r="G28" i="9"/>
  <c r="G29" i="9"/>
  <c r="G30" i="9"/>
  <c r="G31" i="9"/>
  <c r="G32" i="9"/>
  <c r="G33" i="9"/>
  <c r="G34" i="9"/>
  <c r="G35" i="9"/>
  <c r="G36" i="9"/>
  <c r="G37" i="9"/>
  <c r="G5" i="9"/>
  <c r="E6" i="9"/>
  <c r="E7" i="9"/>
  <c r="E8" i="9"/>
  <c r="E9" i="9"/>
  <c r="E10" i="9"/>
  <c r="E11" i="9"/>
  <c r="E12" i="9"/>
  <c r="E13" i="9"/>
  <c r="E14" i="9"/>
  <c r="E15" i="9"/>
  <c r="E16" i="9"/>
  <c r="E17" i="9"/>
  <c r="E18" i="9"/>
  <c r="E19" i="9"/>
  <c r="E20" i="9"/>
  <c r="E21" i="9"/>
  <c r="E22" i="9"/>
  <c r="E23" i="9"/>
  <c r="E24" i="9"/>
  <c r="E25" i="9"/>
  <c r="E26" i="9"/>
  <c r="E27" i="9"/>
  <c r="E28" i="9"/>
  <c r="E29" i="9"/>
  <c r="E30" i="9"/>
  <c r="E31" i="9"/>
  <c r="E32" i="9"/>
  <c r="E33" i="9"/>
  <c r="E34" i="9"/>
  <c r="E35" i="9"/>
  <c r="E36" i="9"/>
  <c r="E37" i="9"/>
  <c r="E5" i="9"/>
  <c r="F6" i="9"/>
  <c r="F7" i="9"/>
  <c r="F8" i="9"/>
  <c r="F9" i="9"/>
  <c r="F10" i="9"/>
  <c r="F11" i="9"/>
  <c r="F12" i="9"/>
  <c r="F13" i="9"/>
  <c r="F14" i="9"/>
  <c r="F15" i="9"/>
  <c r="F16" i="9"/>
  <c r="F17" i="9"/>
  <c r="F18" i="9"/>
  <c r="N18" i="9" s="1"/>
  <c r="F19" i="9"/>
  <c r="N19" i="9" s="1"/>
  <c r="F20" i="9"/>
  <c r="N20" i="9" s="1"/>
  <c r="F21" i="9"/>
  <c r="N21" i="9" s="1"/>
  <c r="F22" i="9"/>
  <c r="N22" i="9" s="1"/>
  <c r="F23" i="9"/>
  <c r="N23" i="9" s="1"/>
  <c r="F24" i="9"/>
  <c r="N24" i="9" s="1"/>
  <c r="F25" i="9"/>
  <c r="N25" i="9" s="1"/>
  <c r="F26" i="9"/>
  <c r="N26" i="9" s="1"/>
  <c r="F27" i="9"/>
  <c r="N27" i="9" s="1"/>
  <c r="F28" i="9"/>
  <c r="N28" i="9" s="1"/>
  <c r="F29" i="9"/>
  <c r="N29" i="9" s="1"/>
  <c r="F30" i="9"/>
  <c r="N30" i="9" s="1"/>
  <c r="F31" i="9"/>
  <c r="N31" i="9" s="1"/>
  <c r="F32" i="9"/>
  <c r="N32" i="9" s="1"/>
  <c r="F33" i="9"/>
  <c r="N33" i="9" s="1"/>
  <c r="F34" i="9"/>
  <c r="N34" i="9" s="1"/>
  <c r="F35" i="9"/>
  <c r="N35" i="9" s="1"/>
  <c r="F36" i="9"/>
  <c r="N36" i="9" s="1"/>
  <c r="F37" i="9"/>
  <c r="N37" i="9" s="1"/>
  <c r="F5" i="9"/>
  <c r="N4" i="4" l="1"/>
  <c r="D36" i="12"/>
  <c r="N12" i="7"/>
  <c r="P11" i="7"/>
  <c r="H44" i="12"/>
  <c r="I44" i="12" l="1"/>
  <c r="N13" i="7"/>
  <c r="P12" i="7"/>
  <c r="H43" i="12"/>
  <c r="W3" i="8"/>
  <c r="X3" i="8"/>
  <c r="Y3" i="8" s="1"/>
  <c r="Z3" i="8"/>
  <c r="AA3" i="8"/>
  <c r="W4" i="8"/>
  <c r="X4" i="8"/>
  <c r="Y4" i="8"/>
  <c r="U4" i="8" s="1"/>
  <c r="V4" i="8" s="1"/>
  <c r="Z4" i="8"/>
  <c r="AA4" i="8"/>
  <c r="W5" i="8"/>
  <c r="X5" i="8"/>
  <c r="Y5" i="8" s="1"/>
  <c r="Z5" i="8"/>
  <c r="AA5" i="8"/>
  <c r="W6" i="8"/>
  <c r="X6" i="8"/>
  <c r="Y6" i="8" s="1"/>
  <c r="Z6" i="8"/>
  <c r="AA6" i="8"/>
  <c r="W7" i="8"/>
  <c r="X7" i="8"/>
  <c r="Y7" i="8" s="1"/>
  <c r="Z7" i="8"/>
  <c r="AA7" i="8"/>
  <c r="W8" i="8"/>
  <c r="X8" i="8"/>
  <c r="Y8" i="8" s="1"/>
  <c r="Z8" i="8"/>
  <c r="AA8" i="8"/>
  <c r="W9" i="8"/>
  <c r="X9" i="8"/>
  <c r="Y9" i="8"/>
  <c r="Z9" i="8"/>
  <c r="AA9" i="8"/>
  <c r="W10" i="8"/>
  <c r="X10" i="8"/>
  <c r="Y10" i="8" s="1"/>
  <c r="Z10" i="8"/>
  <c r="AA10" i="8"/>
  <c r="W11" i="8"/>
  <c r="X11" i="8"/>
  <c r="Y11" i="8" s="1"/>
  <c r="Z11" i="8"/>
  <c r="AA11" i="8"/>
  <c r="W12" i="8"/>
  <c r="X12" i="8"/>
  <c r="Y12" i="8" s="1"/>
  <c r="Z12" i="8"/>
  <c r="AA12" i="8"/>
  <c r="W13" i="8"/>
  <c r="X13" i="8"/>
  <c r="Y13" i="8" s="1"/>
  <c r="Z13" i="8"/>
  <c r="AA13" i="8"/>
  <c r="W14" i="8"/>
  <c r="X14" i="8"/>
  <c r="Y14" i="8"/>
  <c r="Z14" i="8"/>
  <c r="AA14" i="8"/>
  <c r="W15" i="8"/>
  <c r="X15" i="8"/>
  <c r="Y15" i="8"/>
  <c r="Z15" i="8"/>
  <c r="AA15" i="8"/>
  <c r="W16" i="8"/>
  <c r="X16" i="8"/>
  <c r="Y16" i="8"/>
  <c r="Z16" i="8"/>
  <c r="AA16" i="8"/>
  <c r="W17" i="8"/>
  <c r="X17" i="8"/>
  <c r="Y17" i="8"/>
  <c r="U17" i="8" s="1"/>
  <c r="V17" i="8" s="1"/>
  <c r="Z17" i="8"/>
  <c r="AA17" i="8"/>
  <c r="W18" i="8"/>
  <c r="X18" i="8"/>
  <c r="Y18" i="8"/>
  <c r="Z18" i="8"/>
  <c r="AA18" i="8"/>
  <c r="W19" i="8"/>
  <c r="X19" i="8"/>
  <c r="Y19" i="8" s="1"/>
  <c r="Z19" i="8"/>
  <c r="AA19" i="8"/>
  <c r="W20" i="8"/>
  <c r="X20" i="8"/>
  <c r="Y20" i="8"/>
  <c r="Z20" i="8"/>
  <c r="AA20" i="8"/>
  <c r="W21" i="8"/>
  <c r="X21" i="8"/>
  <c r="Y21" i="8"/>
  <c r="Z21" i="8"/>
  <c r="AA21" i="8"/>
  <c r="W22" i="8"/>
  <c r="X22" i="8"/>
  <c r="Y22" i="8"/>
  <c r="Z22" i="8"/>
  <c r="AA22" i="8"/>
  <c r="W23" i="8"/>
  <c r="X23" i="8"/>
  <c r="Y23" i="8"/>
  <c r="Z23" i="8"/>
  <c r="AA23" i="8"/>
  <c r="W24" i="8"/>
  <c r="X24" i="8"/>
  <c r="Y24" i="8"/>
  <c r="Z24" i="8"/>
  <c r="AA24" i="8"/>
  <c r="W25" i="8"/>
  <c r="X25" i="8"/>
  <c r="Y25" i="8" s="1"/>
  <c r="Z25" i="8"/>
  <c r="AA25" i="8"/>
  <c r="W26" i="8"/>
  <c r="X26" i="8"/>
  <c r="Y26" i="8" s="1"/>
  <c r="Z26" i="8"/>
  <c r="AA26" i="8"/>
  <c r="W27" i="8"/>
  <c r="X27" i="8"/>
  <c r="Y27" i="8" s="1"/>
  <c r="Z27" i="8"/>
  <c r="AA27" i="8"/>
  <c r="W28" i="8"/>
  <c r="X28" i="8"/>
  <c r="Y28" i="8"/>
  <c r="U28" i="8" s="1"/>
  <c r="V28" i="8" s="1"/>
  <c r="Z28" i="8"/>
  <c r="AA28" i="8"/>
  <c r="W29" i="8"/>
  <c r="X29" i="8"/>
  <c r="Y29" i="8"/>
  <c r="Z29" i="8"/>
  <c r="AA29" i="8"/>
  <c r="W30" i="8"/>
  <c r="X30" i="8"/>
  <c r="Y30" i="8"/>
  <c r="Z30" i="8"/>
  <c r="AA30" i="8"/>
  <c r="W31" i="8"/>
  <c r="X31" i="8"/>
  <c r="Y31" i="8"/>
  <c r="Z31" i="8"/>
  <c r="AA31" i="8"/>
  <c r="W32" i="8"/>
  <c r="X32" i="8"/>
  <c r="Y32" i="8"/>
  <c r="Z32" i="8"/>
  <c r="AA32" i="8"/>
  <c r="W33" i="8"/>
  <c r="X33" i="8"/>
  <c r="Y33" i="8"/>
  <c r="U33" i="8" s="1"/>
  <c r="V33" i="8" s="1"/>
  <c r="Z33" i="8"/>
  <c r="AA33" i="8"/>
  <c r="W34" i="8"/>
  <c r="X34" i="8"/>
  <c r="Y34" i="8"/>
  <c r="U34" i="8" s="1"/>
  <c r="V34" i="8" s="1"/>
  <c r="Z34" i="8"/>
  <c r="AA34" i="8"/>
  <c r="W35" i="8"/>
  <c r="X35" i="8"/>
  <c r="Y35" i="8"/>
  <c r="U35" i="8" s="1"/>
  <c r="V35" i="8" s="1"/>
  <c r="Z35" i="8"/>
  <c r="AA35" i="8"/>
  <c r="W36" i="8"/>
  <c r="X36" i="8"/>
  <c r="Y36" i="8"/>
  <c r="U36" i="8" s="1"/>
  <c r="V36" i="8" s="1"/>
  <c r="Z36" i="8"/>
  <c r="AA36" i="8"/>
  <c r="W37" i="8"/>
  <c r="X37" i="8"/>
  <c r="Y37" i="8"/>
  <c r="Z37" i="8"/>
  <c r="AA37" i="8"/>
  <c r="W38" i="8"/>
  <c r="X38" i="8"/>
  <c r="Y38" i="8"/>
  <c r="Z38" i="8"/>
  <c r="AA38" i="8"/>
  <c r="W39" i="8"/>
  <c r="X39" i="8"/>
  <c r="Y39" i="8"/>
  <c r="Z39" i="8"/>
  <c r="AA39" i="8"/>
  <c r="W40" i="8"/>
  <c r="X40" i="8"/>
  <c r="Y40" i="8"/>
  <c r="Z40" i="8"/>
  <c r="AA40" i="8"/>
  <c r="W41" i="8"/>
  <c r="X41" i="8"/>
  <c r="Y41" i="8"/>
  <c r="U41" i="8" s="1"/>
  <c r="V41" i="8" s="1"/>
  <c r="Z41" i="8"/>
  <c r="AA41" i="8"/>
  <c r="W42" i="8"/>
  <c r="X42" i="8"/>
  <c r="Y42" i="8"/>
  <c r="U42" i="8" s="1"/>
  <c r="V42" i="8" s="1"/>
  <c r="Z42" i="8"/>
  <c r="AA42" i="8"/>
  <c r="W43" i="8"/>
  <c r="X43" i="8"/>
  <c r="Y43" i="8"/>
  <c r="U43" i="8" s="1"/>
  <c r="V43" i="8" s="1"/>
  <c r="Z43" i="8"/>
  <c r="AA43" i="8"/>
  <c r="W44" i="8"/>
  <c r="X44" i="8"/>
  <c r="Y44" i="8"/>
  <c r="U44" i="8" s="1"/>
  <c r="V44" i="8" s="1"/>
  <c r="Z44" i="8"/>
  <c r="AA44" i="8"/>
  <c r="W45" i="8"/>
  <c r="X45" i="8"/>
  <c r="Y45" i="8"/>
  <c r="Z45" i="8"/>
  <c r="AA45" i="8"/>
  <c r="W46" i="8"/>
  <c r="X46" i="8"/>
  <c r="Y46" i="8"/>
  <c r="Z46" i="8"/>
  <c r="AA46" i="8"/>
  <c r="W47" i="8"/>
  <c r="X47" i="8"/>
  <c r="Y47" i="8"/>
  <c r="Z47" i="8"/>
  <c r="AA47" i="8"/>
  <c r="W48" i="8"/>
  <c r="X48" i="8"/>
  <c r="Y48" i="8"/>
  <c r="Z48" i="8"/>
  <c r="AA48" i="8"/>
  <c r="V49" i="8"/>
  <c r="W49" i="8"/>
  <c r="X49" i="8"/>
  <c r="Y49" i="8"/>
  <c r="U49" i="8" s="1"/>
  <c r="Z49" i="8"/>
  <c r="AA49" i="8"/>
  <c r="W50" i="8"/>
  <c r="X50" i="8"/>
  <c r="Y50" i="8"/>
  <c r="U50" i="8" s="1"/>
  <c r="V50" i="8" s="1"/>
  <c r="Z50" i="8"/>
  <c r="AA50" i="8"/>
  <c r="W51" i="8"/>
  <c r="X51" i="8"/>
  <c r="Y51" i="8"/>
  <c r="U51" i="8" s="1"/>
  <c r="V51" i="8" s="1"/>
  <c r="Z51" i="8"/>
  <c r="AA51" i="8"/>
  <c r="W52" i="8"/>
  <c r="X52" i="8"/>
  <c r="Y52" i="8"/>
  <c r="U52" i="8" s="1"/>
  <c r="V52" i="8" s="1"/>
  <c r="Z52" i="8"/>
  <c r="AA52" i="8"/>
  <c r="W53" i="8"/>
  <c r="X53" i="8"/>
  <c r="Y53" i="8"/>
  <c r="Z53" i="8"/>
  <c r="AA53" i="8"/>
  <c r="W54" i="8"/>
  <c r="X54" i="8"/>
  <c r="Y54" i="8"/>
  <c r="Z54" i="8"/>
  <c r="AA54" i="8"/>
  <c r="W55" i="8"/>
  <c r="X55" i="8"/>
  <c r="Y55" i="8"/>
  <c r="Z55" i="8"/>
  <c r="AA55" i="8"/>
  <c r="W56" i="8"/>
  <c r="X56" i="8"/>
  <c r="Y56" i="8"/>
  <c r="Z56" i="8"/>
  <c r="AA56" i="8"/>
  <c r="W57" i="8"/>
  <c r="X57" i="8"/>
  <c r="Y57" i="8"/>
  <c r="U57" i="8" s="1"/>
  <c r="V57" i="8" s="1"/>
  <c r="Z57" i="8"/>
  <c r="AA57" i="8"/>
  <c r="W58" i="8"/>
  <c r="X58" i="8"/>
  <c r="Y58" i="8"/>
  <c r="U58" i="8" s="1"/>
  <c r="V58" i="8" s="1"/>
  <c r="Z58" i="8"/>
  <c r="AA58" i="8"/>
  <c r="W59" i="8"/>
  <c r="X59" i="8"/>
  <c r="Y59" i="8"/>
  <c r="U59" i="8" s="1"/>
  <c r="V59" i="8" s="1"/>
  <c r="Z59" i="8"/>
  <c r="AA59" i="8"/>
  <c r="W60" i="8"/>
  <c r="X60" i="8"/>
  <c r="Y60" i="8"/>
  <c r="U60" i="8" s="1"/>
  <c r="V60" i="8" s="1"/>
  <c r="Z60" i="8"/>
  <c r="AA60" i="8"/>
  <c r="W61" i="8"/>
  <c r="X61" i="8"/>
  <c r="Y61" i="8"/>
  <c r="Z61" i="8"/>
  <c r="AA61" i="8"/>
  <c r="W62" i="8"/>
  <c r="X62" i="8"/>
  <c r="Y62" i="8"/>
  <c r="Z62" i="8"/>
  <c r="AA62" i="8"/>
  <c r="W63" i="8"/>
  <c r="X63" i="8"/>
  <c r="Y63" i="8"/>
  <c r="Z63" i="8"/>
  <c r="AA63" i="8"/>
  <c r="W64" i="8"/>
  <c r="X64" i="8"/>
  <c r="Y64" i="8"/>
  <c r="Z64" i="8"/>
  <c r="AA64" i="8"/>
  <c r="W65" i="8"/>
  <c r="X65" i="8"/>
  <c r="Y65" i="8"/>
  <c r="U65" i="8" s="1"/>
  <c r="V65" i="8" s="1"/>
  <c r="Z65" i="8"/>
  <c r="AA65" i="8"/>
  <c r="W66" i="8"/>
  <c r="X66" i="8"/>
  <c r="Y66" i="8"/>
  <c r="U66" i="8" s="1"/>
  <c r="V66" i="8" s="1"/>
  <c r="Z66" i="8"/>
  <c r="AA66" i="8"/>
  <c r="W67" i="8"/>
  <c r="X67" i="8"/>
  <c r="Y67" i="8"/>
  <c r="U67" i="8" s="1"/>
  <c r="V67" i="8" s="1"/>
  <c r="Z67" i="8"/>
  <c r="AA67" i="8"/>
  <c r="W68" i="8"/>
  <c r="X68" i="8"/>
  <c r="Y68" i="8"/>
  <c r="U68" i="8" s="1"/>
  <c r="V68" i="8" s="1"/>
  <c r="Z68" i="8"/>
  <c r="AA68" i="8"/>
  <c r="W69" i="8"/>
  <c r="X69" i="8"/>
  <c r="Y69" i="8"/>
  <c r="Z69" i="8"/>
  <c r="AA69" i="8"/>
  <c r="W70" i="8"/>
  <c r="X70" i="8"/>
  <c r="Y70" i="8"/>
  <c r="Z70" i="8"/>
  <c r="AA70" i="8"/>
  <c r="W71" i="8"/>
  <c r="X71" i="8"/>
  <c r="Y71" i="8"/>
  <c r="Z71" i="8"/>
  <c r="AA71" i="8"/>
  <c r="W72" i="8"/>
  <c r="X72" i="8"/>
  <c r="Y72" i="8"/>
  <c r="Z72" i="8"/>
  <c r="AA72" i="8"/>
  <c r="W73" i="8"/>
  <c r="X73" i="8"/>
  <c r="Y73" i="8"/>
  <c r="U73" i="8" s="1"/>
  <c r="V73" i="8" s="1"/>
  <c r="Z73" i="8"/>
  <c r="AA73" i="8"/>
  <c r="W74" i="8"/>
  <c r="X74" i="8"/>
  <c r="Y74" i="8"/>
  <c r="U74" i="8" s="1"/>
  <c r="V74" i="8" s="1"/>
  <c r="Z74" i="8"/>
  <c r="AA74" i="8"/>
  <c r="W75" i="8"/>
  <c r="X75" i="8"/>
  <c r="Y75" i="8"/>
  <c r="U75" i="8" s="1"/>
  <c r="V75" i="8" s="1"/>
  <c r="Z75" i="8"/>
  <c r="AA75" i="8"/>
  <c r="AA2" i="8"/>
  <c r="Z2" i="8"/>
  <c r="X2" i="8"/>
  <c r="Y2" i="8" s="1"/>
  <c r="W2" i="8"/>
  <c r="I43" i="12" l="1"/>
  <c r="AC7" i="8"/>
  <c r="N14" i="7"/>
  <c r="P13" i="7"/>
  <c r="H42" i="12"/>
  <c r="U56" i="8"/>
  <c r="V56" i="8" s="1"/>
  <c r="U40" i="8"/>
  <c r="V40" i="8" s="1"/>
  <c r="AC21" i="8"/>
  <c r="U21" i="8" s="1"/>
  <c r="AB21" i="8"/>
  <c r="AB15" i="8"/>
  <c r="AC15" i="8"/>
  <c r="AB41" i="8"/>
  <c r="AC41" i="8"/>
  <c r="AC35" i="8"/>
  <c r="AB35" i="8"/>
  <c r="U31" i="8"/>
  <c r="V31" i="8" s="1"/>
  <c r="U70" i="8"/>
  <c r="V70" i="8" s="1"/>
  <c r="AB29" i="8"/>
  <c r="AC29" i="8"/>
  <c r="AB5" i="8"/>
  <c r="AC5" i="8"/>
  <c r="U61" i="8"/>
  <c r="V61" i="8" s="1"/>
  <c r="AB58" i="8"/>
  <c r="AC58" i="8"/>
  <c r="AC52" i="8"/>
  <c r="AB52" i="8"/>
  <c r="AB48" i="8"/>
  <c r="AC48" i="8"/>
  <c r="U45" i="8"/>
  <c r="V45" i="8" s="1"/>
  <c r="AB42" i="8"/>
  <c r="AC42" i="8"/>
  <c r="AB22" i="8"/>
  <c r="AC22" i="8"/>
  <c r="U64" i="8"/>
  <c r="V64" i="8" s="1"/>
  <c r="U48" i="8"/>
  <c r="V48" i="8" s="1"/>
  <c r="AC8" i="8"/>
  <c r="AB8" i="8"/>
  <c r="AC75" i="8"/>
  <c r="AB75" i="8"/>
  <c r="U71" i="8"/>
  <c r="V71" i="8" s="1"/>
  <c r="AB65" i="8"/>
  <c r="AC65" i="8"/>
  <c r="AB62" i="8"/>
  <c r="AC62" i="8"/>
  <c r="AC59" i="8"/>
  <c r="AB59" i="8"/>
  <c r="U55" i="8"/>
  <c r="V55" i="8" s="1"/>
  <c r="AB49" i="8"/>
  <c r="AC49" i="8"/>
  <c r="AB46" i="8"/>
  <c r="AC46" i="8"/>
  <c r="AC43" i="8"/>
  <c r="AB43" i="8"/>
  <c r="U39" i="8"/>
  <c r="V39" i="8" s="1"/>
  <c r="AB33" i="8"/>
  <c r="AC33" i="8"/>
  <c r="AB30" i="8"/>
  <c r="AC30" i="8"/>
  <c r="AB20" i="8"/>
  <c r="AC20" i="8"/>
  <c r="AC17" i="8"/>
  <c r="AB17" i="8"/>
  <c r="AB14" i="8"/>
  <c r="AC14" i="8"/>
  <c r="AB6" i="8"/>
  <c r="AC6" i="8"/>
  <c r="AC3" i="8"/>
  <c r="U15" i="8" s="1"/>
  <c r="AB3" i="8"/>
  <c r="U72" i="8"/>
  <c r="V72" i="8" s="1"/>
  <c r="AB73" i="8"/>
  <c r="AC73" i="8"/>
  <c r="AB70" i="8"/>
  <c r="AC70" i="8"/>
  <c r="AC67" i="8"/>
  <c r="AB67" i="8"/>
  <c r="U47" i="8"/>
  <c r="V47" i="8" s="1"/>
  <c r="AB24" i="8"/>
  <c r="AC24" i="8"/>
  <c r="AC61" i="8"/>
  <c r="AB61" i="8"/>
  <c r="U38" i="8"/>
  <c r="V38" i="8" s="1"/>
  <c r="AB13" i="8"/>
  <c r="AC13" i="8"/>
  <c r="AC74" i="8"/>
  <c r="AB74" i="8"/>
  <c r="AC68" i="8"/>
  <c r="AB68" i="8"/>
  <c r="AC36" i="8"/>
  <c r="AB36" i="8"/>
  <c r="AC32" i="8"/>
  <c r="AB32" i="8"/>
  <c r="U29" i="8"/>
  <c r="V29" i="8" s="1"/>
  <c r="AC16" i="8"/>
  <c r="U5" i="8" s="1"/>
  <c r="AB16" i="8"/>
  <c r="AB71" i="8"/>
  <c r="AC71" i="8"/>
  <c r="AB55" i="8"/>
  <c r="AC55" i="8"/>
  <c r="AC39" i="8"/>
  <c r="AB39" i="8"/>
  <c r="AB53" i="8"/>
  <c r="AC53" i="8"/>
  <c r="U46" i="8"/>
  <c r="V46" i="8" s="1"/>
  <c r="AC37" i="8"/>
  <c r="AB37" i="8"/>
  <c r="U30" i="8"/>
  <c r="V30" i="8" s="1"/>
  <c r="AB23" i="8"/>
  <c r="AC23" i="8"/>
  <c r="U14" i="8"/>
  <c r="V14" i="8" s="1"/>
  <c r="AB12" i="8"/>
  <c r="AC12" i="8"/>
  <c r="AC9" i="8"/>
  <c r="U9" i="8" s="1"/>
  <c r="AB9" i="8"/>
  <c r="AB63" i="8"/>
  <c r="AC63" i="8"/>
  <c r="AB47" i="8"/>
  <c r="AC47" i="8"/>
  <c r="AB31" i="8"/>
  <c r="AC31" i="8"/>
  <c r="AB10" i="8"/>
  <c r="AC10" i="8"/>
  <c r="U10" i="8" s="1"/>
  <c r="U63" i="8"/>
  <c r="V63" i="8" s="1"/>
  <c r="AB57" i="8"/>
  <c r="AC57" i="8"/>
  <c r="AB54" i="8"/>
  <c r="AC54" i="8"/>
  <c r="AC51" i="8"/>
  <c r="AB51" i="8"/>
  <c r="AC38" i="8"/>
  <c r="AB38" i="8"/>
  <c r="AC2" i="8"/>
  <c r="U20" i="8" s="1"/>
  <c r="U54" i="8"/>
  <c r="V54" i="8" s="1"/>
  <c r="AC45" i="8"/>
  <c r="AB45" i="8"/>
  <c r="U24" i="8"/>
  <c r="V24" i="8" s="1"/>
  <c r="AB11" i="8"/>
  <c r="AC11" i="8"/>
  <c r="U11" i="8" s="1"/>
  <c r="AC64" i="8"/>
  <c r="AB64" i="8"/>
  <c r="AB19" i="8"/>
  <c r="AC19" i="8"/>
  <c r="U32" i="8"/>
  <c r="V32" i="8" s="1"/>
  <c r="AB69" i="8"/>
  <c r="AC69" i="8"/>
  <c r="U62" i="8"/>
  <c r="V62" i="8" s="1"/>
  <c r="AB72" i="8"/>
  <c r="AC72" i="8"/>
  <c r="U69" i="8"/>
  <c r="V69" i="8" s="1"/>
  <c r="AB66" i="8"/>
  <c r="AC66" i="8"/>
  <c r="AC60" i="8"/>
  <c r="AB60" i="8"/>
  <c r="AB56" i="8"/>
  <c r="AC56" i="8"/>
  <c r="U53" i="8"/>
  <c r="V53" i="8" s="1"/>
  <c r="AC50" i="8"/>
  <c r="AB50" i="8"/>
  <c r="AC44" i="8"/>
  <c r="AB44" i="8"/>
  <c r="AB40" i="8"/>
  <c r="AC40" i="8"/>
  <c r="U37" i="8"/>
  <c r="V37" i="8" s="1"/>
  <c r="AC34" i="8"/>
  <c r="AB34" i="8"/>
  <c r="AC28" i="8"/>
  <c r="AB28" i="8"/>
  <c r="U23" i="8"/>
  <c r="V23" i="8" s="1"/>
  <c r="AC18" i="8"/>
  <c r="U18" i="8" s="1"/>
  <c r="AB18" i="8"/>
  <c r="AC4" i="8"/>
  <c r="AB4" i="8"/>
  <c r="AB27" i="8"/>
  <c r="AC27" i="8"/>
  <c r="U27" i="8" s="1"/>
  <c r="AB26" i="8"/>
  <c r="AC26" i="8"/>
  <c r="AC25" i="8"/>
  <c r="AB7" i="8"/>
  <c r="AB25" i="8"/>
  <c r="AB2" i="8"/>
  <c r="I42" i="12" l="1"/>
  <c r="N15" i="7"/>
  <c r="P14" i="7"/>
  <c r="H40" i="12"/>
  <c r="H41" i="12"/>
  <c r="U26" i="8"/>
  <c r="U6" i="8"/>
  <c r="U22" i="8"/>
  <c r="U12" i="8"/>
  <c r="U7" i="8"/>
  <c r="U8" i="8"/>
  <c r="U16" i="8"/>
  <c r="U25" i="8"/>
  <c r="U13" i="8"/>
  <c r="U3" i="8"/>
  <c r="U19" i="8"/>
  <c r="U2" i="8"/>
  <c r="V11" i="8" s="1"/>
  <c r="I41" i="12" l="1"/>
  <c r="E23" i="12"/>
  <c r="V20" i="8"/>
  <c r="V15" i="8"/>
  <c r="V9" i="8"/>
  <c r="V18" i="8"/>
  <c r="V21" i="8"/>
  <c r="V10" i="8"/>
  <c r="V5" i="8"/>
  <c r="I40" i="12"/>
  <c r="N16" i="7"/>
  <c r="P15" i="7"/>
  <c r="V16" i="8"/>
  <c r="V25" i="8"/>
  <c r="V8" i="8"/>
  <c r="V26" i="8"/>
  <c r="F11" i="11"/>
  <c r="R9" i="11"/>
  <c r="E6" i="11"/>
  <c r="C11" i="11"/>
  <c r="O9" i="11"/>
  <c r="B6" i="11"/>
  <c r="R10" i="11"/>
  <c r="L9" i="11"/>
  <c r="O10" i="11"/>
  <c r="I9" i="11"/>
  <c r="R11" i="11"/>
  <c r="L10" i="11"/>
  <c r="F9" i="11"/>
  <c r="Q6" i="11"/>
  <c r="F10" i="11"/>
  <c r="K6" i="11"/>
  <c r="H6" i="11"/>
  <c r="C10" i="11"/>
  <c r="C9" i="11"/>
  <c r="L11" i="11"/>
  <c r="I11" i="11"/>
  <c r="I10" i="11"/>
  <c r="O11" i="11"/>
  <c r="N6" i="11"/>
  <c r="V22" i="8"/>
  <c r="V2" i="8"/>
  <c r="V27" i="8"/>
  <c r="V13" i="8"/>
  <c r="V6" i="8"/>
  <c r="V7" i="8"/>
  <c r="V3" i="8"/>
  <c r="V12" i="8"/>
  <c r="V19" i="8"/>
  <c r="D18" i="9" l="1"/>
  <c r="D12" i="9"/>
  <c r="D16" i="9"/>
  <c r="D7" i="9"/>
  <c r="B69" i="10"/>
  <c r="E25" i="12"/>
  <c r="N17" i="7"/>
  <c r="P16" i="7"/>
  <c r="D30" i="9"/>
  <c r="B25" i="10"/>
  <c r="B52" i="10"/>
  <c r="B7" i="10"/>
  <c r="B36" i="10"/>
  <c r="B66" i="10"/>
  <c r="D11" i="9"/>
  <c r="B41" i="10"/>
  <c r="B62" i="10"/>
  <c r="D29" i="9"/>
  <c r="B59" i="10"/>
  <c r="B46" i="10"/>
  <c r="B74" i="10"/>
  <c r="B14" i="10"/>
  <c r="B37" i="10"/>
  <c r="D27" i="9"/>
  <c r="B5" i="10"/>
  <c r="B3" i="10"/>
  <c r="D19" i="9"/>
  <c r="B73" i="10"/>
  <c r="B71" i="10"/>
  <c r="B55" i="10"/>
  <c r="L8" i="11"/>
  <c r="F6" i="10"/>
  <c r="G9" i="10"/>
  <c r="H9" i="10" s="1"/>
  <c r="G12" i="10"/>
  <c r="H12" i="10" s="1"/>
  <c r="F16" i="10"/>
  <c r="F22" i="10"/>
  <c r="G25" i="10"/>
  <c r="H25" i="10" s="1"/>
  <c r="G28" i="10"/>
  <c r="H28" i="10" s="1"/>
  <c r="F32" i="10"/>
  <c r="F38" i="10"/>
  <c r="G41" i="10"/>
  <c r="H41" i="10" s="1"/>
  <c r="G44" i="10"/>
  <c r="H44" i="10" s="1"/>
  <c r="F48" i="10"/>
  <c r="F54" i="10"/>
  <c r="G57" i="10"/>
  <c r="H57" i="10" s="1"/>
  <c r="I8" i="11"/>
  <c r="G6" i="10"/>
  <c r="H6" i="10" s="1"/>
  <c r="G16" i="10"/>
  <c r="H16" i="10" s="1"/>
  <c r="F19" i="10"/>
  <c r="G22" i="10"/>
  <c r="H22" i="10" s="1"/>
  <c r="G32" i="10"/>
  <c r="H32" i="10" s="1"/>
  <c r="F35" i="10"/>
  <c r="G38" i="10"/>
  <c r="H38" i="10" s="1"/>
  <c r="G48" i="10"/>
  <c r="H48" i="10" s="1"/>
  <c r="F51" i="10"/>
  <c r="G54" i="10"/>
  <c r="H54" i="10" s="1"/>
  <c r="G64" i="10"/>
  <c r="H64" i="10" s="1"/>
  <c r="F68" i="10"/>
  <c r="F8" i="11"/>
  <c r="F3" i="10"/>
  <c r="F7" i="10"/>
  <c r="F10" i="10"/>
  <c r="F13" i="10"/>
  <c r="G19" i="10"/>
  <c r="H19" i="10" s="1"/>
  <c r="F23" i="10"/>
  <c r="F26" i="10"/>
  <c r="F29" i="10"/>
  <c r="G35" i="10"/>
  <c r="H35" i="10" s="1"/>
  <c r="F39" i="10"/>
  <c r="F42" i="10"/>
  <c r="F45" i="10"/>
  <c r="G51" i="10"/>
  <c r="H51" i="10" s="1"/>
  <c r="F55" i="10"/>
  <c r="F58" i="10"/>
  <c r="F61" i="10"/>
  <c r="F65" i="10"/>
  <c r="G68" i="10"/>
  <c r="H68" i="10" s="1"/>
  <c r="F71" i="10"/>
  <c r="F74" i="10"/>
  <c r="C8" i="11"/>
  <c r="G3" i="10"/>
  <c r="H3" i="10" s="1"/>
  <c r="G7" i="10"/>
  <c r="H7" i="10" s="1"/>
  <c r="G10" i="10"/>
  <c r="H10" i="10" s="1"/>
  <c r="G13" i="10"/>
  <c r="H13" i="10" s="1"/>
  <c r="F17" i="10"/>
  <c r="F20" i="10"/>
  <c r="G23" i="10"/>
  <c r="H23" i="10" s="1"/>
  <c r="G26" i="10"/>
  <c r="H26" i="10" s="1"/>
  <c r="G29" i="10"/>
  <c r="H29" i="10" s="1"/>
  <c r="F33" i="10"/>
  <c r="F36" i="10"/>
  <c r="G39" i="10"/>
  <c r="H39" i="10" s="1"/>
  <c r="G42" i="10"/>
  <c r="H42" i="10" s="1"/>
  <c r="G45" i="10"/>
  <c r="H45" i="10" s="1"/>
  <c r="F49" i="10"/>
  <c r="F52" i="10"/>
  <c r="G55" i="10"/>
  <c r="H55" i="10" s="1"/>
  <c r="G58" i="10"/>
  <c r="H58" i="10" s="1"/>
  <c r="G61" i="10"/>
  <c r="H61" i="10" s="1"/>
  <c r="G65" i="10"/>
  <c r="H65" i="10" s="1"/>
  <c r="G71" i="10"/>
  <c r="H71" i="10" s="1"/>
  <c r="G74" i="10"/>
  <c r="H74" i="10" s="1"/>
  <c r="F4" i="10"/>
  <c r="F8" i="10"/>
  <c r="G4" i="10"/>
  <c r="H4" i="10" s="1"/>
  <c r="F12" i="10"/>
  <c r="G18" i="10"/>
  <c r="H18" i="10" s="1"/>
  <c r="F25" i="10"/>
  <c r="G31" i="10"/>
  <c r="H31" i="10" s="1"/>
  <c r="G37" i="10"/>
  <c r="H37" i="10" s="1"/>
  <c r="F44" i="10"/>
  <c r="G50" i="10"/>
  <c r="H50" i="10" s="1"/>
  <c r="F57" i="10"/>
  <c r="F63" i="10"/>
  <c r="F69" i="10"/>
  <c r="F73" i="10"/>
  <c r="G69" i="10"/>
  <c r="H69" i="10" s="1"/>
  <c r="G14" i="10"/>
  <c r="H14" i="10" s="1"/>
  <c r="G40" i="10"/>
  <c r="H40" i="10" s="1"/>
  <c r="F59" i="10"/>
  <c r="F64" i="10"/>
  <c r="F15" i="10"/>
  <c r="F47" i="10"/>
  <c r="F66" i="10"/>
  <c r="O8" i="11"/>
  <c r="G34" i="10"/>
  <c r="H34" i="10" s="1"/>
  <c r="F60" i="10"/>
  <c r="G2" i="10"/>
  <c r="H2" i="10" s="1"/>
  <c r="F9" i="10"/>
  <c r="G17" i="10"/>
  <c r="H17" i="10" s="1"/>
  <c r="G36" i="10"/>
  <c r="H36" i="10" s="1"/>
  <c r="G60" i="10"/>
  <c r="H60" i="10" s="1"/>
  <c r="F62" i="10"/>
  <c r="F31" i="10"/>
  <c r="G67" i="10"/>
  <c r="H67" i="10" s="1"/>
  <c r="F5" i="10"/>
  <c r="F14" i="10"/>
  <c r="G20" i="10"/>
  <c r="H20" i="10" s="1"/>
  <c r="G33" i="10"/>
  <c r="H33" i="10" s="1"/>
  <c r="F40" i="10"/>
  <c r="F46" i="10"/>
  <c r="G52" i="10"/>
  <c r="H52" i="10" s="1"/>
  <c r="G63" i="10"/>
  <c r="H63" i="10" s="1"/>
  <c r="G73" i="10"/>
  <c r="H73" i="10" s="1"/>
  <c r="F27" i="10"/>
  <c r="G46" i="10"/>
  <c r="H46" i="10" s="1"/>
  <c r="G27" i="10"/>
  <c r="H27" i="10" s="1"/>
  <c r="G21" i="10"/>
  <c r="H21" i="10" s="1"/>
  <c r="G5" i="10"/>
  <c r="H5" i="10" s="1"/>
  <c r="G8" i="10"/>
  <c r="H8" i="10" s="1"/>
  <c r="F21" i="10"/>
  <c r="F34" i="10"/>
  <c r="F53" i="10"/>
  <c r="G59" i="10"/>
  <c r="H59" i="10" s="1"/>
  <c r="F70" i="10"/>
  <c r="G15" i="10"/>
  <c r="H15" i="10" s="1"/>
  <c r="F28" i="10"/>
  <c r="F41" i="10"/>
  <c r="G53" i="10"/>
  <c r="H53" i="10" s="1"/>
  <c r="G66" i="10"/>
  <c r="H66" i="10" s="1"/>
  <c r="G70" i="10"/>
  <c r="H70" i="10" s="1"/>
  <c r="F30" i="10"/>
  <c r="F56" i="10"/>
  <c r="F72" i="10"/>
  <c r="G24" i="10"/>
  <c r="H24" i="10" s="1"/>
  <c r="F43" i="10"/>
  <c r="G56" i="10"/>
  <c r="H56" i="10" s="1"/>
  <c r="G72" i="10"/>
  <c r="H72" i="10" s="1"/>
  <c r="F18" i="10"/>
  <c r="G43" i="10"/>
  <c r="H43" i="10" s="1"/>
  <c r="F50" i="10"/>
  <c r="R8" i="11"/>
  <c r="G47" i="10"/>
  <c r="H47" i="10" s="1"/>
  <c r="F24" i="10"/>
  <c r="G49" i="10"/>
  <c r="H49" i="10" s="1"/>
  <c r="F2" i="10"/>
  <c r="F11" i="10"/>
  <c r="G30" i="10"/>
  <c r="H30" i="10" s="1"/>
  <c r="F67" i="10"/>
  <c r="G11" i="10"/>
  <c r="H11" i="10" s="1"/>
  <c r="F37" i="10"/>
  <c r="G62" i="10"/>
  <c r="H62" i="10" s="1"/>
  <c r="M13" i="9"/>
  <c r="M21" i="9"/>
  <c r="M29" i="9"/>
  <c r="M37" i="9"/>
  <c r="L12" i="9"/>
  <c r="L20" i="9"/>
  <c r="L28" i="9"/>
  <c r="L36" i="9"/>
  <c r="K11" i="9"/>
  <c r="K19" i="9"/>
  <c r="K27" i="9"/>
  <c r="K35" i="9"/>
  <c r="J33" i="9"/>
  <c r="J25" i="9"/>
  <c r="J17" i="9"/>
  <c r="J9" i="9"/>
  <c r="I34" i="9"/>
  <c r="I26" i="9"/>
  <c r="I18" i="9"/>
  <c r="I10" i="9"/>
  <c r="J7" i="9"/>
  <c r="I16" i="9"/>
  <c r="M8" i="9"/>
  <c r="M32" i="9"/>
  <c r="L23" i="9"/>
  <c r="K14" i="9"/>
  <c r="K5" i="9"/>
  <c r="J14" i="9"/>
  <c r="I31" i="9"/>
  <c r="I7" i="9"/>
  <c r="M25" i="9"/>
  <c r="L8" i="9"/>
  <c r="L32" i="9"/>
  <c r="K23" i="9"/>
  <c r="J29" i="9"/>
  <c r="J5" i="9"/>
  <c r="I14" i="9"/>
  <c r="M26" i="9"/>
  <c r="L17" i="9"/>
  <c r="L33" i="9"/>
  <c r="K24" i="9"/>
  <c r="J28" i="9"/>
  <c r="J12" i="9"/>
  <c r="I21" i="9"/>
  <c r="M19" i="9"/>
  <c r="L10" i="9"/>
  <c r="L34" i="9"/>
  <c r="K25" i="9"/>
  <c r="J27" i="9"/>
  <c r="J11" i="9"/>
  <c r="I28" i="9"/>
  <c r="M20" i="9"/>
  <c r="L11" i="9"/>
  <c r="L35" i="9"/>
  <c r="K26" i="9"/>
  <c r="J26" i="9"/>
  <c r="I35" i="9"/>
  <c r="I19" i="9"/>
  <c r="M6" i="9"/>
  <c r="M14" i="9"/>
  <c r="M22" i="9"/>
  <c r="M30" i="9"/>
  <c r="M5" i="9"/>
  <c r="L13" i="9"/>
  <c r="L21" i="9"/>
  <c r="L29" i="9"/>
  <c r="L37" i="9"/>
  <c r="K12" i="9"/>
  <c r="K20" i="9"/>
  <c r="K28" i="9"/>
  <c r="K36" i="9"/>
  <c r="J32" i="9"/>
  <c r="J24" i="9"/>
  <c r="J16" i="9"/>
  <c r="J8" i="9"/>
  <c r="I33" i="9"/>
  <c r="I25" i="9"/>
  <c r="I17" i="9"/>
  <c r="N17" i="9" s="1"/>
  <c r="I9" i="9"/>
  <c r="I32" i="9"/>
  <c r="I8" i="9"/>
  <c r="M16" i="9"/>
  <c r="L7" i="9"/>
  <c r="L31" i="9"/>
  <c r="K22" i="9"/>
  <c r="J30" i="9"/>
  <c r="J6" i="9"/>
  <c r="I15" i="9"/>
  <c r="M9" i="9"/>
  <c r="M33" i="9"/>
  <c r="L24" i="9"/>
  <c r="K15" i="9"/>
  <c r="J37" i="9"/>
  <c r="J13" i="9"/>
  <c r="I22" i="9"/>
  <c r="M10" i="9"/>
  <c r="M18" i="9"/>
  <c r="L9" i="9"/>
  <c r="K8" i="9"/>
  <c r="K32" i="9"/>
  <c r="J20" i="9"/>
  <c r="I29" i="9"/>
  <c r="I5" i="9"/>
  <c r="M11" i="9"/>
  <c r="M35" i="9"/>
  <c r="L26" i="9"/>
  <c r="K17" i="9"/>
  <c r="J35" i="9"/>
  <c r="I36" i="9"/>
  <c r="I12" i="9"/>
  <c r="N12" i="9" s="1"/>
  <c r="M12" i="9"/>
  <c r="M36" i="9"/>
  <c r="L19" i="9"/>
  <c r="K10" i="9"/>
  <c r="K34" i="9"/>
  <c r="J18" i="9"/>
  <c r="I27" i="9"/>
  <c r="M7" i="9"/>
  <c r="M15" i="9"/>
  <c r="M23" i="9"/>
  <c r="M31" i="9"/>
  <c r="L6" i="9"/>
  <c r="L14" i="9"/>
  <c r="L22" i="9"/>
  <c r="L30" i="9"/>
  <c r="L5" i="9"/>
  <c r="K13" i="9"/>
  <c r="K21" i="9"/>
  <c r="K29" i="9"/>
  <c r="K37" i="9"/>
  <c r="J31" i="9"/>
  <c r="J23" i="9"/>
  <c r="J15" i="9"/>
  <c r="I24" i="9"/>
  <c r="M24" i="9"/>
  <c r="L15" i="9"/>
  <c r="K6" i="9"/>
  <c r="K30" i="9"/>
  <c r="J22" i="9"/>
  <c r="I23" i="9"/>
  <c r="M17" i="9"/>
  <c r="L16" i="9"/>
  <c r="K7" i="9"/>
  <c r="K31" i="9"/>
  <c r="J21" i="9"/>
  <c r="I30" i="9"/>
  <c r="I6" i="9"/>
  <c r="M34" i="9"/>
  <c r="L25" i="9"/>
  <c r="K16" i="9"/>
  <c r="J36" i="9"/>
  <c r="I37" i="9"/>
  <c r="I13" i="9"/>
  <c r="M27" i="9"/>
  <c r="L18" i="9"/>
  <c r="K9" i="9"/>
  <c r="K33" i="9"/>
  <c r="J19" i="9"/>
  <c r="I20" i="9"/>
  <c r="M28" i="9"/>
  <c r="L27" i="9"/>
  <c r="K18" i="9"/>
  <c r="J34" i="9"/>
  <c r="J10" i="9"/>
  <c r="I11" i="9"/>
  <c r="B23" i="10"/>
  <c r="B53" i="10"/>
  <c r="B9" i="10"/>
  <c r="B18" i="10"/>
  <c r="D17" i="9"/>
  <c r="D34" i="9"/>
  <c r="D25" i="9"/>
  <c r="B10" i="10"/>
  <c r="D10" i="9"/>
  <c r="B17" i="10"/>
  <c r="B63" i="10"/>
  <c r="B54" i="10"/>
  <c r="B42" i="10"/>
  <c r="D5" i="9"/>
  <c r="B45" i="10"/>
  <c r="B26" i="10"/>
  <c r="D37" i="9"/>
  <c r="B44" i="10"/>
  <c r="B34" i="10"/>
  <c r="B51" i="10"/>
  <c r="B65" i="10"/>
  <c r="D35" i="9"/>
  <c r="B47" i="10"/>
  <c r="D31" i="9"/>
  <c r="B38" i="10"/>
  <c r="B72" i="10"/>
  <c r="D22" i="9"/>
  <c r="B29" i="10"/>
  <c r="B56" i="10"/>
  <c r="D21" i="9"/>
  <c r="B28" i="10"/>
  <c r="D33" i="9"/>
  <c r="D36" i="9"/>
  <c r="B35" i="10"/>
  <c r="B43" i="10"/>
  <c r="B57" i="10"/>
  <c r="B58" i="10"/>
  <c r="D32" i="9"/>
  <c r="B39" i="10"/>
  <c r="D9" i="9"/>
  <c r="D23" i="9"/>
  <c r="B30" i="10"/>
  <c r="B40" i="10"/>
  <c r="D14" i="9"/>
  <c r="B21" i="10"/>
  <c r="B16" i="10"/>
  <c r="D13" i="9"/>
  <c r="B20" i="10"/>
  <c r="B64" i="10"/>
  <c r="D28" i="9"/>
  <c r="B27" i="10"/>
  <c r="B49" i="10"/>
  <c r="D24" i="9"/>
  <c r="B31" i="10"/>
  <c r="B32" i="10"/>
  <c r="D15" i="9"/>
  <c r="B22" i="10"/>
  <c r="D6" i="9"/>
  <c r="B13" i="10"/>
  <c r="B2" i="10"/>
  <c r="B12" i="10"/>
  <c r="B24" i="10"/>
  <c r="D20" i="9"/>
  <c r="B19" i="10"/>
  <c r="B11" i="10"/>
  <c r="B68" i="10"/>
  <c r="B4" i="10"/>
  <c r="B8" i="10"/>
  <c r="B50" i="10"/>
  <c r="D26" i="9"/>
  <c r="B33" i="10"/>
  <c r="B48" i="10"/>
  <c r="D8" i="9"/>
  <c r="B15" i="10"/>
  <c r="B70" i="10"/>
  <c r="B6" i="10"/>
  <c r="B61" i="10"/>
  <c r="B60" i="10"/>
  <c r="B67" i="10"/>
  <c r="H35" i="9"/>
  <c r="H27" i="9"/>
  <c r="H19" i="9"/>
  <c r="H11" i="9"/>
  <c r="H31" i="9"/>
  <c r="H22" i="9"/>
  <c r="H29" i="9"/>
  <c r="H20" i="9"/>
  <c r="H34" i="9"/>
  <c r="H26" i="9"/>
  <c r="H18" i="9"/>
  <c r="H10" i="9"/>
  <c r="H23" i="9"/>
  <c r="H30" i="9"/>
  <c r="H37" i="9"/>
  <c r="H5" i="9"/>
  <c r="H36" i="9"/>
  <c r="H33" i="9"/>
  <c r="H25" i="9"/>
  <c r="H17" i="9"/>
  <c r="H9" i="9"/>
  <c r="H7" i="9"/>
  <c r="H6" i="9"/>
  <c r="H13" i="9"/>
  <c r="H12" i="9"/>
  <c r="H32" i="9"/>
  <c r="H24" i="9"/>
  <c r="H16" i="9"/>
  <c r="H8" i="9"/>
  <c r="H15" i="9"/>
  <c r="H14" i="9"/>
  <c r="H21" i="9"/>
  <c r="H28" i="9"/>
  <c r="O10" i="9"/>
  <c r="O18" i="9"/>
  <c r="O26" i="9"/>
  <c r="O34" i="9"/>
  <c r="O9" i="9"/>
  <c r="O11" i="9"/>
  <c r="O19" i="9"/>
  <c r="O27" i="9"/>
  <c r="O35" i="9"/>
  <c r="O17" i="9"/>
  <c r="O12" i="9"/>
  <c r="O20" i="9"/>
  <c r="O28" i="9"/>
  <c r="O36" i="9"/>
  <c r="O16" i="9"/>
  <c r="O33" i="9"/>
  <c r="O13" i="9"/>
  <c r="O21" i="9"/>
  <c r="O29" i="9"/>
  <c r="O37" i="9"/>
  <c r="O8" i="9"/>
  <c r="O25" i="9"/>
  <c r="O6" i="9"/>
  <c r="O14" i="9"/>
  <c r="O22" i="9"/>
  <c r="O30" i="9"/>
  <c r="O5" i="9"/>
  <c r="O24" i="9"/>
  <c r="O7" i="9"/>
  <c r="O15" i="9"/>
  <c r="O23" i="9"/>
  <c r="O31" i="9"/>
  <c r="O32" i="9"/>
  <c r="E24" i="12" l="1"/>
  <c r="N13" i="9"/>
  <c r="N11" i="9"/>
  <c r="N14" i="9"/>
  <c r="N6" i="9"/>
  <c r="N18" i="7"/>
  <c r="P17" i="7"/>
  <c r="N10" i="9"/>
  <c r="F53" i="1"/>
  <c r="N7" i="9"/>
  <c r="N16" i="9"/>
  <c r="N8" i="9"/>
  <c r="N15" i="9"/>
  <c r="N5" i="9"/>
  <c r="N9" i="9"/>
  <c r="K31" i="4"/>
  <c r="L31" i="4"/>
  <c r="M31" i="4"/>
  <c r="N31" i="4"/>
  <c r="K32" i="4"/>
  <c r="L32" i="4"/>
  <c r="M32" i="4"/>
  <c r="N32" i="4"/>
  <c r="K33" i="4"/>
  <c r="L33" i="4"/>
  <c r="M33" i="4"/>
  <c r="N33" i="4"/>
  <c r="J31" i="4"/>
  <c r="J32" i="4"/>
  <c r="J33" i="4"/>
  <c r="I31" i="4"/>
  <c r="I32" i="4"/>
  <c r="I33" i="4"/>
  <c r="W31" i="1"/>
  <c r="W30" i="1"/>
  <c r="W29" i="1"/>
  <c r="W28" i="1"/>
  <c r="W27" i="1"/>
  <c r="W32" i="1"/>
  <c r="V31" i="1"/>
  <c r="V30" i="1"/>
  <c r="V29" i="1"/>
  <c r="V28" i="1"/>
  <c r="V27" i="1"/>
  <c r="V32" i="1"/>
  <c r="I31" i="1"/>
  <c r="I32" i="1"/>
  <c r="I33" i="1"/>
  <c r="I34" i="1"/>
  <c r="I35" i="1"/>
  <c r="I36" i="1"/>
  <c r="I37" i="1"/>
  <c r="I38" i="1"/>
  <c r="I39" i="1"/>
  <c r="I40" i="1"/>
  <c r="I41" i="1"/>
  <c r="I42" i="1"/>
  <c r="I43" i="1"/>
  <c r="I44" i="1"/>
  <c r="I45" i="1"/>
  <c r="I46" i="1"/>
  <c r="H32" i="1"/>
  <c r="H33" i="1"/>
  <c r="H34" i="1"/>
  <c r="H35" i="1"/>
  <c r="H36" i="1"/>
  <c r="H37" i="1"/>
  <c r="H38" i="1"/>
  <c r="H39" i="1"/>
  <c r="H40" i="1"/>
  <c r="H41" i="1"/>
  <c r="H42" i="1"/>
  <c r="H43" i="1"/>
  <c r="H44" i="1"/>
  <c r="H45" i="1"/>
  <c r="H46" i="1"/>
  <c r="H31" i="1"/>
  <c r="F51" i="1" l="1"/>
  <c r="N33" i="14"/>
  <c r="G1" i="4"/>
  <c r="F26" i="3"/>
  <c r="N19" i="7"/>
  <c r="P18" i="7"/>
  <c r="F25" i="3"/>
  <c r="N20" i="7" l="1"/>
  <c r="P19" i="7"/>
  <c r="N21" i="7" l="1"/>
  <c r="P20" i="7"/>
  <c r="N22" i="7" l="1"/>
  <c r="P21" i="7"/>
  <c r="N23" i="7" l="1"/>
  <c r="P22" i="7"/>
  <c r="N24" i="7" l="1"/>
  <c r="P23" i="7"/>
  <c r="N25" i="7" l="1"/>
  <c r="P24" i="7"/>
  <c r="N26" i="7" l="1"/>
  <c r="P25" i="7"/>
  <c r="N27" i="7" l="1"/>
  <c r="P26" i="7"/>
  <c r="N28" i="7" l="1"/>
  <c r="P27" i="7"/>
  <c r="N29" i="7" l="1"/>
  <c r="P28" i="7"/>
  <c r="N30" i="7" l="1"/>
  <c r="P29" i="7"/>
  <c r="N31" i="7" l="1"/>
  <c r="P30" i="7"/>
  <c r="N32" i="7" l="1"/>
  <c r="P31" i="7"/>
  <c r="P32" i="7" l="1"/>
  <c r="N33" i="7"/>
  <c r="N34" i="7" l="1"/>
  <c r="P33" i="7"/>
  <c r="N35" i="7" l="1"/>
  <c r="P34" i="7"/>
  <c r="N36" i="7" l="1"/>
  <c r="P35" i="7"/>
  <c r="N37" i="7" l="1"/>
  <c r="P36" i="7"/>
  <c r="N38" i="7" l="1"/>
  <c r="P37" i="7"/>
  <c r="N39" i="7" l="1"/>
  <c r="P38" i="7"/>
  <c r="N40" i="7" l="1"/>
  <c r="P39" i="7"/>
  <c r="N41" i="7" l="1"/>
  <c r="P41" i="7" s="1"/>
  <c r="P40" i="7"/>
</calcChain>
</file>

<file path=xl/sharedStrings.xml><?xml version="1.0" encoding="utf-8"?>
<sst xmlns="http://schemas.openxmlformats.org/spreadsheetml/2006/main" count="1740" uniqueCount="1005">
  <si>
    <t xml:space="preserve"> </t>
  </si>
  <si>
    <t>오가닉</t>
  </si>
  <si>
    <t>스폰서</t>
  </si>
  <si>
    <t>스폰서</t>
    <phoneticPr fontId="1" type="noConversion"/>
  </si>
  <si>
    <t>채널 팔로워 유입 현황</t>
    <phoneticPr fontId="1" type="noConversion"/>
  </si>
  <si>
    <t>총 팔로워수</t>
  </si>
  <si>
    <t>월</t>
  </si>
  <si>
    <t>월</t>
    <phoneticPr fontId="1" type="noConversion"/>
  </si>
  <si>
    <t>컨텐츠 관련 지표 (전월 대비)</t>
    <phoneticPr fontId="1" type="noConversion"/>
  </si>
  <si>
    <t>7/15 오후 2시 업무 시작</t>
    <phoneticPr fontId="1" type="noConversion"/>
  </si>
  <si>
    <t>날짜</t>
  </si>
  <si>
    <t>PC Page Views</t>
  </si>
  <si>
    <t>Mobile Page Views</t>
  </si>
  <si>
    <t>Total Page Views</t>
  </si>
  <si>
    <t>Total Page Visitors</t>
  </si>
  <si>
    <t>콘텐츠 게재 건 수</t>
  </si>
  <si>
    <t>Total page views (mobile)</t>
  </si>
  <si>
    <t>당월 복붙용</t>
    <phoneticPr fontId="1" type="noConversion"/>
  </si>
  <si>
    <t>주차</t>
    <phoneticPr fontId="1" type="noConversion"/>
  </si>
  <si>
    <t>요일</t>
    <phoneticPr fontId="1" type="noConversion"/>
  </si>
  <si>
    <t>요일</t>
  </si>
  <si>
    <t>수치</t>
  </si>
  <si>
    <t>날짜</t>
    <phoneticPr fontId="1" type="noConversion"/>
  </si>
  <si>
    <t>수치</t>
    <phoneticPr fontId="1" type="noConversion"/>
  </si>
  <si>
    <t>목</t>
    <phoneticPr fontId="1" type="noConversion"/>
  </si>
  <si>
    <t>금</t>
    <phoneticPr fontId="1" type="noConversion"/>
  </si>
  <si>
    <t>토</t>
    <phoneticPr fontId="1" type="noConversion"/>
  </si>
  <si>
    <t>일</t>
    <phoneticPr fontId="1" type="noConversion"/>
  </si>
  <si>
    <t>첫째주</t>
    <phoneticPr fontId="1" type="noConversion"/>
  </si>
  <si>
    <t>화</t>
  </si>
  <si>
    <t>수</t>
  </si>
  <si>
    <t>둘째주</t>
    <phoneticPr fontId="1" type="noConversion"/>
  </si>
  <si>
    <t>화</t>
    <phoneticPr fontId="1" type="noConversion"/>
  </si>
  <si>
    <t>목</t>
  </si>
  <si>
    <t>금</t>
  </si>
  <si>
    <t>토</t>
  </si>
  <si>
    <t>일</t>
  </si>
  <si>
    <t>셋째주</t>
    <phoneticPr fontId="1" type="noConversion"/>
  </si>
  <si>
    <t>넷째주</t>
    <phoneticPr fontId="1" type="noConversion"/>
  </si>
  <si>
    <t/>
  </si>
  <si>
    <t>다섯째주</t>
    <phoneticPr fontId="1" type="noConversion"/>
  </si>
  <si>
    <t>Total page views (desktop)</t>
    <phoneticPr fontId="1" type="noConversion"/>
  </si>
  <si>
    <t>Page</t>
  </si>
  <si>
    <t>Total Followers</t>
  </si>
  <si>
    <t>New Followers</t>
  </si>
  <si>
    <t>Total post engagements</t>
  </si>
  <si>
    <t>Total posts</t>
  </si>
  <si>
    <t>GC Biopharma (GC녹십자)</t>
  </si>
  <si>
    <t>LOTTE BIOLOGICS</t>
  </si>
  <si>
    <t>International Vaccine Institute (IVI)</t>
  </si>
  <si>
    <t>Celltrion Inc</t>
  </si>
  <si>
    <t>Samsung Bioepis</t>
  </si>
  <si>
    <t>SK Biopharmaceuticals</t>
  </si>
  <si>
    <t>SK bioscience</t>
  </si>
  <si>
    <t>한국아스트라제네카 AstraZeneca Korea</t>
  </si>
  <si>
    <t>Samsung Biologics</t>
  </si>
  <si>
    <t>Post title</t>
  </si>
  <si>
    <t>Post link</t>
  </si>
  <si>
    <t>Post type</t>
  </si>
  <si>
    <t>Campaign name</t>
  </si>
  <si>
    <t>Posted by</t>
  </si>
  <si>
    <t>Created date</t>
  </si>
  <si>
    <t>Campaign start date</t>
  </si>
  <si>
    <t>Campaign end date</t>
  </si>
  <si>
    <t>Audience</t>
  </si>
  <si>
    <t>Impressions</t>
  </si>
  <si>
    <t>Views (Excluding offsite video views)</t>
  </si>
  <si>
    <t>Offsite Views</t>
  </si>
  <si>
    <t>Clicks</t>
  </si>
  <si>
    <t>Click through rate (CTR)</t>
  </si>
  <si>
    <t>Likes</t>
  </si>
  <si>
    <t>Comments</t>
  </si>
  <si>
    <t>Reposts</t>
  </si>
  <si>
    <t>Follows</t>
  </si>
  <si>
    <t>Engagement rate</t>
  </si>
  <si>
    <t>Content Type</t>
  </si>
  <si>
    <t>Organic</t>
  </si>
  <si>
    <t>Jieun Han</t>
  </si>
  <si>
    <t>All followers</t>
  </si>
  <si>
    <t>Sponsored</t>
  </si>
  <si>
    <t>05/30/2024</t>
  </si>
  <si>
    <t>06/06/2024</t>
  </si>
  <si>
    <t>Total</t>
  </si>
  <si>
    <t>Beom Park</t>
  </si>
  <si>
    <t>Video</t>
  </si>
  <si>
    <t>06/05/2024</t>
  </si>
  <si>
    <t>Soyoun Kim</t>
  </si>
  <si>
    <t>#</t>
  </si>
  <si>
    <t>Date</t>
  </si>
  <si>
    <t>　Contents</t>
  </si>
  <si>
    <t>Category</t>
  </si>
  <si>
    <t>CTR (%)</t>
  </si>
  <si>
    <t>Like</t>
  </si>
  <si>
    <t>Share</t>
  </si>
  <si>
    <t>Engagements</t>
  </si>
  <si>
    <t>E/R (%)</t>
  </si>
  <si>
    <t>영상</t>
  </si>
  <si>
    <t>멀티 이미지</t>
  </si>
  <si>
    <t xml:space="preserve">단일 이미지 </t>
  </si>
  <si>
    <t>단일 이미지</t>
  </si>
  <si>
    <t>최종순위</t>
    <phoneticPr fontId="1" type="noConversion"/>
  </si>
  <si>
    <t>자동생성열</t>
    <phoneticPr fontId="1" type="noConversion"/>
  </si>
  <si>
    <t>간단한 제목</t>
    <phoneticPr fontId="1" type="noConversion"/>
  </si>
  <si>
    <t>카테고리</t>
    <phoneticPr fontId="1" type="noConversion"/>
  </si>
  <si>
    <t>7/16 오전 5시 여전히 업무중</t>
    <phoneticPr fontId="1" type="noConversion"/>
  </si>
  <si>
    <t>카드뉴스 드로잉</t>
  </si>
  <si>
    <t>조회 Top 1</t>
    <phoneticPr fontId="1" type="noConversion"/>
  </si>
  <si>
    <t>7/16 오후 10시 업무 종료</t>
    <phoneticPr fontId="1" type="noConversion"/>
  </si>
  <si>
    <t>Impressions (organic)</t>
  </si>
  <si>
    <t>Impressions (sponsored)</t>
  </si>
  <si>
    <t>Impressions (total)</t>
  </si>
  <si>
    <t>Unique impressions (organic)</t>
  </si>
  <si>
    <t>Clicks (organic)</t>
  </si>
  <si>
    <t>Clicks (sponsored)</t>
  </si>
  <si>
    <t>Clicks (total)</t>
  </si>
  <si>
    <t>Reactions (organic)</t>
  </si>
  <si>
    <t>Reactions (sponsored)</t>
  </si>
  <si>
    <t>Reactions (total)</t>
  </si>
  <si>
    <t>Comments (organic)</t>
  </si>
  <si>
    <t>Comments (sponsored)</t>
  </si>
  <si>
    <t>Comments (total)</t>
  </si>
  <si>
    <t>Reposts (organic)</t>
  </si>
  <si>
    <t>Reposts (sponsored)</t>
  </si>
  <si>
    <t>Engagement rate (organic)</t>
  </si>
  <si>
    <t>Engagement rate (sponsored)</t>
  </si>
  <si>
    <t>Engagement rate (total)</t>
  </si>
  <si>
    <t>05/31/2024</t>
  </si>
  <si>
    <r>
      <rPr>
        <b/>
        <sz val="10"/>
        <rFont val="새굴림"/>
        <family val="2"/>
        <charset val="129"/>
      </rPr>
      <t xml:space="preserve">오가닉 </t>
    </r>
    <r>
      <rPr>
        <b/>
        <sz val="10"/>
        <rFont val="Arial"/>
        <family val="2"/>
      </rPr>
      <t>impression</t>
    </r>
    <phoneticPr fontId="1" type="noConversion"/>
  </si>
  <si>
    <t>오가닉 engagement</t>
    <phoneticPr fontId="1" type="noConversion"/>
  </si>
  <si>
    <t>visitors location</t>
    <phoneticPr fontId="1" type="noConversion"/>
  </si>
  <si>
    <t>visitors total view</t>
    <phoneticPr fontId="1" type="noConversion"/>
  </si>
  <si>
    <t>삽입될 국가 이름</t>
    <phoneticPr fontId="1" type="noConversion"/>
  </si>
  <si>
    <t>followers location</t>
    <phoneticPr fontId="1" type="noConversion"/>
  </si>
  <si>
    <t>followers number</t>
    <phoneticPr fontId="1" type="noConversion"/>
  </si>
  <si>
    <t>미국지역</t>
    <phoneticPr fontId="1" type="noConversion"/>
  </si>
  <si>
    <t>국가이름</t>
    <phoneticPr fontId="1" type="noConversion"/>
  </si>
  <si>
    <t>방문자</t>
    <phoneticPr fontId="1" type="noConversion"/>
  </si>
  <si>
    <t>방문자순위</t>
    <phoneticPr fontId="1" type="noConversion"/>
  </si>
  <si>
    <t>팔로워</t>
    <phoneticPr fontId="1" type="noConversion"/>
  </si>
  <si>
    <t>팔로워순위</t>
    <phoneticPr fontId="1" type="noConversion"/>
  </si>
  <si>
    <t>Seoul Incheon Metropolitan Area, South Korea</t>
  </si>
  <si>
    <t>Alabama</t>
  </si>
  <si>
    <t>Austria</t>
    <phoneticPr fontId="1" type="noConversion"/>
  </si>
  <si>
    <t>Greater Raipur Area, India</t>
  </si>
  <si>
    <t>San Francisco Bay Area</t>
  </si>
  <si>
    <t>Visitor</t>
    <phoneticPr fontId="1" type="noConversion"/>
  </si>
  <si>
    <t>Alaska</t>
  </si>
  <si>
    <t>Bulgaria</t>
    <phoneticPr fontId="1" type="noConversion"/>
  </si>
  <si>
    <t>Bangkok Metropolitan Area, Thailand</t>
  </si>
  <si>
    <t>Greater Bengaluru Area, India</t>
  </si>
  <si>
    <t>No.</t>
  </si>
  <si>
    <t>국가명</t>
  </si>
  <si>
    <t>Arizona</t>
  </si>
  <si>
    <t>Hungary</t>
    <phoneticPr fontId="1" type="noConversion"/>
  </si>
  <si>
    <t>Greater Patna Area, India</t>
  </si>
  <si>
    <t>Greater Delhi Area, India</t>
  </si>
  <si>
    <t>Arkansas</t>
  </si>
  <si>
    <t>Slovak Republic</t>
    <phoneticPr fontId="1" type="noConversion"/>
  </si>
  <si>
    <t>Taipei–Keelung Metropolitan area, Taiwan</t>
  </si>
  <si>
    <t>California</t>
  </si>
  <si>
    <t>Canada</t>
    <phoneticPr fontId="1" type="noConversion"/>
  </si>
  <si>
    <t>Greater Hyderabad Area, India</t>
  </si>
  <si>
    <t>Colorado</t>
  </si>
  <si>
    <t>Singapore</t>
    <phoneticPr fontId="1" type="noConversion"/>
  </si>
  <si>
    <t>Washington DC-Baltimore Area</t>
  </si>
  <si>
    <t>Shenzhen, China</t>
  </si>
  <si>
    <t>Connecticut</t>
  </si>
  <si>
    <t>United Kingdom</t>
  </si>
  <si>
    <t>Singapore</t>
  </si>
  <si>
    <t>Delaware</t>
  </si>
  <si>
    <t>Australia</t>
  </si>
  <si>
    <t>Greater Chicago Area</t>
  </si>
  <si>
    <t>Mumbai Metropolitan Region, India</t>
  </si>
  <si>
    <t>Florida</t>
  </si>
  <si>
    <t>Belgium</t>
  </si>
  <si>
    <t>Greater Ahmedabad Area, India</t>
  </si>
  <si>
    <t>Greater Chennai Area, India</t>
  </si>
  <si>
    <t>Georgia</t>
  </si>
  <si>
    <t>Switzerland</t>
  </si>
  <si>
    <t>Greater São Paulo Area, Brazil</t>
  </si>
  <si>
    <t>Hawaii</t>
  </si>
  <si>
    <t>Germany</t>
  </si>
  <si>
    <t>Shanghai, China</t>
  </si>
  <si>
    <t>Idaho</t>
  </si>
  <si>
    <t>Spain</t>
  </si>
  <si>
    <t>Greater Surat Area, India</t>
  </si>
  <si>
    <t>New York City Metropolitan Area</t>
  </si>
  <si>
    <t>Illinois</t>
  </si>
  <si>
    <t>France</t>
  </si>
  <si>
    <t>Los Angeles Metropolitan Area</t>
  </si>
  <si>
    <t>Indiana</t>
  </si>
  <si>
    <t>Italy</t>
  </si>
  <si>
    <t>Pune/Pimpri-Chinchwad Area, India</t>
  </si>
  <si>
    <t>Iowa</t>
  </si>
  <si>
    <t>Netherlands</t>
  </si>
  <si>
    <t>London Area, United Kingdom, United Kingdom</t>
  </si>
  <si>
    <t>Kansas</t>
  </si>
  <si>
    <t>Norway</t>
  </si>
  <si>
    <t>Greater Seattle Area</t>
  </si>
  <si>
    <t>Kentucky</t>
  </si>
  <si>
    <t>Mexico</t>
  </si>
  <si>
    <t>Daejeon Metropolitan Area, South Korea</t>
  </si>
  <si>
    <t>Louisiana</t>
  </si>
  <si>
    <t>Brazil</t>
  </si>
  <si>
    <t>Maine</t>
  </si>
  <si>
    <t>India</t>
  </si>
  <si>
    <t>Greater Milan Metropolitan Area, Italy</t>
  </si>
  <si>
    <t>Follower</t>
    <phoneticPr fontId="1" type="noConversion"/>
  </si>
  <si>
    <t>Maryland</t>
  </si>
  <si>
    <t>Portugal</t>
  </si>
  <si>
    <t>Noida, India</t>
  </si>
  <si>
    <t>국가명</t>
    <phoneticPr fontId="1" type="noConversion"/>
  </si>
  <si>
    <t>Massachusetts</t>
  </si>
  <si>
    <t>Romania</t>
  </si>
  <si>
    <t>Greater Kolkata Area, India</t>
  </si>
  <si>
    <t>Michigan</t>
  </si>
  <si>
    <t>Turkey</t>
  </si>
  <si>
    <t>Minnesota</t>
  </si>
  <si>
    <t>Japan</t>
  </si>
  <si>
    <t>Greater Paris Metropolitan Region, France</t>
  </si>
  <si>
    <t>Mississippi</t>
  </si>
  <si>
    <t>Korea</t>
  </si>
  <si>
    <t>Cairo, Egypt</t>
  </si>
  <si>
    <t>Missouri</t>
  </si>
  <si>
    <t>Malaysia</t>
  </si>
  <si>
    <t>Montana</t>
  </si>
  <si>
    <t>Moldova</t>
  </si>
  <si>
    <t>Greater Boston</t>
  </si>
  <si>
    <t>Nebraska</t>
  </si>
  <si>
    <t>Sweden</t>
  </si>
  <si>
    <t>Nevada</t>
  </si>
  <si>
    <t>Poland</t>
  </si>
  <si>
    <t>Greater Philadelphia</t>
  </si>
  <si>
    <t>New Hampshire</t>
  </si>
  <si>
    <t>Indonesia</t>
  </si>
  <si>
    <t>New Jersey</t>
  </si>
  <si>
    <t>Czech Republic</t>
  </si>
  <si>
    <t>New Mexico</t>
  </si>
  <si>
    <t>China</t>
  </si>
  <si>
    <t>New York</t>
  </si>
  <si>
    <t>Taiwan</t>
  </si>
  <si>
    <t>North Carolina</t>
  </si>
  <si>
    <t>Philippines</t>
  </si>
  <si>
    <t>Hong Kong SAR, China</t>
  </si>
  <si>
    <t>North Dakota</t>
  </si>
  <si>
    <t>Thailand</t>
  </si>
  <si>
    <t>Bhubaneswar, India</t>
  </si>
  <si>
    <t>Ohio</t>
  </si>
  <si>
    <t>Denmark</t>
  </si>
  <si>
    <t>Gwangju Metropolitan Area, South Korea</t>
  </si>
  <si>
    <t>Oklahoma</t>
  </si>
  <si>
    <t>Finland</t>
  </si>
  <si>
    <t>Oregon</t>
  </si>
  <si>
    <t>Colombia</t>
  </si>
  <si>
    <t>Pennsylvania</t>
  </si>
  <si>
    <t>Morocco</t>
  </si>
  <si>
    <t>Berlin Metropolitan Area, Germany</t>
  </si>
  <si>
    <t>San Diego Metropolitan Area</t>
  </si>
  <si>
    <t>Rhode Island</t>
  </si>
  <si>
    <t>Ireland</t>
  </si>
  <si>
    <t>Greater Lyon Area, France</t>
  </si>
  <si>
    <t>Atlanta Metropolitan Area</t>
  </si>
  <si>
    <t>South Carolina</t>
  </si>
  <si>
    <t>Pakistan</t>
  </si>
  <si>
    <t>Greater Vancouver Metropolitan Area, Canada</t>
  </si>
  <si>
    <t>The Randstad, Netherlands, Netherlands</t>
  </si>
  <si>
    <t>South Dakota</t>
  </si>
  <si>
    <t>Hong Kong</t>
    <phoneticPr fontId="1" type="noConversion"/>
  </si>
  <si>
    <t>Tennessee</t>
  </si>
  <si>
    <t>Egypt</t>
    <phoneticPr fontId="1" type="noConversion"/>
  </si>
  <si>
    <t>Greater Toronto Area, Canada, Canada</t>
  </si>
  <si>
    <t>Texas</t>
  </si>
  <si>
    <t>Argentina</t>
    <phoneticPr fontId="1" type="noConversion"/>
  </si>
  <si>
    <t>Greater Dublin, Ireland</t>
  </si>
  <si>
    <t>Utah</t>
  </si>
  <si>
    <t>Kenya</t>
    <phoneticPr fontId="1" type="noConversion"/>
  </si>
  <si>
    <t>Bogotá D.C. Metropolitan Area, Colombia</t>
  </si>
  <si>
    <t>Vermont</t>
  </si>
  <si>
    <t>Chile</t>
    <phoneticPr fontId="1" type="noConversion"/>
  </si>
  <si>
    <t>Ulsan Metropolitan Area, South Korea</t>
  </si>
  <si>
    <t>Virginia</t>
  </si>
  <si>
    <t>Vietnam</t>
    <phoneticPr fontId="1" type="noConversion"/>
  </si>
  <si>
    <t>Greater Madrid Metropolitan Area, Spain</t>
  </si>
  <si>
    <t>Washington</t>
  </si>
  <si>
    <t>Peru</t>
    <phoneticPr fontId="1" type="noConversion"/>
  </si>
  <si>
    <t>West Virginia</t>
  </si>
  <si>
    <t>South Africa</t>
    <phoneticPr fontId="1" type="noConversion"/>
  </si>
  <si>
    <t>Wisconsin</t>
  </si>
  <si>
    <t>Afghanistan</t>
  </si>
  <si>
    <t>Warsaw Metropolitan Area, Poland</t>
  </si>
  <si>
    <t>Wyoming</t>
  </si>
  <si>
    <t>Albania</t>
  </si>
  <si>
    <t>Algeria</t>
  </si>
  <si>
    <t>Greater Houston</t>
  </si>
  <si>
    <t>Andorra</t>
  </si>
  <si>
    <t>Faisalabad, Pakistan</t>
  </si>
  <si>
    <t>Angola</t>
  </si>
  <si>
    <t>Greater Montreal Metropolitan Area, Canada</t>
  </si>
  <si>
    <t>Jakarta Metropolitan Area, Indonesia</t>
  </si>
  <si>
    <t>Antigua and Barbuda</t>
  </si>
  <si>
    <t>Lisbon Metropolitan Area, Portugal</t>
  </si>
  <si>
    <t>Armenia</t>
  </si>
  <si>
    <t>Greater Allahabad Area, India</t>
  </si>
  <si>
    <t>Busan Metropolitan Area, South Korea</t>
  </si>
  <si>
    <t>Azerbaijan</t>
  </si>
  <si>
    <t>Greater Coimbatore Area, India</t>
  </si>
  <si>
    <t>Bahamas</t>
  </si>
  <si>
    <t>Bahrain</t>
  </si>
  <si>
    <t>Daegu Metropolitan Area, South Korea</t>
  </si>
  <si>
    <t>Bangladesh</t>
  </si>
  <si>
    <t>Greater Lucknow Area, India</t>
  </si>
  <si>
    <t>Greater Indore Area, India</t>
  </si>
  <si>
    <t>Barbados</t>
  </si>
  <si>
    <t>Belarus</t>
  </si>
  <si>
    <t>Nairobi County, Kenya</t>
  </si>
  <si>
    <t>Belize</t>
  </si>
  <si>
    <t>Greater Kuala Lumpur, Malaysia</t>
  </si>
  <si>
    <t>Benin</t>
  </si>
  <si>
    <t>Bhutan</t>
  </si>
  <si>
    <t>Greater Istanbul, Türkiye</t>
  </si>
  <si>
    <t>Bolivia</t>
  </si>
  <si>
    <t>Bosnia and Herzegovina</t>
  </si>
  <si>
    <t>Greater Jaipur Area, India</t>
  </si>
  <si>
    <t>Botswana</t>
  </si>
  <si>
    <t>Detroit Metropolitan Area</t>
  </si>
  <si>
    <t>Brunei</t>
  </si>
  <si>
    <t>Singapore, Singapore</t>
  </si>
  <si>
    <t>Burkina Faso</t>
  </si>
  <si>
    <t>Burundi</t>
  </si>
  <si>
    <t>Côte d'Ivoire</t>
  </si>
  <si>
    <t>Cabo Verde</t>
  </si>
  <si>
    <t>Cambodia</t>
  </si>
  <si>
    <t>Cameroon</t>
  </si>
  <si>
    <t>Ho Chi Minh City Metropolitan Area, Vietnam</t>
  </si>
  <si>
    <t>Central African Republic</t>
  </si>
  <si>
    <t>Miami-Fort Lauderdale Area</t>
  </si>
  <si>
    <t>Chad</t>
  </si>
  <si>
    <t>Comoros</t>
  </si>
  <si>
    <t>Busan, South Korea</t>
  </si>
  <si>
    <t>Congo</t>
  </si>
  <si>
    <t>Costa Rica</t>
  </si>
  <si>
    <t>Raleigh-Durham-Chapel Hill Area</t>
  </si>
  <si>
    <t>Croatia</t>
  </si>
  <si>
    <t>Cuba</t>
  </si>
  <si>
    <t>Cyprus</t>
  </si>
  <si>
    <t>Greater Nagpur Area, India</t>
  </si>
  <si>
    <t>Democratic Republic of the Congo</t>
  </si>
  <si>
    <t>Greater Melbourne Area, Australia</t>
  </si>
  <si>
    <t>Djibouti</t>
  </si>
  <si>
    <t>Dominica</t>
  </si>
  <si>
    <t>Dominican Republic</t>
  </si>
  <si>
    <t>Ecuador</t>
  </si>
  <si>
    <t>El Salvador</t>
  </si>
  <si>
    <t>Greater Sydney Area, Australia</t>
  </si>
  <si>
    <t>Equatorial Guinea</t>
  </si>
  <si>
    <t>Eritrea</t>
  </si>
  <si>
    <t>Greater Vadodara Area, India</t>
  </si>
  <si>
    <t>Estonia</t>
  </si>
  <si>
    <t>Eswatini</t>
  </si>
  <si>
    <t>Ethiopia</t>
  </si>
  <si>
    <t>Fiji</t>
  </si>
  <si>
    <t>Gabon</t>
  </si>
  <si>
    <t>Johannesburg Metropolitan Area, South Africa</t>
  </si>
  <si>
    <t>Gambia</t>
  </si>
  <si>
    <t>Daegu, South Korea</t>
  </si>
  <si>
    <t>Ghana</t>
  </si>
  <si>
    <t>Greece</t>
  </si>
  <si>
    <t>Grenada</t>
  </si>
  <si>
    <t>Guatemala</t>
  </si>
  <si>
    <t>Guinea</t>
  </si>
  <si>
    <t>Guinea-Bissau</t>
  </si>
  <si>
    <t>Guyana</t>
  </si>
  <si>
    <t>Haiti</t>
  </si>
  <si>
    <t>Holy See</t>
  </si>
  <si>
    <t>Honduras</t>
  </si>
  <si>
    <t>Iceland</t>
  </si>
  <si>
    <t>Iran</t>
  </si>
  <si>
    <t>Iraq</t>
  </si>
  <si>
    <t>Israel</t>
  </si>
  <si>
    <t>Jamaica</t>
  </si>
  <si>
    <t>Jordan</t>
  </si>
  <si>
    <t>Kazakhstan</t>
  </si>
  <si>
    <t>Kiribati</t>
  </si>
  <si>
    <t>Kuwait</t>
  </si>
  <si>
    <t>Kyrgyzstan</t>
  </si>
  <si>
    <t>Laos</t>
  </si>
  <si>
    <t>Latvia</t>
  </si>
  <si>
    <t>Lebanon</t>
  </si>
  <si>
    <t>Lesotho</t>
  </si>
  <si>
    <t>Liberia</t>
  </si>
  <si>
    <t>Libya</t>
  </si>
  <si>
    <t>Liechtenstein</t>
  </si>
  <si>
    <t>Lithuania</t>
  </si>
  <si>
    <t>Luxembourg</t>
  </si>
  <si>
    <t>Madagascar</t>
  </si>
  <si>
    <t>Malawi</t>
  </si>
  <si>
    <t>Maldives</t>
  </si>
  <si>
    <t>Mali</t>
  </si>
  <si>
    <t>Malta</t>
  </si>
  <si>
    <t>Marshall Islands</t>
  </si>
  <si>
    <t>Mauritania</t>
  </si>
  <si>
    <t>Mauritius</t>
  </si>
  <si>
    <t>Micronesia</t>
  </si>
  <si>
    <t>Monaco</t>
  </si>
  <si>
    <t>Mongolia</t>
  </si>
  <si>
    <t>Montenegro</t>
  </si>
  <si>
    <t>Mozambique</t>
  </si>
  <si>
    <t>Myanmar</t>
  </si>
  <si>
    <t>Namibia</t>
  </si>
  <si>
    <t>Nauru</t>
  </si>
  <si>
    <t>Nepal</t>
  </si>
  <si>
    <t>New Zealand</t>
  </si>
  <si>
    <t>Nicaragua</t>
  </si>
  <si>
    <t>Niger</t>
  </si>
  <si>
    <t>Nigeria</t>
  </si>
  <si>
    <t>North Korea</t>
  </si>
  <si>
    <t>North Macedonia</t>
  </si>
  <si>
    <t>Oman</t>
  </si>
  <si>
    <t>Palau</t>
  </si>
  <si>
    <t>Palestine State</t>
  </si>
  <si>
    <t>Panama</t>
  </si>
  <si>
    <t>Papua New Guinea</t>
  </si>
  <si>
    <t>Paraguay</t>
  </si>
  <si>
    <t>Qatar</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</si>
  <si>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</si>
  <si>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</si>
  <si>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</si>
  <si>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</si>
  <si>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</si>
  <si>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</si>
  <si>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</si>
  <si>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</si>
  <si>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</si>
  <si>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</si>
  <si>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</si>
  <si>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</si>
  <si>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</si>
  <si>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Slovakia</t>
  </si>
  <si>
    <t>Slovenia</t>
  </si>
  <si>
    <t>Solomon Islands</t>
  </si>
  <si>
    <t>Somalia</t>
  </si>
  <si>
    <t>South Sudan</t>
  </si>
  <si>
    <t>Sri Lanka</t>
  </si>
  <si>
    <t>Sudan</t>
  </si>
  <si>
    <t>Suriname</t>
  </si>
  <si>
    <t>Syria</t>
  </si>
  <si>
    <t>Tajikistan</t>
  </si>
  <si>
    <t>Tanzania</t>
  </si>
  <si>
    <t>Timor-Leste</t>
  </si>
  <si>
    <t>Togo</t>
  </si>
  <si>
    <t>Tonga</t>
  </si>
  <si>
    <t>Trinidad and Tobago</t>
  </si>
  <si>
    <t>Tunisia</t>
  </si>
  <si>
    <t>Turkmenistan</t>
  </si>
  <si>
    <t>Tuvalu</t>
  </si>
  <si>
    <t>Uganda</t>
  </si>
  <si>
    <t>Ukraine</t>
  </si>
  <si>
    <t>United Arab Emirates</t>
  </si>
  <si>
    <t>United States of America</t>
  </si>
  <si>
    <t>Uruguay</t>
  </si>
  <si>
    <t>Uzbekistan</t>
  </si>
  <si>
    <t>Vanuatu</t>
  </si>
  <si>
    <t>Venezuela</t>
  </si>
  <si>
    <t>Yemen</t>
  </si>
  <si>
    <t>Zambia</t>
  </si>
  <si>
    <t>Zimbabwe</t>
  </si>
  <si>
    <t>Industry</t>
  </si>
  <si>
    <t>Total views</t>
  </si>
  <si>
    <t>Job function</t>
  </si>
  <si>
    <t>Job Function</t>
    <phoneticPr fontId="1" type="noConversion"/>
  </si>
  <si>
    <t>Total Views</t>
    <phoneticPr fontId="1" type="noConversion"/>
  </si>
  <si>
    <t>Percentage</t>
    <phoneticPr fontId="1" type="noConversion"/>
  </si>
  <si>
    <t>Industry</t>
    <phoneticPr fontId="1" type="noConversion"/>
  </si>
  <si>
    <t>Quality Assurance</t>
  </si>
  <si>
    <t>Renewable Energy Equipment Manufacturing</t>
  </si>
  <si>
    <t>Real Estate</t>
  </si>
  <si>
    <t>Events Services</t>
  </si>
  <si>
    <t>Research</t>
  </si>
  <si>
    <t>Sales</t>
  </si>
  <si>
    <t>Appliances, Electrical, and Electronics Manufacturing</t>
  </si>
  <si>
    <t>Customer Success and Support</t>
  </si>
  <si>
    <t>Finance</t>
  </si>
  <si>
    <t>Nanotechnology Research</t>
  </si>
  <si>
    <t>Healthcare Services</t>
  </si>
  <si>
    <t>Transportation, Logistics, Supply Chain and Storage</t>
  </si>
  <si>
    <t>Human Resources</t>
  </si>
  <si>
    <t>Plastics Manufacturing</t>
  </si>
  <si>
    <t>Information Technology</t>
  </si>
  <si>
    <t>Legal</t>
  </si>
  <si>
    <t>Marketing</t>
  </si>
  <si>
    <t>Media and Communication</t>
  </si>
  <si>
    <t>Truck Transportation</t>
  </si>
  <si>
    <t>Operations</t>
  </si>
  <si>
    <t>IT Services and IT Consulting</t>
  </si>
  <si>
    <t>Product Management</t>
  </si>
  <si>
    <t>Market Research</t>
  </si>
  <si>
    <t>Accounting</t>
  </si>
  <si>
    <t>Legal Services</t>
  </si>
  <si>
    <t>Administrative</t>
  </si>
  <si>
    <t>Public Relations and Communications Services</t>
  </si>
  <si>
    <t>Arts and Design</t>
  </si>
  <si>
    <t>Design Services</t>
  </si>
  <si>
    <t>Business Development</t>
  </si>
  <si>
    <t>Business Consulting and Services</t>
  </si>
  <si>
    <t>Community and Social Services</t>
  </si>
  <si>
    <t>Biotechnology Research</t>
  </si>
  <si>
    <t>Consulting</t>
  </si>
  <si>
    <t>Hospitals and Health Care</t>
  </si>
  <si>
    <t>Education</t>
  </si>
  <si>
    <t>Pharmaceutical Manufacturing</t>
  </si>
  <si>
    <t>Engineering</t>
  </si>
  <si>
    <t>Medical Equipment Manufacturing</t>
  </si>
  <si>
    <t>Entrepreneurship</t>
  </si>
  <si>
    <t>Program and Project Management</t>
  </si>
  <si>
    <t>Retail Apparel and Fashion</t>
  </si>
  <si>
    <t>Purchasing</t>
  </si>
  <si>
    <t>Outsourcing and Offshoring Consulting</t>
  </si>
  <si>
    <t>Wellness and Fitness Services</t>
  </si>
  <si>
    <t>Software Development</t>
  </si>
  <si>
    <t>Media Production</t>
  </si>
  <si>
    <t>Computer Networking Products</t>
  </si>
  <si>
    <t>Animation and Post-production</t>
  </si>
  <si>
    <t>Technology, Information and Internet</t>
  </si>
  <si>
    <t>Semiconductor Manufacturing</t>
  </si>
  <si>
    <t>Telecommunications</t>
  </si>
  <si>
    <t>Law Practice</t>
  </si>
  <si>
    <t>Food and Beverage Manufacturing</t>
  </si>
  <si>
    <t>Manufacturing</t>
  </si>
  <si>
    <t>Retail</t>
  </si>
  <si>
    <t>Entertainment Providers</t>
  </si>
  <si>
    <t>Think Tanks</t>
  </si>
  <si>
    <t>E-Learning Providers</t>
  </si>
  <si>
    <t>Wholesale</t>
  </si>
  <si>
    <t>Industrial Machinery Manufacturing</t>
  </si>
  <si>
    <t>Human Resources Services</t>
  </si>
  <si>
    <t>Hospitality</t>
  </si>
  <si>
    <t>Spectator Sports</t>
  </si>
  <si>
    <t>Food and Beverage Services</t>
  </si>
  <si>
    <t>Graphic Design</t>
  </si>
  <si>
    <t>International Trade and Development</t>
  </si>
  <si>
    <t>Retail Luxury Goods and Jewelry</t>
  </si>
  <si>
    <t>Government Relations Services</t>
  </si>
  <si>
    <t>Banking</t>
  </si>
  <si>
    <t>Financial Services</t>
  </si>
  <si>
    <t>Investment Banking</t>
  </si>
  <si>
    <t>Investment Management</t>
  </si>
  <si>
    <t>Construction</t>
  </si>
  <si>
    <t>Architecture and Planning</t>
  </si>
  <si>
    <t>Civil Engineering</t>
  </si>
  <si>
    <t>Motor Vehicle Manufacturing</t>
  </si>
  <si>
    <t>Chemical Manufacturing</t>
  </si>
  <si>
    <t>Machinery Manufacturing</t>
  </si>
  <si>
    <t>Oil and Gas</t>
  </si>
  <si>
    <t>Utilities</t>
  </si>
  <si>
    <t>Higher Education</t>
  </si>
  <si>
    <t>Education Administration Programs</t>
  </si>
  <si>
    <t>Research Services</t>
  </si>
  <si>
    <t>Government Administration</t>
  </si>
  <si>
    <t>Non-profit Organizations</t>
  </si>
  <si>
    <t>Writing and Editing</t>
  </si>
  <si>
    <t>Staffing and Recruiting</t>
  </si>
  <si>
    <t>Venture Capital and Private Equity Principals</t>
  </si>
  <si>
    <t>Advertising Services</t>
  </si>
  <si>
    <t>Book and Periodical Publishing</t>
  </si>
  <si>
    <t>Computer Games</t>
  </si>
  <si>
    <t>Information Services</t>
  </si>
  <si>
    <t>기업명</t>
  </si>
  <si>
    <t>Total Followers</t>
    <phoneticPr fontId="1" type="noConversion"/>
  </si>
  <si>
    <t>Greater Vijayawada District, India</t>
  </si>
  <si>
    <t>Hannover-Braunschweig-Göttingen-Wolfsburg Region, Germany</t>
  </si>
  <si>
    <t>Karachi Division, Pakistan</t>
  </si>
  <si>
    <t>Kansas City Metropolitan Area</t>
  </si>
  <si>
    <t>Greater Billings Area</t>
  </si>
  <si>
    <t>Pune, India</t>
  </si>
  <si>
    <t>Copenhagen Metropolitan Area, Denmark</t>
  </si>
  <si>
    <t>Islamabad, Pakistan</t>
  </si>
  <si>
    <t>Baku, Azerbaijan</t>
  </si>
  <si>
    <t>Lahore, Pakistan</t>
  </si>
  <si>
    <t>Karāchi, Pakistan</t>
  </si>
  <si>
    <t>Greater Dessau-Rosslau Area, Germany</t>
  </si>
  <si>
    <t>Casablanca Metropolitan Area, Morocco</t>
  </si>
  <si>
    <t>Faridabad, India</t>
  </si>
  <si>
    <t>Athens Metropolitan Area, Greece</t>
  </si>
  <si>
    <t>Cheongju, South Korea</t>
  </si>
  <si>
    <t>Greater Nashik Area, India</t>
  </si>
  <si>
    <t>Metro Manila, Philippines</t>
  </si>
  <si>
    <t>Greater Madurai Area, India</t>
  </si>
  <si>
    <t>Greater Syracuse-Auburn Area</t>
  </si>
  <si>
    <t>Lahore District, Pakistan</t>
  </si>
  <si>
    <t>Grand Tunis Metropolitan Area, Tunisia</t>
  </si>
  <si>
    <t>Addis Ababa, Ethiopia</t>
  </si>
  <si>
    <t>Dhaka, Bangladesh</t>
  </si>
  <si>
    <t>Greater Bhopal Area, India</t>
  </si>
  <si>
    <t>Rawalpindi, Pakistan</t>
  </si>
  <si>
    <t>Kathmandu, Nepal</t>
  </si>
  <si>
    <t>Rabat Metropolitan Area, Morocco</t>
  </si>
  <si>
    <t>Multan, Pakistan</t>
  </si>
  <si>
    <t>Amritsar/Ludhiana Area, India</t>
  </si>
  <si>
    <t>Kampala, Uganda</t>
  </si>
  <si>
    <t>Greater Aurangabad Area, India</t>
  </si>
  <si>
    <t>Algiers, Algeria</t>
  </si>
  <si>
    <t>Greater Brisbane Area, Australia</t>
  </si>
  <si>
    <t>Dakar, Senegal</t>
  </si>
  <si>
    <t>Greater Agra Area, India</t>
  </si>
  <si>
    <t>Dar es Salaam, Tanzania</t>
  </si>
  <si>
    <t>Musicians</t>
  </si>
  <si>
    <t>Medical Practices</t>
  </si>
  <si>
    <t>Veterinary Services</t>
  </si>
  <si>
    <t>Retail Office Equipment</t>
  </si>
  <si>
    <t>Travel Arrangements</t>
  </si>
  <si>
    <t>Primary and Secondary Education</t>
  </si>
  <si>
    <t>Public Policy Offices</t>
  </si>
  <si>
    <t>7/17 오전 2시 업무 시작</t>
    <phoneticPr fontId="1" type="noConversion"/>
  </si>
  <si>
    <t>7/16 오전 6시 업무종료(저녁 1시간, 토탈 휴식 4시간 빼면 12시간)</t>
    <phoneticPr fontId="1" type="noConversion"/>
  </si>
  <si>
    <t>7/16 오후 3시 업무 시작</t>
    <phoneticPr fontId="1" type="noConversion"/>
  </si>
  <si>
    <t>7/17 오전 7시 업무 종료</t>
    <phoneticPr fontId="1" type="noConversion"/>
  </si>
  <si>
    <t>7/17 오전 9시 업무 시작</t>
    <phoneticPr fontId="1" type="noConversion"/>
  </si>
  <si>
    <t>Overview page views (mobile)</t>
  </si>
  <si>
    <t>Overview page views (total)</t>
  </si>
  <si>
    <t>Overview unique visitors (desktop)</t>
  </si>
  <si>
    <t>Overview unique visitors (mobile)</t>
  </si>
  <si>
    <t>Overview unique visitors (total)</t>
  </si>
  <si>
    <t>Life page views (desktop)</t>
  </si>
  <si>
    <t>Life page views (mobile)</t>
  </si>
  <si>
    <t>Life page views (total)</t>
  </si>
  <si>
    <t>Life unique visitors (desktop)</t>
  </si>
  <si>
    <t>Life unique visitors (mobile)</t>
  </si>
  <si>
    <t>Life unique visitors (total)</t>
  </si>
  <si>
    <t>Jobs page views (desktop)</t>
  </si>
  <si>
    <t>Jobs page views (mobile)</t>
  </si>
  <si>
    <t>Jobs page views (total)</t>
  </si>
  <si>
    <t>Jobs unique visitors (desktop)</t>
  </si>
  <si>
    <t>Jobs unique visitors (mobile)</t>
  </si>
  <si>
    <t>Jobs unique visitors (total)</t>
  </si>
  <si>
    <t>Total page views (total)</t>
  </si>
  <si>
    <t>Total unique visitors (desktop)</t>
  </si>
  <si>
    <t>Total unique visitors (mobile)</t>
  </si>
  <si>
    <t>Total unique visitors (total)</t>
  </si>
  <si>
    <t>1월</t>
  </si>
  <si>
    <t>2월</t>
  </si>
  <si>
    <t>3월</t>
  </si>
  <si>
    <t>4월</t>
  </si>
  <si>
    <t>5월</t>
  </si>
  <si>
    <t>PV</t>
    <phoneticPr fontId="1" type="noConversion"/>
  </si>
  <si>
    <t>CPF</t>
    <phoneticPr fontId="1" type="noConversion"/>
  </si>
  <si>
    <t>광고비(만원)</t>
    <phoneticPr fontId="1" type="noConversion"/>
  </si>
  <si>
    <t>(만원)</t>
    <phoneticPr fontId="1" type="noConversion"/>
  </si>
  <si>
    <r>
      <t>§</t>
    </r>
    <r>
      <rPr>
        <b/>
        <sz val="11"/>
        <color rgb="FF000000"/>
        <rFont val="Pretendard SemiBold"/>
        <family val="2"/>
      </rPr>
      <t xml:space="preserve">5월 광고비는 Sponsored AD 모두 합해서 약 210만원 지출 </t>
    </r>
  </si>
  <si>
    <r>
      <t>§</t>
    </r>
    <r>
      <rPr>
        <b/>
        <sz val="11"/>
        <color rgb="FF000000"/>
        <rFont val="Pretendard SemiBold"/>
        <family val="2"/>
      </rPr>
      <t xml:space="preserve">광고를 통해 유입된 팔로워 수의 경우 4월 1,919명에서 5월 1,365명으로 </t>
    </r>
    <r>
      <rPr>
        <b/>
        <sz val="11"/>
        <color rgb="FF002060"/>
        <rFont val="Pretendard ExtraBold"/>
        <family val="2"/>
      </rPr>
      <t>28.8% 감소</t>
    </r>
  </si>
  <si>
    <t>2023년</t>
    <phoneticPr fontId="1" type="noConversion"/>
  </si>
  <si>
    <t>잔여KPI</t>
    <phoneticPr fontId="1" type="noConversion"/>
  </si>
  <si>
    <t>7/19 오후 2시 업무 시작</t>
    <phoneticPr fontId="1" type="noConversion"/>
  </si>
  <si>
    <t>7/19 오후 6시 업무 종료</t>
    <phoneticPr fontId="1" type="noConversion"/>
  </si>
  <si>
    <t>7/18 오후 4시 업무 시작</t>
    <phoneticPr fontId="1" type="noConversion"/>
  </si>
  <si>
    <t>7/18 오후 8시 업무 종료</t>
    <phoneticPr fontId="1" type="noConversion"/>
  </si>
  <si>
    <t>시작일</t>
    <phoneticPr fontId="1" type="noConversion"/>
  </si>
  <si>
    <t>마지막일</t>
    <phoneticPr fontId="1" type="noConversion"/>
  </si>
  <si>
    <t>이 팔로워 수는 어떻게 집계함?</t>
    <phoneticPr fontId="1" type="noConversion"/>
  </si>
  <si>
    <t>Total page views (mobile)</t>
    <phoneticPr fontId="1" type="noConversion"/>
  </si>
  <si>
    <t>Sponsored followers</t>
  </si>
  <si>
    <t>Organic followers</t>
  </si>
  <si>
    <t>Total followers</t>
  </si>
  <si>
    <t>News</t>
    <phoneticPr fontId="1" type="noConversion"/>
  </si>
  <si>
    <t>People &amp; Culture</t>
    <phoneticPr fontId="1" type="noConversion"/>
  </si>
  <si>
    <t>Seasonal</t>
    <phoneticPr fontId="1" type="noConversion"/>
  </si>
  <si>
    <t>Professional</t>
    <phoneticPr fontId="1" type="noConversion"/>
  </si>
  <si>
    <t>7/21 오후 2시 업무 시작</t>
    <phoneticPr fontId="1" type="noConversion"/>
  </si>
  <si>
    <t>Engagement</t>
    <phoneticPr fontId="1" type="noConversion"/>
  </si>
  <si>
    <t>Impression</t>
    <phoneticPr fontId="1" type="noConversion"/>
  </si>
  <si>
    <t>콘텐츠 개수</t>
    <phoneticPr fontId="1" type="noConversion"/>
  </si>
  <si>
    <t>만약 1월 보고서일 경우는 전년도 전체 데이터가 반영됨</t>
    <phoneticPr fontId="1" type="noConversion"/>
  </si>
  <si>
    <t>2월보고서일 경우 1월 데이터만 나옴</t>
    <phoneticPr fontId="1" type="noConversion"/>
  </si>
  <si>
    <t>이번달 클릭수</t>
    <phoneticPr fontId="1" type="noConversion"/>
  </si>
  <si>
    <t>지난달 클릭수</t>
    <phoneticPr fontId="1" type="noConversion"/>
  </si>
  <si>
    <t>7/21 오후 8시 업무 종료</t>
    <phoneticPr fontId="1" type="noConversion"/>
  </si>
  <si>
    <t>7/22 오전 10시 업무 시작</t>
    <phoneticPr fontId="1" type="noConversion"/>
  </si>
  <si>
    <t>7/22 오후 4시 업무 종료</t>
    <phoneticPr fontId="1" type="noConversion"/>
  </si>
  <si>
    <t>7/24 오후 2시 업무 시작</t>
    <phoneticPr fontId="1" type="noConversion"/>
  </si>
  <si>
    <t>7/24 오후 8시 업무 종료</t>
    <phoneticPr fontId="1" type="noConversion"/>
  </si>
  <si>
    <t>7/25 오후 7시 업무 시작</t>
    <phoneticPr fontId="1" type="noConversion"/>
  </si>
  <si>
    <t>7/26 오후 2시 업무 종료</t>
    <phoneticPr fontId="1" type="noConversion"/>
  </si>
  <si>
    <t>4월</t>
    <phoneticPr fontId="1" type="noConversion"/>
  </si>
  <si>
    <t>5월</t>
    <phoneticPr fontId="1" type="noConversion"/>
  </si>
  <si>
    <t>06/01/2024</t>
  </si>
  <si>
    <t>06/02/2024</t>
  </si>
  <si>
    <t>06/03/2024</t>
  </si>
  <si>
    <t>06/04/2024</t>
  </si>
  <si>
    <t>06/07/2024</t>
  </si>
  <si>
    <t>06/08/2024</t>
  </si>
  <si>
    <t>06/09/2024</t>
  </si>
  <si>
    <t>06/10/2024</t>
  </si>
  <si>
    <t>06/11/2024</t>
  </si>
  <si>
    <t>06/12/2024</t>
  </si>
  <si>
    <t>06/13/2024</t>
  </si>
  <si>
    <t>06/14/2024</t>
  </si>
  <si>
    <t>06/15/2024</t>
  </si>
  <si>
    <t>06/16/2024</t>
  </si>
  <si>
    <t>06/17/2024</t>
  </si>
  <si>
    <t>06/18/2024</t>
  </si>
  <si>
    <t>06/19/2024</t>
  </si>
  <si>
    <t>06/20/2024</t>
  </si>
  <si>
    <t>06/21/2024</t>
  </si>
  <si>
    <t>06/22/2024</t>
  </si>
  <si>
    <t>06/23/2024</t>
  </si>
  <si>
    <t>06/24/2024</t>
  </si>
  <si>
    <t>06/25/2024</t>
  </si>
  <si>
    <t>06/26/2024</t>
  </si>
  <si>
    <t>06/27/2024</t>
  </si>
  <si>
    <t>06/28/2024</t>
  </si>
  <si>
    <t>06/29/2024</t>
  </si>
  <si>
    <t>06/30/2024</t>
  </si>
  <si>
    <t>Kyiv Metropolitan Area, Ukraine</t>
  </si>
  <si>
    <t>Greater Tokyo Area, Japan</t>
  </si>
  <si>
    <t>Dubai, United Arab Emirates</t>
  </si>
  <si>
    <t>Rhein-Neckar Metropolitan Region, Germany</t>
  </si>
  <si>
    <t>Warud, India</t>
  </si>
  <si>
    <t>Greater Sacramento</t>
  </si>
  <si>
    <t>Greater Leipzig Area, Germany</t>
  </si>
  <si>
    <t>Greater Porto Alegre, Brazil</t>
  </si>
  <si>
    <t>Greater Munich Metropolitan Area, Germany</t>
  </si>
  <si>
    <t>Greater Magdeburg Area, Germany</t>
  </si>
  <si>
    <t>Buffalo-Niagara Falls Area</t>
  </si>
  <si>
    <t>Baddi, India</t>
  </si>
  <si>
    <t>Teresa, Philippines</t>
  </si>
  <si>
    <t>Portland, Oregon Metropolitan Area</t>
  </si>
  <si>
    <t>Lucca, Italy</t>
  </si>
  <si>
    <t>Belgrade Metropolitan Area, Serbia</t>
  </si>
  <si>
    <t>Greater Hamburg Area, Germany</t>
  </si>
  <si>
    <t>Brussels Metropolitan Area, Belgium</t>
  </si>
  <si>
    <t>Greater Augusta Area</t>
  </si>
  <si>
    <t>Frankfurt Rhine-Main Metropolitan Area, Germany</t>
  </si>
  <si>
    <t>Greater Indianapolis</t>
  </si>
  <si>
    <t>Biberach an der Riß, Germany</t>
  </si>
  <si>
    <t>Arnhem-Nijmegen Region, Netherlands</t>
  </si>
  <si>
    <t>Greater Stockholm Metropolitan Area, Sweden</t>
  </si>
  <si>
    <t>Greater Girona Area, Spain</t>
  </si>
  <si>
    <t>Manchester Area, United Kingdom, United Kingdom</t>
  </si>
  <si>
    <t>Jeonju Metropolitan Area, South Korea</t>
  </si>
  <si>
    <t>Rochester-Austin, Minnesota Area</t>
  </si>
  <si>
    <t>Yerevan, Armenia</t>
  </si>
  <si>
    <t>Greater Liverpool Area, United Kingdom</t>
  </si>
  <si>
    <t>Geneva Metropolitan Area, Switzerland</t>
  </si>
  <si>
    <t>Belouizdad, Algeria</t>
  </si>
  <si>
    <t>Colombo, Sri Lanka</t>
  </si>
  <si>
    <t>Zürich Metropolitan Area, Switzerland</t>
  </si>
  <si>
    <t>Charlotte Metro</t>
  </si>
  <si>
    <t>Dallas-Fort Worth Metroplex</t>
  </si>
  <si>
    <t>Santa Barbara-Santa Maria Area</t>
  </si>
  <si>
    <t>Basel Metropolitan Area, Switzerland</t>
  </si>
  <si>
    <t>Denver Metropolitan Area</t>
  </si>
  <si>
    <t>Greater Reno Area</t>
  </si>
  <si>
    <t>Greater Fort Wayne</t>
  </si>
  <si>
    <t>Jinju, South Korea</t>
  </si>
  <si>
    <t>Ghent Metropolitan Area, Belgium</t>
  </si>
  <si>
    <t>Knoxville Metropolitan Area</t>
  </si>
  <si>
    <t>Greater Cambridge Area, United Kingdom</t>
  </si>
  <si>
    <t>Hanoi Capital Region, Vietnam</t>
  </si>
  <si>
    <t>Charlottetown, Canada</t>
  </si>
  <si>
    <t>Cannanore, India</t>
  </si>
  <si>
    <t>Military and Protective Services</t>
  </si>
  <si>
    <t>Individual and Family Services</t>
  </si>
  <si>
    <t>Religious Institutions</t>
  </si>
  <si>
    <t>Online Audio and Video Media</t>
  </si>
  <si>
    <t>Consumer Services</t>
  </si>
  <si>
    <t>Defense and Space Manufacturing</t>
  </si>
  <si>
    <t>Farming</t>
  </si>
  <si>
    <t>Fisheries</t>
  </si>
  <si>
    <t>Mental Health Care</t>
  </si>
  <si>
    <t>Administration of Justice</t>
  </si>
  <si>
    <t>Executive Offices</t>
  </si>
  <si>
    <t>Broadcast Media Production and Distribution</t>
  </si>
  <si>
    <t>Artists and Writers</t>
  </si>
  <si>
    <t>Newspaper Publishing</t>
  </si>
  <si>
    <t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t>
  </si>
  <si>
    <t>https://www.linkedin.com/feed/update/urn:li:activity:7211998575419871232</t>
  </si>
  <si>
    <t>Boost_Post_Engagement_Jul 4, 2024, 01:05:30</t>
  </si>
  <si>
    <t>07/04/2024</t>
  </si>
  <si>
    <t>07/11/2024</t>
  </si>
  <si>
    <t>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t>
  </si>
  <si>
    <t>https://www.linkedin.com/feed/update/urn:li:activity:7211625410931871746</t>
  </si>
  <si>
    <t>Boost_Post_Engagement_Jun 26, 2024, 07:18:51</t>
  </si>
  <si>
    <t>SK bioscience Hits 20K LinkedIn Followers! 🎉 🎈 
We’ve reached 20,000 followers thanks to your incredible support! 
Here's to more innovation and a brighter future together. Thank you for being with us!
#SKbioscience #FromPreventionToCure #20Kfollowers</t>
  </si>
  <si>
    <t>https://www.linkedin.com/feed/update/urn:li:activity:7210813880493568000</t>
  </si>
  <si>
    <t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t>
  </si>
  <si>
    <t>https://www.linkedin.com/feed/update/urn:li:activity:7209753697956810754</t>
  </si>
  <si>
    <t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t>
  </si>
  <si>
    <t>https://www.linkedin.com/feed/update/urn:li:activity:7209476224069378049</t>
  </si>
  <si>
    <t>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t>
  </si>
  <si>
    <t>https://www.linkedin.com/feed/update/urn:li:activity:7208342783089135616</t>
  </si>
  <si>
    <t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t>
  </si>
  <si>
    <t>https://www.linkedin.com/feed/update/urn:li:activity:7207175150889230338</t>
  </si>
  <si>
    <t>Boost_Native_Document_Engagement_Jun 14, 2024, 00:24:46</t>
  </si>
  <si>
    <t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t>
  </si>
  <si>
    <t>https://www.linkedin.com/feed/update/urn:li:activity:7206820351257763840</t>
  </si>
  <si>
    <t>Boost_Native_Document_Engagement_Jun 13, 2024, 01:14:34</t>
  </si>
  <si>
    <t>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t>
  </si>
  <si>
    <t>https://www.linkedin.com/feed/update/urn:li:activity:7206215781401993216</t>
  </si>
  <si>
    <t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t>
  </si>
  <si>
    <t>https://www.linkedin.com/feed/update/urn:li:activity:7203963676708511744</t>
  </si>
  <si>
    <t>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t>
  </si>
  <si>
    <t>https://www.linkedin.com/feed/update/urn:li:activity:7203893282613981185</t>
  </si>
  <si>
    <t>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t>
  </si>
  <si>
    <t>https://www.linkedin.com/feed/update/urn:li:activity:7203168516215115777</t>
  </si>
  <si>
    <t>Boost_Post_Engagement_Jun 3, 2024, 02:49:29</t>
  </si>
  <si>
    <t>6/1/2024</t>
  </si>
  <si>
    <t>6/30/2024</t>
  </si>
  <si>
    <t>6월</t>
  </si>
  <si>
    <t>6월</t>
    <phoneticPr fontId="1" type="noConversion"/>
  </si>
  <si>
    <t>1,2,3월 로우데이터 다 받아서 고쳐야함</t>
    <phoneticPr fontId="1" type="noConversion"/>
  </si>
  <si>
    <t>engagement만 오가닉 쓸거면 장표를 따로 빼면 됨</t>
    <phoneticPr fontId="1" type="noConversion"/>
  </si>
  <si>
    <t>프로젝트명</t>
    <phoneticPr fontId="1" type="noConversion"/>
  </si>
  <si>
    <t>No</t>
  </si>
  <si>
    <t>유형</t>
  </si>
  <si>
    <t>비용 (원)</t>
  </si>
  <si>
    <t>타깃</t>
  </si>
  <si>
    <t>기간</t>
  </si>
  <si>
    <t>노출</t>
  </si>
  <si>
    <t>평균 CPM</t>
  </si>
  <si>
    <t>평균 CPC</t>
  </si>
  <si>
    <t>Option</t>
  </si>
  <si>
    <t>시작일</t>
  </si>
  <si>
    <t>종료일</t>
  </si>
  <si>
    <t>Start Date (in UTC)</t>
  </si>
  <si>
    <t>Account Name</t>
  </si>
  <si>
    <t>Currency</t>
  </si>
  <si>
    <t>Campaign Group ID</t>
  </si>
  <si>
    <t>Campaign Group Name</t>
  </si>
  <si>
    <t>Campaign Group Status</t>
  </si>
  <si>
    <t>Campaign Group Start Date</t>
  </si>
  <si>
    <t>Campaign Group End Date</t>
  </si>
  <si>
    <t>Campaign Group Total Budget</t>
  </si>
  <si>
    <t>Campaign ID</t>
  </si>
  <si>
    <t>Campaign Name</t>
  </si>
  <si>
    <t>Campaign Objective</t>
  </si>
  <si>
    <t>Campaign Type</t>
  </si>
  <si>
    <t>Campaign Status</t>
  </si>
  <si>
    <t>Cost Type</t>
  </si>
  <si>
    <t>Total Budget</t>
  </si>
  <si>
    <t>Campaign Start Date</t>
  </si>
  <si>
    <t>Campaign End Date</t>
  </si>
  <si>
    <t>Total Spent</t>
  </si>
  <si>
    <t>Click Through Rate</t>
  </si>
  <si>
    <t>Average CPM</t>
  </si>
  <si>
    <t>Average CPC</t>
  </si>
  <si>
    <t>Reactions</t>
  </si>
  <si>
    <t>Shares</t>
  </si>
  <si>
    <t>Other Clicks</t>
  </si>
  <si>
    <t>Total Social Actions</t>
  </si>
  <si>
    <t>Total Engagements</t>
  </si>
  <si>
    <t>Engagement Rate</t>
  </si>
  <si>
    <t>Viral Impressions</t>
  </si>
  <si>
    <t>Viral Clicks</t>
  </si>
  <si>
    <t>Viral Reactions</t>
  </si>
  <si>
    <t>Viral Comments</t>
  </si>
  <si>
    <t>Viral Shares</t>
  </si>
  <si>
    <t>Viral Follows</t>
  </si>
  <si>
    <t>Viral Other Clicks</t>
  </si>
  <si>
    <t>Conversions</t>
  </si>
  <si>
    <t>Post-Click Conversions</t>
  </si>
  <si>
    <t>View-Through Conversions</t>
  </si>
  <si>
    <t>Conversion Rate</t>
  </si>
  <si>
    <t>Cost per Conversion</t>
  </si>
  <si>
    <t>Total Conversion Value</t>
  </si>
  <si>
    <t>Return on Ad Spend</t>
  </si>
  <si>
    <t>Viral Conversions</t>
  </si>
  <si>
    <t>Viral Post-Click Conversions</t>
  </si>
  <si>
    <t>Viral View-Through Conversions</t>
  </si>
  <si>
    <t>Leads</t>
  </si>
  <si>
    <t>Lead Forms Opened</t>
  </si>
  <si>
    <t>Lead Form Completion Rate</t>
  </si>
  <si>
    <t>Cost per Lead</t>
  </si>
  <si>
    <t>Reach</t>
  </si>
  <si>
    <t>Average Frequency</t>
  </si>
  <si>
    <t>Cost per 1,000 People Reached</t>
  </si>
  <si>
    <t>Event Registrations</t>
  </si>
  <si>
    <t>Click Event Registrations</t>
  </si>
  <si>
    <t>View Event Registrations</t>
  </si>
  <si>
    <t>Viral Event Registrations</t>
  </si>
  <si>
    <t>Viral Click Event Registrations</t>
  </si>
  <si>
    <t>Viral View Event Registrations</t>
  </si>
  <si>
    <t>Average Daily Spend</t>
  </si>
  <si>
    <t>Clicks to Landing Page</t>
  </si>
  <si>
    <t>Clicks to LinkedIn Page</t>
  </si>
  <si>
    <t>Download Clicks</t>
  </si>
  <si>
    <t>Viral Download Clicks</t>
  </si>
  <si>
    <t>Document Displays at 25%</t>
  </si>
  <si>
    <t>Viral Document Displays at 25%</t>
  </si>
  <si>
    <t>Document Displays at 50%</t>
  </si>
  <si>
    <t>Viral Document Displays at 50%</t>
  </si>
  <si>
    <t>Document Displays at 75%</t>
  </si>
  <si>
    <t>Viral Document Displays at 75%</t>
  </si>
  <si>
    <t>Document Displays at 100%</t>
  </si>
  <si>
    <t>Viral Document Displays at 100%</t>
  </si>
  <si>
    <t>Preview Download Clicks</t>
  </si>
  <si>
    <t>Viral Preview Download Clicks</t>
  </si>
  <si>
    <t>Leads (Work Email)</t>
  </si>
  <si>
    <t>Lead Form Completion Rate (Work Email)</t>
  </si>
  <si>
    <t>Cost Per Lead (Work Email)</t>
  </si>
  <si>
    <t>Member Follows</t>
  </si>
  <si>
    <t>Clicks to Member Profile</t>
  </si>
  <si>
    <t>Subscriptions</t>
  </si>
  <si>
    <t>Viral Subscriptions</t>
  </si>
  <si>
    <t>Soyoun님의 광고 계정</t>
  </si>
  <si>
    <t>USD</t>
  </si>
  <si>
    <t>Paused</t>
  </si>
  <si>
    <t>Engagement</t>
  </si>
  <si>
    <t>Sponsored Update</t>
  </si>
  <si>
    <t>Completed</t>
  </si>
  <si>
    <t>CPM</t>
  </si>
  <si>
    <t>6/6/2024</t>
  </si>
  <si>
    <t>Boost_Post_Engagement_Jun 3, 2024</t>
  </si>
  <si>
    <t>6/3/2024</t>
  </si>
  <si>
    <t>Boost_Post_Engagement_Jun 13, 2024</t>
  </si>
  <si>
    <t>6/13/2024</t>
  </si>
  <si>
    <t>6/20/2024</t>
  </si>
  <si>
    <t>Boost_Post_Engagement_Jun 14, 2024</t>
  </si>
  <si>
    <t>6/14/2024</t>
  </si>
  <si>
    <t>6/21/2024</t>
  </si>
  <si>
    <t>Boost_Post_Engagement_Jun 26, 2024</t>
  </si>
  <si>
    <t>6/26/2024</t>
  </si>
  <si>
    <t>Total Spent</t>
    <phoneticPr fontId="1" type="noConversion"/>
  </si>
  <si>
    <t>캠페인 그룹 시작일</t>
    <phoneticPr fontId="1" type="noConversion"/>
  </si>
  <si>
    <t>캠페인 그룹 종료일</t>
    <phoneticPr fontId="1" type="noConversion"/>
  </si>
  <si>
    <t>Impressions</t>
    <phoneticPr fontId="1" type="noConversion"/>
  </si>
  <si>
    <t>clicks</t>
    <phoneticPr fontId="1" type="noConversion"/>
  </si>
  <si>
    <t>follows</t>
    <phoneticPr fontId="1" type="noConversion"/>
  </si>
  <si>
    <t>클릭수</t>
  </si>
  <si>
    <t>확보된 팔로워 수</t>
    <phoneticPr fontId="1" type="noConversion"/>
  </si>
  <si>
    <t>작업 시간</t>
    <phoneticPr fontId="1" type="noConversion"/>
  </si>
  <si>
    <t>오늘자 환율</t>
    <phoneticPr fontId="1" type="noConversion"/>
  </si>
  <si>
    <t>노출</t>
    <phoneticPr fontId="1" type="noConversion"/>
  </si>
  <si>
    <t>클릭수</t>
    <phoneticPr fontId="1" type="noConversion"/>
  </si>
  <si>
    <t>CTR</t>
    <phoneticPr fontId="1" type="noConversion"/>
  </si>
  <si>
    <t>평균 CPC</t>
    <phoneticPr fontId="1" type="noConversion"/>
  </si>
  <si>
    <t>&lt;광고전체취합에 사용하는 데이터!!!</t>
    <phoneticPr fontId="1" type="noConversion"/>
  </si>
  <si>
    <t>아래는 "광고 전체취합" 시트에 복붙용</t>
    <phoneticPr fontId="1" type="noConversion"/>
  </si>
  <si>
    <t>포맷</t>
    <phoneticPr fontId="1" type="noConversion"/>
  </si>
  <si>
    <t>CPM</t>
    <phoneticPr fontId="1" type="noConversion"/>
  </si>
  <si>
    <t>Average CPM</t>
    <phoneticPr fontId="1" type="noConversion"/>
  </si>
  <si>
    <t>Click Through Rate</t>
    <phoneticPr fontId="1" type="noConversion"/>
  </si>
  <si>
    <t>CPC</t>
    <phoneticPr fontId="1" type="noConversion"/>
  </si>
  <si>
    <t>Average CPC</t>
    <phoneticPr fontId="1" type="noConversion"/>
  </si>
  <si>
    <t>06월 03일</t>
  </si>
  <si>
    <t>06월 06일</t>
  </si>
  <si>
    <t>06월 13일</t>
  </si>
  <si>
    <t>06월 20일</t>
  </si>
  <si>
    <t>06월 14일</t>
  </si>
  <si>
    <t>06월 21일</t>
  </si>
  <si>
    <t>06월 26일</t>
  </si>
  <si>
    <t>06월 30일</t>
  </si>
  <si>
    <t>지난달 데이터</t>
    <phoneticPr fontId="1" type="noConversion"/>
  </si>
  <si>
    <t xml:space="preserve">BIO International Convention </t>
  </si>
  <si>
    <t>Myth vs Truth</t>
  </si>
  <si>
    <t>Vaccine-preventable diseases</t>
  </si>
  <si>
    <t xml:space="preserve">BIO International Convention </t>
    <phoneticPr fontId="1" type="noConversion"/>
  </si>
  <si>
    <t>Myth vs Truth</t>
    <phoneticPr fontId="1" type="noConversion"/>
  </si>
  <si>
    <t xml:space="preserve">World Blood Donor Day (Rejected) </t>
  </si>
  <si>
    <t xml:space="preserve">World Blood Donor Day (Rejected) </t>
    <phoneticPr fontId="1" type="noConversion"/>
  </si>
  <si>
    <t>Vaccine-preventable diseases</t>
    <phoneticPr fontId="1" type="noConversion"/>
  </si>
  <si>
    <t>단일 이미지</t>
    <phoneticPr fontId="1" type="noConversion"/>
  </si>
  <si>
    <t>클릭률</t>
    <phoneticPr fontId="1" type="noConversion"/>
  </si>
  <si>
    <t>5-6월</t>
    <phoneticPr fontId="1" type="noConversion"/>
  </si>
  <si>
    <t>클릭당 평균 비용</t>
    <phoneticPr fontId="1" type="noConversion"/>
  </si>
  <si>
    <t>팔로워당 평균 비용</t>
    <phoneticPr fontId="1" type="noConversion"/>
  </si>
  <si>
    <t>페이지 관련 지표 증가 (전월 대비)</t>
    <phoneticPr fontId="1" type="noConversion"/>
  </si>
  <si>
    <r>
      <rPr>
        <b/>
        <sz val="10"/>
        <rFont val="새굴림"/>
        <family val="2"/>
        <charset val="129"/>
      </rPr>
      <t>총</t>
    </r>
    <r>
      <rPr>
        <b/>
        <sz val="10"/>
        <rFont val="Arial"/>
        <family val="2"/>
      </rPr>
      <t xml:space="preserve"> impression</t>
    </r>
    <phoneticPr fontId="1" type="noConversion"/>
  </si>
  <si>
    <t>총 engagement</t>
    <phoneticPr fontId="1" type="noConversion"/>
  </si>
  <si>
    <t>지난달 오가닉클릭</t>
    <phoneticPr fontId="1" type="noConversion"/>
  </si>
  <si>
    <t>이번달 오가닉클릭</t>
    <phoneticPr fontId="1" type="noConversion"/>
  </si>
  <si>
    <t>참여율</t>
  </si>
  <si>
    <t>조회 수</t>
  </si>
  <si>
    <t>좋아요</t>
  </si>
  <si>
    <t>Reposts (total)</t>
  </si>
  <si>
    <t>04/01/2024</t>
  </si>
  <si>
    <t>04/02/2024</t>
  </si>
  <si>
    <t>04/03/2024</t>
  </si>
  <si>
    <t>04/04/2024</t>
  </si>
  <si>
    <t>04/05/2024</t>
  </si>
  <si>
    <t>04/06/2024</t>
  </si>
  <si>
    <t>04/07/2024</t>
  </si>
  <si>
    <t>04/08/2024</t>
  </si>
  <si>
    <t>04/09/2024</t>
  </si>
  <si>
    <t>04/10/2024</t>
  </si>
  <si>
    <t>04/11/2024</t>
  </si>
  <si>
    <t>04/12/2024</t>
  </si>
  <si>
    <t>04/13/2024</t>
  </si>
  <si>
    <t>04/14/2024</t>
  </si>
  <si>
    <t>04/15/2024</t>
  </si>
  <si>
    <t>04/16/2024</t>
  </si>
  <si>
    <t>04/17/2024</t>
  </si>
  <si>
    <t>04/18/2024</t>
  </si>
  <si>
    <t>04/19/2024</t>
  </si>
  <si>
    <t>04/20/2024</t>
  </si>
  <si>
    <t>04/21/2024</t>
  </si>
  <si>
    <t>04/22/2024</t>
  </si>
  <si>
    <t>04/23/2024</t>
  </si>
  <si>
    <t>04/24/2024</t>
  </si>
  <si>
    <t>04/25/2024</t>
  </si>
  <si>
    <t>04/26/2024</t>
  </si>
  <si>
    <t>04/27/2024</t>
  </si>
  <si>
    <t>04/28/2024</t>
  </si>
  <si>
    <t>04/29/2024</t>
  </si>
  <si>
    <t>04/30/2024</t>
  </si>
  <si>
    <t>Overview page views (desktop)</t>
  </si>
  <si>
    <t>Total page views (desktop)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</si>
</sst>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176" formatCode="mm&quot;월&quot;\ dd&quot;일&quot;"/>
    <numFmt numFmtId="177" formatCode="mm&quot;월&quot;"/>
    <numFmt numFmtId="178" formatCode="0_);[Red]\(0\)"/>
    <numFmt numFmtId="179" formatCode="d"/>
    <numFmt numFmtId="180" formatCode="m&quot;월&quot;"/>
    <numFmt numFmtId="181" formatCode="#,##0_ "/>
    <numFmt numFmtId="182" formatCode="aaa"/>
    <numFmt numFmtId="183" formatCode="yy&quot;년&quot;\ m&quot;월&quot;"/>
    <numFmt numFmtId="184" formatCode="0.0%"/>
    <numFmt numFmtId="185" formatCode="yy&quot;년&quot;\ mm&quot;월&quot;"/>
    <numFmt numFmtId="186" formatCode="&quot;₩&quot;#,##0_);[Red]\(&quot;₩&quot;#,##0\)"/>
    <numFmt numFmtId="187" formatCode="&quot;₩&quot;#,##0"/>
    <numFmt numFmtId="188" formatCode="&quot;₩&quot;#,##0.00"/>
    <numFmt numFmtId="189" formatCode="#,##0_);[Red]\(#,##0\)"/>
    <numFmt numFmtId="190" formatCode="0_ "/>
  </numFmts>
  <fonts count="43">
    <font>
      <sz val="11"/>
      <color theme="1"/>
      <name val="맑은 고딕"/>
      <family val="2"/>
      <charset val="129"/>
      <scheme val="minor"/>
    </font>
    <font>
      <sz val="8"/>
      <name val="맑은 고딕"/>
      <family val="2"/>
      <charset val="129"/>
      <scheme val="minor"/>
    </font>
    <font>
      <sz val="10"/>
      <name val="Arial"/>
      <family val="2"/>
    </font>
    <font>
      <b/>
      <sz val="11.5"/>
      <color rgb="FF000000"/>
      <name val="Pretendard"/>
      <family val="2"/>
    </font>
    <font>
      <sz val="11"/>
      <color rgb="FF000000"/>
      <name val="Pretendard"/>
      <family val="2"/>
    </font>
    <font>
      <b/>
      <sz val="10"/>
      <name val="Arial"/>
      <family val="2"/>
    </font>
    <font>
      <sz val="10"/>
      <color rgb="FF000000"/>
      <name val="Pretendard"/>
      <family val="2"/>
    </font>
    <font>
      <b/>
      <sz val="11"/>
      <color rgb="FF000000"/>
      <name val="Pretendard"/>
      <family val="2"/>
    </font>
    <font>
      <sz val="11"/>
      <color rgb="FF000000"/>
      <name val="맑은 고딕"/>
      <family val="3"/>
      <charset val="129"/>
      <scheme val="minor"/>
    </font>
    <font>
      <sz val="11"/>
      <color theme="1"/>
      <name val="맑은 고딕"/>
      <family val="3"/>
      <charset val="129"/>
      <scheme val="minor"/>
    </font>
    <font>
      <sz val="11"/>
      <name val="맑은 고딕"/>
      <family val="3"/>
      <charset val="129"/>
      <scheme val="minor"/>
    </font>
    <font>
      <b/>
      <sz val="11"/>
      <name val="Calibri"/>
      <family val="2"/>
    </font>
    <font>
      <u/>
      <sz val="11"/>
      <color theme="10"/>
      <name val="맑은 고딕"/>
      <family val="2"/>
      <charset val="129"/>
      <scheme val="minor"/>
    </font>
    <font>
      <b/>
      <sz val="11"/>
      <color rgb="FFFF0000"/>
      <name val="맑은 고딕"/>
      <family val="3"/>
      <charset val="129"/>
      <scheme val="minor"/>
    </font>
    <font>
      <b/>
      <sz val="11"/>
      <color theme="1"/>
      <name val="맑은 고딕"/>
      <family val="3"/>
      <charset val="129"/>
      <scheme val="minor"/>
    </font>
    <font>
      <b/>
      <sz val="10"/>
      <name val="새굴림"/>
      <family val="2"/>
      <charset val="129"/>
    </font>
    <font>
      <b/>
      <sz val="10"/>
      <name val="Arial"/>
      <family val="2"/>
      <charset val="129"/>
    </font>
    <font>
      <b/>
      <sz val="10"/>
      <color rgb="FF000000"/>
      <name val="나눔바른고딕"/>
      <family val="3"/>
      <charset val="129"/>
    </font>
    <font>
      <sz val="10"/>
      <color rgb="FFEA002C"/>
      <name val="Pretendard"/>
      <family val="2"/>
    </font>
    <font>
      <b/>
      <sz val="10"/>
      <color rgb="FF000000"/>
      <name val="Pretendard"/>
      <family val="2"/>
    </font>
    <font>
      <b/>
      <sz val="10"/>
      <color rgb="FF000000"/>
      <name val="Arial Unicode MS"/>
      <family val="3"/>
      <charset val="129"/>
    </font>
    <font>
      <sz val="10"/>
      <color rgb="FF000000"/>
      <name val="Pretendard"/>
    </font>
    <font>
      <sz val="10"/>
      <color theme="1"/>
      <name val="맑은 고딕"/>
      <family val="2"/>
      <charset val="129"/>
      <scheme val="minor"/>
    </font>
    <font>
      <b/>
      <sz val="12"/>
      <color rgb="FF000000"/>
      <name val="나눔바른고딕"/>
      <family val="3"/>
      <charset val="129"/>
    </font>
    <font>
      <b/>
      <sz val="11"/>
      <color rgb="FF000000"/>
      <name val="나눔바른고딕"/>
      <family val="3"/>
      <charset val="129"/>
    </font>
    <font>
      <b/>
      <sz val="11"/>
      <color rgb="FF000000"/>
      <name val="Pretendard SemiBold"/>
      <family val="2"/>
    </font>
    <font>
      <sz val="11"/>
      <color theme="1"/>
      <name val="Wingdings"/>
      <charset val="2"/>
    </font>
    <font>
      <b/>
      <sz val="11"/>
      <color rgb="FF002060"/>
      <name val="Pretendard ExtraBold"/>
      <family val="2"/>
    </font>
    <font>
      <b/>
      <sz val="10"/>
      <color rgb="FF000000"/>
      <name val="맑은 고딕"/>
      <family val="3"/>
      <charset val="129"/>
    </font>
    <font>
      <b/>
      <sz val="10"/>
      <color rgb="FF000000"/>
      <name val="Noto Sans CJK KR Light"/>
      <family val="2"/>
      <charset val="128"/>
    </font>
    <font>
      <sz val="8"/>
      <color rgb="FF000000"/>
      <name val="맑은 고딕"/>
      <family val="3"/>
      <charset val="129"/>
    </font>
    <font>
      <sz val="9"/>
      <color rgb="FF000000"/>
      <name val="맑은 고딕"/>
      <family val="3"/>
      <charset val="129"/>
    </font>
    <font>
      <b/>
      <sz val="17"/>
      <color rgb="FF000000"/>
      <name val="맑은 고딕"/>
      <family val="3"/>
      <charset val="129"/>
      <scheme val="minor"/>
    </font>
    <font>
      <b/>
      <sz val="12"/>
      <color rgb="FF000000"/>
      <name val="맑은 고딕"/>
      <family val="3"/>
      <charset val="129"/>
      <scheme val="minor"/>
    </font>
    <font>
      <sz val="11.5"/>
      <color theme="1"/>
      <name val="Wingdings"/>
      <charset val="2"/>
    </font>
    <font>
      <b/>
      <sz val="7"/>
      <color rgb="FF000000"/>
      <name val="Pretendard"/>
    </font>
    <font>
      <sz val="7"/>
      <color rgb="FF000000"/>
      <name val="Pretendard"/>
      <family val="2"/>
    </font>
    <font>
      <sz val="7"/>
      <color rgb="FFFFFFFF"/>
      <name val="Pretendard"/>
      <family val="2"/>
    </font>
    <font>
      <b/>
      <sz val="11"/>
      <color theme="5"/>
      <name val="맑은 고딕"/>
      <family val="3"/>
      <charset val="129"/>
      <scheme val="minor"/>
    </font>
    <font>
      <b/>
      <sz val="10"/>
      <color rgb="FF000000"/>
      <name val="Pretendard SemiBold"/>
      <family val="2"/>
    </font>
    <font>
      <b/>
      <sz val="8"/>
      <color rgb="FF000000"/>
      <name val="맑은 고딕"/>
      <family val="3"/>
      <charset val="129"/>
    </font>
    <font>
      <b/>
      <sz val="12"/>
      <color theme="0"/>
      <name val="맑은 고딕"/>
      <family val="3"/>
      <charset val="129"/>
    </font>
    <font>
      <sz val="12"/>
      <color theme="0"/>
      <name val="맑은 고딕"/>
      <family val="3"/>
      <charset val="129"/>
    </font>
  </fonts>
  <fills count="15">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rgb="FFF3F3F3"/>
        <bgColor indexed="64"/>
      </patternFill>
    </fill>
    <fill>
      <patternFill patternType="solid">
        <fgColor rgb="FFFF3300"/>
        <bgColor indexed="64"/>
      </patternFill>
    </fill>
    <fill>
      <patternFill patternType="solid">
        <fgColor rgb="FFFFFFFF"/>
        <bgColor indexed="64"/>
      </patternFill>
    </fill>
    <fill>
      <patternFill patternType="solid">
        <fgColor rgb="FFF2F2F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D9D9D9"/>
        <bgColor indexed="64"/>
      </patternFill>
    </fill>
  </fills>
  <borders count="88">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style="thin">
        <color indexed="64"/>
      </left>
      <right/>
      <top style="thin">
        <color indexed="64"/>
      </top>
      <bottom style="medium">
        <color indexed="64"/>
      </bottom>
      <diagonal/>
    </border>
    <border>
      <left style="medium">
        <color indexed="64"/>
      </left>
      <right style="medium">
        <color indexed="64"/>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medium">
        <color indexed="64"/>
      </right>
      <top style="medium">
        <color indexed="64"/>
      </top>
      <bottom/>
      <diagonal/>
    </border>
    <border>
      <left/>
      <right/>
      <top style="medium">
        <color indexed="64"/>
      </top>
      <bottom style="thin">
        <color indexed="64"/>
      </bottom>
      <diagonal/>
    </border>
    <border>
      <left/>
      <right/>
      <top style="thin">
        <color indexed="64"/>
      </top>
      <bottom style="medium">
        <color indexed="64"/>
      </bottom>
      <diagonal/>
    </border>
    <border>
      <left style="thin">
        <color rgb="FF7F7F7F"/>
      </left>
      <right style="thin">
        <color rgb="FF7F7F7F"/>
      </right>
      <top style="thin">
        <color rgb="FF7F7F7F"/>
      </top>
      <bottom/>
      <diagonal/>
    </border>
    <border>
      <left style="thin">
        <color indexed="64"/>
      </left>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dashed">
        <color rgb="FFBFBFBF"/>
      </right>
      <top style="medium">
        <color rgb="FF000000"/>
      </top>
      <bottom/>
      <diagonal/>
    </border>
    <border>
      <left style="dashed">
        <color rgb="FFBFBFBF"/>
      </left>
      <right style="dashed">
        <color rgb="FFBFBFBF"/>
      </right>
      <top style="medium">
        <color rgb="FF000000"/>
      </top>
      <bottom/>
      <diagonal/>
    </border>
    <border>
      <left style="dashed">
        <color rgb="FFBFBFBF"/>
      </left>
      <right style="dashed">
        <color rgb="FFBFBFBF"/>
      </right>
      <top style="medium">
        <color rgb="FF000000"/>
      </top>
      <bottom style="dashed">
        <color rgb="FFBFBFBF"/>
      </bottom>
      <diagonal/>
    </border>
    <border>
      <left style="dashed">
        <color rgb="FFBFBFBF"/>
      </left>
      <right/>
      <top style="medium">
        <color rgb="FF000000"/>
      </top>
      <bottom style="dashed">
        <color rgb="FFBFBFBF"/>
      </bottom>
      <diagonal/>
    </border>
    <border>
      <left/>
      <right style="dashed">
        <color rgb="FFBFBFBF"/>
      </right>
      <top style="medium">
        <color rgb="FF000000"/>
      </top>
      <bottom style="dashed">
        <color rgb="FFBFBFBF"/>
      </bottom>
      <diagonal/>
    </border>
    <border>
      <left style="dashed">
        <color rgb="FFBFBFBF"/>
      </left>
      <right/>
      <top style="medium">
        <color rgb="FF000000"/>
      </top>
      <bottom/>
      <diagonal/>
    </border>
    <border>
      <left/>
      <right style="dashed">
        <color rgb="FFBFBFBF"/>
      </right>
      <top/>
      <bottom style="dashed">
        <color rgb="FFBFBFBF"/>
      </bottom>
      <diagonal/>
    </border>
    <border>
      <left style="dashed">
        <color rgb="FFBFBFBF"/>
      </left>
      <right style="dashed">
        <color rgb="FFBFBFBF"/>
      </right>
      <top/>
      <bottom style="dashed">
        <color rgb="FFBFBFBF"/>
      </bottom>
      <diagonal/>
    </border>
    <border>
      <left style="dashed">
        <color rgb="FFBFBFBF"/>
      </left>
      <right style="dashed">
        <color rgb="FFBFBFBF"/>
      </right>
      <top style="dashed">
        <color rgb="FFBFBFBF"/>
      </top>
      <bottom style="dashed">
        <color rgb="FFBFBFBF"/>
      </bottom>
      <diagonal/>
    </border>
    <border>
      <left style="dashed">
        <color rgb="FFBFBFBF"/>
      </left>
      <right/>
      <top/>
      <bottom style="dashed">
        <color rgb="FFBFBFBF"/>
      </bottom>
      <diagonal/>
    </border>
    <border>
      <left/>
      <right style="dashed">
        <color rgb="FFBFBFBF"/>
      </right>
      <top style="dashed">
        <color rgb="FFBFBFBF"/>
      </top>
      <bottom style="dashed">
        <color rgb="FFBFBFBF"/>
      </bottom>
      <diagonal/>
    </border>
    <border>
      <left style="dashed">
        <color rgb="FFBFBFBF"/>
      </left>
      <right style="dashed">
        <color rgb="FFBFBFBF"/>
      </right>
      <top style="dashed">
        <color rgb="FFBFBFBF"/>
      </top>
      <bottom/>
      <diagonal/>
    </border>
    <border>
      <left/>
      <right style="dashed">
        <color rgb="FFBFBFBF"/>
      </right>
      <top style="dashed">
        <color rgb="FFBFBFBF"/>
      </top>
      <bottom/>
      <diagonal/>
    </border>
    <border>
      <left/>
      <right/>
      <top style="dashed">
        <color rgb="FFBFBFBF"/>
      </top>
      <bottom style="medium">
        <color rgb="FF000000"/>
      </bottom>
      <diagonal/>
    </border>
    <border>
      <left/>
      <right style="dashed">
        <color rgb="FFBFBFBF"/>
      </right>
      <top style="dashed">
        <color rgb="FFBFBFBF"/>
      </top>
      <bottom style="medium">
        <color rgb="FF000000"/>
      </bottom>
      <diagonal/>
    </border>
    <border>
      <left style="dashed">
        <color rgb="FFBFBFBF"/>
      </left>
      <right style="dashed">
        <color rgb="FFBFBFBF"/>
      </right>
      <top style="dashed">
        <color rgb="FFBFBFBF"/>
      </top>
      <bottom style="medium">
        <color rgb="FF000000"/>
      </bottom>
      <diagonal/>
    </border>
    <border>
      <left style="dashed">
        <color rgb="FFBFBFBF"/>
      </left>
      <right/>
      <top style="dashed">
        <color rgb="FFBFBFBF"/>
      </top>
      <bottom style="medium">
        <color rgb="FF000000"/>
      </bottom>
      <diagonal/>
    </border>
    <border>
      <left style="thin">
        <color rgb="FF7F7F7F"/>
      </left>
      <right style="thin">
        <color rgb="FF7F7F7F"/>
      </right>
      <top style="thin">
        <color rgb="FF7F7F7F"/>
      </top>
      <bottom style="medium">
        <color indexed="64"/>
      </bottom>
      <diagonal/>
    </border>
    <border>
      <left style="medium">
        <color indexed="64"/>
      </left>
      <right style="thin">
        <color rgb="FF7F7F7F"/>
      </right>
      <top style="medium">
        <color indexed="64"/>
      </top>
      <bottom style="thin">
        <color rgb="FF7F7F7F"/>
      </bottom>
      <diagonal/>
    </border>
    <border>
      <left style="thin">
        <color rgb="FF7F7F7F"/>
      </left>
      <right/>
      <top style="medium">
        <color indexed="64"/>
      </top>
      <bottom style="thin">
        <color rgb="FF7F7F7F"/>
      </bottom>
      <diagonal/>
    </border>
    <border>
      <left/>
      <right style="thin">
        <color rgb="FF7F7F7F"/>
      </right>
      <top style="medium">
        <color indexed="64"/>
      </top>
      <bottom style="thin">
        <color rgb="FF7F7F7F"/>
      </bottom>
      <diagonal/>
    </border>
    <border>
      <left style="thin">
        <color rgb="FF7F7F7F"/>
      </left>
      <right style="thin">
        <color rgb="FF7F7F7F"/>
      </right>
      <top style="medium">
        <color indexed="64"/>
      </top>
      <bottom style="thin">
        <color rgb="FF7F7F7F"/>
      </bottom>
      <diagonal/>
    </border>
    <border>
      <left style="thin">
        <color rgb="FF7F7F7F"/>
      </left>
      <right style="medium">
        <color indexed="64"/>
      </right>
      <top style="medium">
        <color indexed="64"/>
      </top>
      <bottom style="thin">
        <color rgb="FF7F7F7F"/>
      </bottom>
      <diagonal/>
    </border>
    <border>
      <left style="medium">
        <color indexed="64"/>
      </left>
      <right style="thin">
        <color rgb="FF7F7F7F"/>
      </right>
      <top style="thin">
        <color rgb="FF7F7F7F"/>
      </top>
      <bottom/>
      <diagonal/>
    </border>
    <border>
      <left style="thin">
        <color rgb="FF7F7F7F"/>
      </left>
      <right style="medium">
        <color indexed="64"/>
      </right>
      <top style="thin">
        <color rgb="FF7F7F7F"/>
      </top>
      <bottom/>
      <diagonal/>
    </border>
    <border>
      <left style="medium">
        <color indexed="64"/>
      </left>
      <right style="thin">
        <color rgb="FF7F7F7F"/>
      </right>
      <top style="thin">
        <color rgb="FF7F7F7F"/>
      </top>
      <bottom style="thin">
        <color rgb="FF7F7F7F"/>
      </bottom>
      <diagonal/>
    </border>
    <border>
      <left style="medium">
        <color indexed="64"/>
      </left>
      <right style="thin">
        <color rgb="FF7F7F7F"/>
      </right>
      <top style="thin">
        <color rgb="FF7F7F7F"/>
      </top>
      <bottom style="medium">
        <color indexed="64"/>
      </bottom>
      <diagonal/>
    </border>
    <border>
      <left style="thin">
        <color rgb="FF7F7F7F"/>
      </left>
      <right style="medium">
        <color indexed="64"/>
      </right>
      <top style="thin">
        <color rgb="FF7F7F7F"/>
      </top>
      <bottom style="medium">
        <color indexed="64"/>
      </bottom>
      <diagonal/>
    </border>
  </borders>
  <cellStyleXfs count="4">
    <xf numFmtId="0" fontId="0" fillId="0" borderId="0">
      <alignment vertical="center"/>
    </xf>
    <xf numFmtId="0" fontId="2" fillId="0" borderId="0"/>
    <xf numFmtId="0" fontId="12" fillId="0" borderId="0" applyNumberFormat="0" applyFill="0" applyBorder="0" applyAlignment="0" applyProtection="0">
      <alignment vertical="center"/>
    </xf>
    <xf numFmtId="9" fontId="2" fillId="0" borderId="0" applyFont="0" applyFill="0" applyBorder="0" applyAlignment="0" applyProtection="0"/>
  </cellStyleXfs>
  <cellXfs count="414">
    <xf numFmtId="0" fontId="0" fillId="0" borderId="0" xfId="0">
      <alignment vertical="center"/>
    </xf>
    <xf numFmtId="14" fontId="0" fillId="0" borderId="0" xfId="0" applyNumberFormat="1">
      <alignment vertical="center"/>
    </xf>
    <xf numFmtId="0" fontId="0" fillId="2" borderId="2" xfId="0" applyFill="1" applyBorder="1">
      <alignment vertical="center"/>
    </xf>
    <xf numFmtId="14" fontId="0" fillId="2" borderId="7" xfId="0" applyNumberFormat="1" applyFill="1" applyBorder="1">
      <alignment vertical="center"/>
    </xf>
    <xf numFmtId="0" fontId="0" fillId="2" borderId="8" xfId="0" applyFill="1" applyBorder="1">
      <alignment vertical="center"/>
    </xf>
    <xf numFmtId="0" fontId="0" fillId="2" borderId="7"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14" fontId="0" fillId="2" borderId="12" xfId="0" applyNumberFormat="1" applyFill="1" applyBorder="1">
      <alignment vertical="center"/>
    </xf>
    <xf numFmtId="0" fontId="0" fillId="2" borderId="13" xfId="0" applyFill="1" applyBorder="1">
      <alignment vertical="center"/>
    </xf>
    <xf numFmtId="0" fontId="0" fillId="2" borderId="14" xfId="0" applyFill="1" applyBorder="1">
      <alignment vertical="center"/>
    </xf>
    <xf numFmtId="0" fontId="0" fillId="2" borderId="15" xfId="0" applyFill="1" applyBorder="1" applyAlignment="1">
      <alignment horizontal="center" vertical="center"/>
    </xf>
    <xf numFmtId="0" fontId="0" fillId="2" borderId="16" xfId="0" applyFill="1" applyBorder="1" applyAlignment="1">
      <alignment horizontal="center" vertical="center"/>
    </xf>
    <xf numFmtId="0" fontId="0" fillId="2" borderId="17" xfId="0" applyFill="1" applyBorder="1" applyAlignment="1">
      <alignment horizontal="center" vertical="center"/>
    </xf>
    <xf numFmtId="177" fontId="0" fillId="3" borderId="12" xfId="0" applyNumberFormat="1" applyFill="1" applyBorder="1">
      <alignment vertical="center"/>
    </xf>
    <xf numFmtId="177" fontId="0" fillId="3" borderId="7" xfId="0" applyNumberFormat="1" applyFill="1" applyBorder="1">
      <alignment vertical="center"/>
    </xf>
    <xf numFmtId="0" fontId="0" fillId="3" borderId="2" xfId="0" applyFill="1" applyBorder="1">
      <alignment vertical="center"/>
    </xf>
    <xf numFmtId="177" fontId="0" fillId="3" borderId="9" xfId="0" applyNumberFormat="1"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2" xfId="0" applyFill="1" applyBorder="1" applyAlignment="1">
      <alignment horizontal="center" vertical="center"/>
    </xf>
    <xf numFmtId="178" fontId="0" fillId="3" borderId="2" xfId="0" applyNumberFormat="1" applyFill="1" applyBorder="1">
      <alignment vertical="center"/>
    </xf>
    <xf numFmtId="0" fontId="0" fillId="3" borderId="6" xfId="0" applyFill="1" applyBorder="1" applyAlignment="1">
      <alignment horizontal="center" vertical="center"/>
    </xf>
    <xf numFmtId="178" fontId="0" fillId="3" borderId="8" xfId="0" applyNumberFormat="1" applyFill="1" applyBorder="1">
      <alignment vertical="center"/>
    </xf>
    <xf numFmtId="178" fontId="0" fillId="3" borderId="10" xfId="0" applyNumberFormat="1" applyFill="1" applyBorder="1">
      <alignment vertical="center"/>
    </xf>
    <xf numFmtId="178" fontId="0" fillId="3" borderId="11" xfId="0" applyNumberFormat="1" applyFill="1" applyBorder="1">
      <alignment vertical="center"/>
    </xf>
    <xf numFmtId="178" fontId="0" fillId="3" borderId="13" xfId="0" applyNumberFormat="1" applyFill="1" applyBorder="1">
      <alignment vertical="center"/>
    </xf>
    <xf numFmtId="178" fontId="0" fillId="3" borderId="14" xfId="0" applyNumberFormat="1" applyFill="1" applyBorder="1">
      <alignment vertical="center"/>
    </xf>
    <xf numFmtId="0" fontId="0" fillId="4" borderId="15"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14" fontId="0" fillId="3" borderId="12" xfId="0" applyNumberFormat="1" applyFill="1" applyBorder="1">
      <alignment vertical="center"/>
    </xf>
    <xf numFmtId="0" fontId="0" fillId="2" borderId="6" xfId="0" applyFill="1" applyBorder="1" applyAlignment="1">
      <alignment horizontal="center" vertical="center"/>
    </xf>
    <xf numFmtId="14" fontId="0" fillId="3" borderId="7" xfId="0" applyNumberFormat="1" applyFill="1" applyBorder="1">
      <alignment vertical="center"/>
    </xf>
    <xf numFmtId="0" fontId="0" fillId="6" borderId="15" xfId="0" applyFill="1" applyBorder="1" applyAlignment="1">
      <alignment horizontal="center" vertical="center"/>
    </xf>
    <xf numFmtId="0" fontId="0" fillId="6" borderId="17" xfId="0" applyFill="1" applyBorder="1" applyAlignment="1">
      <alignment horizontal="center" vertical="center"/>
    </xf>
    <xf numFmtId="0" fontId="0" fillId="7" borderId="0" xfId="0" applyFill="1">
      <alignment vertical="center"/>
    </xf>
    <xf numFmtId="0" fontId="0" fillId="7" borderId="0" xfId="0" applyFill="1" applyAlignment="1"/>
    <xf numFmtId="0" fontId="5" fillId="3" borderId="4" xfId="1" applyFont="1" applyFill="1" applyBorder="1" applyAlignment="1">
      <alignment horizontal="center"/>
    </xf>
    <xf numFmtId="0" fontId="5" fillId="3" borderId="5" xfId="1" applyFont="1" applyFill="1" applyBorder="1" applyAlignment="1">
      <alignment horizontal="center"/>
    </xf>
    <xf numFmtId="0" fontId="5" fillId="3" borderId="6" xfId="1" applyFont="1" applyFill="1" applyBorder="1" applyAlignment="1">
      <alignment horizontal="center"/>
    </xf>
    <xf numFmtId="0" fontId="0" fillId="3" borderId="8"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7" fillId="0" borderId="0" xfId="0" applyFont="1">
      <alignment vertical="center"/>
    </xf>
    <xf numFmtId="0" fontId="0" fillId="0" borderId="4" xfId="0" applyBorder="1">
      <alignment vertical="center"/>
    </xf>
    <xf numFmtId="0" fontId="0" fillId="0" borderId="9" xfId="0" applyBorder="1">
      <alignment vertical="center"/>
    </xf>
    <xf numFmtId="0" fontId="9" fillId="0" borderId="0" xfId="0" applyFont="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9" fillId="6" borderId="17" xfId="0" applyFont="1" applyFill="1" applyBorder="1" applyAlignment="1">
      <alignment horizontal="center" vertical="center"/>
    </xf>
    <xf numFmtId="180" fontId="10" fillId="3" borderId="12" xfId="1" applyNumberFormat="1" applyFont="1" applyFill="1" applyBorder="1" applyAlignment="1">
      <alignment horizontal="center"/>
    </xf>
    <xf numFmtId="180" fontId="10" fillId="3" borderId="7" xfId="1" applyNumberFormat="1" applyFont="1" applyFill="1" applyBorder="1" applyAlignment="1">
      <alignment horizontal="center"/>
    </xf>
    <xf numFmtId="180" fontId="10" fillId="3" borderId="9" xfId="1" applyNumberFormat="1" applyFont="1" applyFill="1" applyBorder="1" applyAlignment="1">
      <alignment horizontal="center"/>
    </xf>
    <xf numFmtId="180" fontId="10" fillId="2" borderId="7" xfId="1" applyNumberFormat="1" applyFont="1" applyFill="1" applyBorder="1" applyAlignment="1">
      <alignment horizontal="center"/>
    </xf>
    <xf numFmtId="0" fontId="10" fillId="2" borderId="2" xfId="1" applyFont="1" applyFill="1" applyBorder="1" applyAlignment="1">
      <alignment horizontal="center"/>
    </xf>
    <xf numFmtId="3" fontId="8" fillId="2" borderId="2" xfId="0" applyNumberFormat="1" applyFont="1" applyFill="1" applyBorder="1" applyAlignment="1">
      <alignment horizontal="center" vertical="center" wrapText="1" readingOrder="1"/>
    </xf>
    <xf numFmtId="3" fontId="10" fillId="2" borderId="2" xfId="1" applyNumberFormat="1" applyFont="1" applyFill="1" applyBorder="1" applyAlignment="1">
      <alignment horizontal="center"/>
    </xf>
    <xf numFmtId="3" fontId="10" fillId="2" borderId="8" xfId="1" applyNumberFormat="1" applyFont="1" applyFill="1" applyBorder="1" applyAlignment="1">
      <alignment horizontal="center"/>
    </xf>
    <xf numFmtId="3" fontId="10" fillId="0" borderId="0" xfId="1" applyNumberFormat="1" applyFont="1" applyAlignment="1">
      <alignment horizontal="center"/>
    </xf>
    <xf numFmtId="181" fontId="10" fillId="3" borderId="2" xfId="1" applyNumberFormat="1" applyFont="1" applyFill="1" applyBorder="1" applyAlignment="1">
      <alignment horizontal="center"/>
    </xf>
    <xf numFmtId="181" fontId="10" fillId="3" borderId="8" xfId="1" applyNumberFormat="1" applyFont="1" applyFill="1" applyBorder="1" applyAlignment="1">
      <alignment horizontal="center"/>
    </xf>
    <xf numFmtId="181" fontId="10" fillId="3" borderId="10" xfId="1" applyNumberFormat="1" applyFont="1" applyFill="1" applyBorder="1" applyAlignment="1">
      <alignment horizontal="center"/>
    </xf>
    <xf numFmtId="181" fontId="10" fillId="3" borderId="11" xfId="1" applyNumberFormat="1" applyFont="1" applyFill="1" applyBorder="1" applyAlignment="1">
      <alignment horizontal="center"/>
    </xf>
    <xf numFmtId="181" fontId="10" fillId="3" borderId="13" xfId="1" applyNumberFormat="1" applyFont="1" applyFill="1" applyBorder="1" applyAlignment="1">
      <alignment horizontal="center"/>
    </xf>
    <xf numFmtId="181" fontId="10" fillId="3" borderId="14" xfId="1" applyNumberFormat="1" applyFont="1" applyFill="1" applyBorder="1" applyAlignment="1">
      <alignment horizontal="center"/>
    </xf>
    <xf numFmtId="180" fontId="10" fillId="2" borderId="12" xfId="1" applyNumberFormat="1" applyFont="1" applyFill="1" applyBorder="1" applyAlignment="1">
      <alignment horizontal="center"/>
    </xf>
    <xf numFmtId="0" fontId="10" fillId="2" borderId="13" xfId="1" applyFont="1" applyFill="1" applyBorder="1" applyAlignment="1">
      <alignment horizontal="center"/>
    </xf>
    <xf numFmtId="3" fontId="8" fillId="2" borderId="13" xfId="0" applyNumberFormat="1" applyFont="1" applyFill="1" applyBorder="1" applyAlignment="1">
      <alignment horizontal="center" vertical="center" wrapText="1" readingOrder="1"/>
    </xf>
    <xf numFmtId="3" fontId="10" fillId="2" borderId="13" xfId="1" applyNumberFormat="1" applyFont="1" applyFill="1" applyBorder="1" applyAlignment="1">
      <alignment horizontal="center"/>
    </xf>
    <xf numFmtId="3" fontId="10" fillId="2" borderId="14" xfId="1" applyNumberFormat="1" applyFont="1" applyFill="1" applyBorder="1" applyAlignment="1">
      <alignment horizontal="center"/>
    </xf>
    <xf numFmtId="0" fontId="9" fillId="2" borderId="15" xfId="0" applyFont="1" applyFill="1" applyBorder="1" applyAlignment="1">
      <alignment horizontal="center" vertical="center"/>
    </xf>
    <xf numFmtId="0" fontId="9" fillId="2" borderId="16" xfId="0" applyFont="1" applyFill="1" applyBorder="1" applyAlignment="1">
      <alignment horizontal="center" vertical="center"/>
    </xf>
    <xf numFmtId="0" fontId="9" fillId="2" borderId="17"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center" vertical="center"/>
    </xf>
    <xf numFmtId="0" fontId="0" fillId="0" borderId="3"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2" borderId="9" xfId="0" applyFill="1" applyBorder="1" applyAlignment="1">
      <alignment horizontal="center" vertical="center"/>
    </xf>
    <xf numFmtId="0" fontId="0" fillId="2" borderId="10" xfId="0" applyFill="1" applyBorder="1" applyAlignment="1">
      <alignment horizontal="center" vertical="center"/>
    </xf>
    <xf numFmtId="0" fontId="0" fillId="2" borderId="25" xfId="0" applyFill="1" applyBorder="1" applyAlignment="1">
      <alignment horizontal="center" vertical="center"/>
    </xf>
    <xf numFmtId="0" fontId="0" fillId="2" borderId="11" xfId="0" applyFill="1" applyBorder="1" applyAlignment="1">
      <alignment horizontal="center" vertical="center"/>
    </xf>
    <xf numFmtId="0" fontId="0" fillId="3" borderId="9" xfId="0" applyFill="1" applyBorder="1" applyAlignment="1">
      <alignment horizontal="center" vertical="center"/>
    </xf>
    <xf numFmtId="0" fontId="0" fillId="0" borderId="27" xfId="0" applyBorder="1" applyAlignment="1">
      <alignment horizontal="center" vertical="center"/>
    </xf>
    <xf numFmtId="182" fontId="0" fillId="2" borderId="13" xfId="0" applyNumberFormat="1" applyFill="1" applyBorder="1" applyAlignment="1">
      <alignment horizontal="center" vertical="center"/>
    </xf>
    <xf numFmtId="0" fontId="0" fillId="2" borderId="14" xfId="0" applyFill="1"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14" fontId="0" fillId="2" borderId="30" xfId="0" applyNumberFormat="1" applyFill="1" applyBorder="1">
      <alignment vertical="center"/>
    </xf>
    <xf numFmtId="182" fontId="0" fillId="2" borderId="31" xfId="0" applyNumberFormat="1" applyFill="1" applyBorder="1" applyAlignment="1">
      <alignment horizontal="center" vertical="center"/>
    </xf>
    <xf numFmtId="0" fontId="0" fillId="2" borderId="32" xfId="0" applyFill="1" applyBorder="1" applyAlignment="1">
      <alignment horizontal="center" vertical="center"/>
    </xf>
    <xf numFmtId="0" fontId="0" fillId="0" borderId="34" xfId="0" applyBorder="1" applyAlignment="1">
      <alignment horizontal="center" vertical="center"/>
    </xf>
    <xf numFmtId="14" fontId="0" fillId="2" borderId="4" xfId="0" applyNumberFormat="1" applyFill="1" applyBorder="1">
      <alignment vertical="center"/>
    </xf>
    <xf numFmtId="182" fontId="0" fillId="2" borderId="5" xfId="0" applyNumberFormat="1" applyFill="1" applyBorder="1" applyAlignment="1">
      <alignment horizontal="center" vertical="center"/>
    </xf>
    <xf numFmtId="14" fontId="0" fillId="3" borderId="4" xfId="0" applyNumberFormat="1" applyFill="1" applyBorder="1">
      <alignment vertical="center"/>
    </xf>
    <xf numFmtId="182" fontId="0" fillId="2" borderId="2" xfId="0" applyNumberFormat="1" applyFill="1" applyBorder="1" applyAlignment="1">
      <alignment horizontal="center" vertical="center"/>
    </xf>
    <xf numFmtId="0" fontId="0" fillId="2" borderId="8" xfId="0" applyFill="1" applyBorder="1" applyAlignment="1">
      <alignment horizontal="center" vertical="center"/>
    </xf>
    <xf numFmtId="182" fontId="0" fillId="0" borderId="0" xfId="0" applyNumberFormat="1" applyAlignment="1">
      <alignment horizontal="center" vertical="center"/>
    </xf>
    <xf numFmtId="182" fontId="0" fillId="0" borderId="0" xfId="0" applyNumberFormat="1">
      <alignment vertical="center"/>
    </xf>
    <xf numFmtId="0" fontId="0" fillId="0" borderId="35" xfId="0" applyBorder="1" applyAlignment="1">
      <alignment horizontal="center" vertical="center"/>
    </xf>
    <xf numFmtId="14" fontId="0" fillId="2" borderId="9" xfId="0" applyNumberFormat="1" applyFill="1" applyBorder="1">
      <alignment vertical="center"/>
    </xf>
    <xf numFmtId="182" fontId="0" fillId="2" borderId="10" xfId="0" applyNumberFormat="1" applyFill="1" applyBorder="1" applyAlignment="1">
      <alignment horizontal="center" vertical="center"/>
    </xf>
    <xf numFmtId="14" fontId="0" fillId="3" borderId="9" xfId="0" applyNumberFormat="1" applyFill="1" applyBorder="1">
      <alignment vertical="center"/>
    </xf>
    <xf numFmtId="0" fontId="11" fillId="7" borderId="0" xfId="0" applyFont="1" applyFill="1" applyAlignment="1">
      <alignment horizontal="center"/>
    </xf>
    <xf numFmtId="0" fontId="5" fillId="7" borderId="0" xfId="0" applyFont="1" applyFill="1" applyAlignment="1">
      <alignment horizontal="center"/>
    </xf>
    <xf numFmtId="0" fontId="0" fillId="3" borderId="0" xfId="0" applyFill="1">
      <alignment vertical="center"/>
    </xf>
    <xf numFmtId="14" fontId="0" fillId="3" borderId="0" xfId="0" applyNumberFormat="1" applyFill="1">
      <alignment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10" fontId="5" fillId="7" borderId="0" xfId="0" applyNumberFormat="1" applyFont="1" applyFill="1" applyAlignment="1">
      <alignment horizontal="center"/>
    </xf>
    <xf numFmtId="10" fontId="0" fillId="7" borderId="0" xfId="0" applyNumberFormat="1" applyFill="1" applyAlignment="1"/>
    <xf numFmtId="0" fontId="12" fillId="7" borderId="0" xfId="2" applyFill="1" applyAlignment="1"/>
    <xf numFmtId="0" fontId="0" fillId="0" borderId="22" xfId="0" applyBorder="1" applyAlignment="1">
      <alignment horizontal="center" vertical="center"/>
    </xf>
    <xf numFmtId="0" fontId="0" fillId="2" borderId="37" xfId="0" applyFill="1" applyBorder="1">
      <alignment vertical="center"/>
    </xf>
    <xf numFmtId="0" fontId="0" fillId="2" borderId="25" xfId="0" applyFill="1" applyBorder="1">
      <alignment vertical="center"/>
    </xf>
    <xf numFmtId="0" fontId="14" fillId="0" borderId="11" xfId="0" applyFont="1" applyBorder="1" applyAlignment="1">
      <alignment horizontal="center" vertical="center"/>
    </xf>
    <xf numFmtId="0" fontId="0" fillId="3" borderId="4" xfId="0" applyFill="1" applyBorder="1" applyAlignment="1">
      <alignment horizontal="center" vertical="center"/>
    </xf>
    <xf numFmtId="0" fontId="2" fillId="3" borderId="2" xfId="1" applyFill="1" applyBorder="1"/>
    <xf numFmtId="0" fontId="0" fillId="3" borderId="8" xfId="0" applyFill="1" applyBorder="1">
      <alignment vertical="center"/>
    </xf>
    <xf numFmtId="0" fontId="2" fillId="3" borderId="10" xfId="1" applyFill="1" applyBorder="1"/>
    <xf numFmtId="179" fontId="2" fillId="3" borderId="7" xfId="1" applyNumberFormat="1" applyFill="1" applyBorder="1"/>
    <xf numFmtId="0" fontId="16" fillId="3" borderId="5" xfId="1" applyFont="1" applyFill="1" applyBorder="1" applyAlignment="1">
      <alignment horizontal="center"/>
    </xf>
    <xf numFmtId="0" fontId="14" fillId="7" borderId="0" xfId="0" applyFont="1" applyFill="1" applyAlignment="1">
      <alignment horizontal="center" vertical="center"/>
    </xf>
    <xf numFmtId="0" fontId="14" fillId="0" borderId="0" xfId="0" applyFont="1" applyAlignment="1">
      <alignment horizontal="center" vertical="center"/>
    </xf>
    <xf numFmtId="0" fontId="0" fillId="0" borderId="40" xfId="0" applyBorder="1" applyAlignment="1">
      <alignment horizontal="center" vertical="center"/>
    </xf>
    <xf numFmtId="0" fontId="0" fillId="0" borderId="2" xfId="0" applyBorder="1" applyAlignment="1">
      <alignment horizontal="center" vertical="center"/>
    </xf>
    <xf numFmtId="0" fontId="0" fillId="7" borderId="0" xfId="0" applyFill="1" applyAlignment="1">
      <alignment horizontal="center" vertical="center"/>
    </xf>
    <xf numFmtId="0" fontId="0" fillId="0" borderId="41" xfId="0" applyBorder="1">
      <alignment vertical="center"/>
    </xf>
    <xf numFmtId="0" fontId="17" fillId="11" borderId="4" xfId="0" applyFont="1" applyFill="1" applyBorder="1" applyAlignment="1">
      <alignment horizontal="center" vertical="center" wrapText="1" readingOrder="1"/>
    </xf>
    <xf numFmtId="0" fontId="17" fillId="11" borderId="5" xfId="0" applyFont="1" applyFill="1" applyBorder="1" applyAlignment="1">
      <alignment horizontal="center" vertical="center" wrapText="1" readingOrder="1"/>
    </xf>
    <xf numFmtId="183" fontId="17" fillId="3" borderId="6" xfId="0" applyNumberFormat="1" applyFont="1" applyFill="1" applyBorder="1" applyAlignment="1">
      <alignment horizontal="center" vertical="center" wrapText="1" readingOrder="1"/>
    </xf>
    <xf numFmtId="0" fontId="6" fillId="0" borderId="7" xfId="0" applyFont="1" applyBorder="1" applyAlignment="1">
      <alignment horizontal="center" vertical="center" wrapText="1" readingOrder="1"/>
    </xf>
    <xf numFmtId="0" fontId="6" fillId="3" borderId="2" xfId="0" applyFont="1" applyFill="1" applyBorder="1" applyAlignment="1">
      <alignment horizontal="center" vertical="center" wrapText="1" readingOrder="1"/>
    </xf>
    <xf numFmtId="3" fontId="18" fillId="3" borderId="8" xfId="0" applyNumberFormat="1" applyFont="1" applyFill="1" applyBorder="1" applyAlignment="1">
      <alignment horizontal="center" vertical="center" wrapText="1" readingOrder="1"/>
    </xf>
    <xf numFmtId="0" fontId="6" fillId="10" borderId="7" xfId="0" applyFont="1" applyFill="1" applyBorder="1" applyAlignment="1">
      <alignment horizontal="center" vertical="center" wrapText="1" readingOrder="1"/>
    </xf>
    <xf numFmtId="0" fontId="6" fillId="3" borderId="11" xfId="0" applyFont="1" applyFill="1" applyBorder="1" applyAlignment="1">
      <alignment horizontal="center" vertical="center" wrapText="1" readingOrder="1"/>
    </xf>
    <xf numFmtId="0" fontId="20" fillId="11" borderId="5" xfId="0" applyFont="1" applyFill="1" applyBorder="1" applyAlignment="1">
      <alignment horizontal="center" vertical="center" wrapText="1" readingOrder="1"/>
    </xf>
    <xf numFmtId="0" fontId="21" fillId="0" borderId="7" xfId="0" applyFont="1" applyBorder="1" applyAlignment="1">
      <alignment horizontal="center" vertical="center" wrapText="1" readingOrder="1"/>
    </xf>
    <xf numFmtId="0" fontId="21" fillId="3" borderId="2" xfId="0" applyFont="1" applyFill="1" applyBorder="1" applyAlignment="1">
      <alignment horizontal="center" vertical="center" wrapText="1" readingOrder="1"/>
    </xf>
    <xf numFmtId="181" fontId="22" fillId="3" borderId="8" xfId="0" applyNumberFormat="1" applyFont="1" applyFill="1" applyBorder="1" applyAlignment="1">
      <alignment horizontal="center" vertical="center"/>
    </xf>
    <xf numFmtId="0" fontId="0" fillId="0" borderId="44" xfId="0" applyBorder="1">
      <alignment vertical="center"/>
    </xf>
    <xf numFmtId="0" fontId="14" fillId="0" borderId="0" xfId="0" applyFont="1">
      <alignment vertical="center"/>
    </xf>
    <xf numFmtId="0" fontId="5" fillId="7" borderId="4" xfId="0" applyFont="1" applyFill="1" applyBorder="1" applyAlignment="1">
      <alignment horizontal="center"/>
    </xf>
    <xf numFmtId="0" fontId="5" fillId="7" borderId="6" xfId="0" applyFont="1" applyFill="1" applyBorder="1" applyAlignment="1">
      <alignment horizontal="center"/>
    </xf>
    <xf numFmtId="0" fontId="14" fillId="6" borderId="4" xfId="0" applyFont="1" applyFill="1" applyBorder="1" applyAlignment="1">
      <alignment horizontal="center" vertical="center"/>
    </xf>
    <xf numFmtId="0" fontId="14" fillId="6" borderId="5" xfId="0" applyFont="1" applyFill="1" applyBorder="1" applyAlignment="1">
      <alignment horizontal="center" vertical="center"/>
    </xf>
    <xf numFmtId="0" fontId="14" fillId="6" borderId="6" xfId="0" applyFont="1" applyFill="1" applyBorder="1" applyAlignment="1">
      <alignment horizontal="center" vertical="center"/>
    </xf>
    <xf numFmtId="0" fontId="0" fillId="7" borderId="7" xfId="0" applyFill="1" applyBorder="1" applyAlignment="1">
      <alignment horizontal="center"/>
    </xf>
    <xf numFmtId="0" fontId="0" fillId="7" borderId="8" xfId="0" applyFill="1" applyBorder="1" applyAlignment="1">
      <alignment horizontal="center"/>
    </xf>
    <xf numFmtId="0" fontId="0" fillId="3" borderId="7" xfId="0" applyFill="1" applyBorder="1" applyAlignment="1">
      <alignment horizontal="center" vertical="center"/>
    </xf>
    <xf numFmtId="184" fontId="0" fillId="3" borderId="8" xfId="0" applyNumberFormat="1" applyFill="1" applyBorder="1" applyAlignment="1">
      <alignment horizontal="center" vertical="center"/>
    </xf>
    <xf numFmtId="184" fontId="0" fillId="3" borderId="11" xfId="0" applyNumberFormat="1"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11" xfId="0" applyFill="1" applyBorder="1" applyAlignment="1">
      <alignment horizontal="center" vertical="center"/>
    </xf>
    <xf numFmtId="0" fontId="0" fillId="7" borderId="7" xfId="0" applyFill="1" applyBorder="1">
      <alignment vertical="center"/>
    </xf>
    <xf numFmtId="0" fontId="0" fillId="7" borderId="8" xfId="0" applyFill="1" applyBorder="1">
      <alignment vertical="center"/>
    </xf>
    <xf numFmtId="0" fontId="0" fillId="7" borderId="9" xfId="0" applyFill="1" applyBorder="1">
      <alignment vertical="center"/>
    </xf>
    <xf numFmtId="0" fontId="0" fillId="7" borderId="11" xfId="0" applyFill="1" applyBorder="1">
      <alignment vertical="center"/>
    </xf>
    <xf numFmtId="0" fontId="6" fillId="0" borderId="0" xfId="0" applyFont="1" applyAlignment="1">
      <alignment horizontal="center" vertical="center" wrapText="1" readingOrder="1"/>
    </xf>
    <xf numFmtId="3" fontId="6" fillId="0" borderId="0" xfId="0" applyNumberFormat="1" applyFont="1" applyAlignment="1">
      <alignment horizontal="center" vertical="center" wrapText="1" readingOrder="1"/>
    </xf>
    <xf numFmtId="0" fontId="24" fillId="11" borderId="2" xfId="0" applyFont="1" applyFill="1" applyBorder="1" applyAlignment="1">
      <alignment horizontal="center" vertical="center" wrapText="1" readingOrder="1"/>
    </xf>
    <xf numFmtId="0" fontId="24" fillId="11" borderId="7" xfId="0" applyFont="1" applyFill="1" applyBorder="1" applyAlignment="1">
      <alignment horizontal="center" vertical="center" wrapText="1" readingOrder="1"/>
    </xf>
    <xf numFmtId="3" fontId="6" fillId="3" borderId="8" xfId="0" applyNumberFormat="1" applyFont="1" applyFill="1" applyBorder="1" applyAlignment="1">
      <alignment horizontal="center" vertical="center" wrapText="1" readingOrder="1"/>
    </xf>
    <xf numFmtId="0" fontId="6" fillId="0" borderId="9" xfId="0" applyFont="1" applyBorder="1" applyAlignment="1">
      <alignment horizontal="center" vertical="center" wrapText="1" readingOrder="1"/>
    </xf>
    <xf numFmtId="0" fontId="6" fillId="3" borderId="10" xfId="0" applyFont="1" applyFill="1" applyBorder="1" applyAlignment="1">
      <alignment horizontal="center" vertical="center" wrapText="1" readingOrder="1"/>
    </xf>
    <xf numFmtId="3" fontId="6" fillId="3" borderId="11" xfId="0" applyNumberFormat="1" applyFont="1" applyFill="1" applyBorder="1" applyAlignment="1">
      <alignment horizontal="center" vertical="center" wrapText="1" readingOrder="1"/>
    </xf>
    <xf numFmtId="0" fontId="0" fillId="4" borderId="7" xfId="0" applyFill="1" applyBorder="1">
      <alignment vertical="center"/>
    </xf>
    <xf numFmtId="0" fontId="0" fillId="4" borderId="9" xfId="0" applyFill="1" applyBorder="1">
      <alignment vertical="center"/>
    </xf>
    <xf numFmtId="181" fontId="0" fillId="3" borderId="2" xfId="0" applyNumberFormat="1" applyFill="1" applyBorder="1" applyAlignment="1">
      <alignment horizontal="center" vertical="center"/>
    </xf>
    <xf numFmtId="181" fontId="0" fillId="3" borderId="8" xfId="0" applyNumberFormat="1" applyFill="1" applyBorder="1" applyAlignment="1">
      <alignment horizontal="center" vertical="center"/>
    </xf>
    <xf numFmtId="181" fontId="0" fillId="3" borderId="10" xfId="0" applyNumberFormat="1" applyFill="1" applyBorder="1" applyAlignment="1">
      <alignment horizontal="center" vertical="center"/>
    </xf>
    <xf numFmtId="181" fontId="0" fillId="3" borderId="11" xfId="0" applyNumberFormat="1" applyFill="1" applyBorder="1" applyAlignment="1">
      <alignment horizontal="center" vertical="center"/>
    </xf>
    <xf numFmtId="0" fontId="6" fillId="0" borderId="12" xfId="0" applyFont="1" applyBorder="1" applyAlignment="1">
      <alignment horizontal="center" vertical="center" wrapText="1" readingOrder="1"/>
    </xf>
    <xf numFmtId="0" fontId="0" fillId="3" borderId="13" xfId="0" applyFill="1" applyBorder="1" applyAlignment="1">
      <alignment horizontal="center" vertical="center"/>
    </xf>
    <xf numFmtId="181" fontId="0" fillId="3" borderId="13" xfId="0" applyNumberFormat="1" applyFill="1" applyBorder="1" applyAlignment="1">
      <alignment horizontal="center" vertical="center"/>
    </xf>
    <xf numFmtId="181" fontId="0" fillId="3" borderId="14" xfId="0" applyNumberFormat="1" applyFill="1" applyBorder="1" applyAlignment="1">
      <alignment horizontal="center" vertical="center"/>
    </xf>
    <xf numFmtId="0" fontId="24" fillId="11" borderId="9" xfId="0" applyFont="1" applyFill="1" applyBorder="1" applyAlignment="1">
      <alignment horizontal="center" vertical="center" wrapText="1" readingOrder="1"/>
    </xf>
    <xf numFmtId="0" fontId="25" fillId="11" borderId="10" xfId="0" applyFont="1" applyFill="1" applyBorder="1" applyAlignment="1">
      <alignment horizontal="center" vertical="center" wrapText="1" readingOrder="1"/>
    </xf>
    <xf numFmtId="183" fontId="25" fillId="11" borderId="10" xfId="0" applyNumberFormat="1" applyFont="1" applyFill="1" applyBorder="1" applyAlignment="1">
      <alignment horizontal="center" vertical="center" wrapText="1" readingOrder="1"/>
    </xf>
    <xf numFmtId="183" fontId="25" fillId="11" borderId="11" xfId="0" applyNumberFormat="1" applyFont="1" applyFill="1" applyBorder="1" applyAlignment="1">
      <alignment horizontal="center" vertical="center" wrapText="1" readingOrder="1"/>
    </xf>
    <xf numFmtId="0" fontId="0" fillId="4" borderId="12" xfId="0" applyFill="1" applyBorder="1">
      <alignment vertical="center"/>
    </xf>
    <xf numFmtId="0" fontId="0" fillId="3" borderId="14" xfId="0" applyFill="1" applyBorder="1">
      <alignment vertical="center"/>
    </xf>
    <xf numFmtId="0" fontId="0" fillId="4" borderId="15" xfId="0" applyFill="1" applyBorder="1">
      <alignment vertical="center"/>
    </xf>
    <xf numFmtId="183" fontId="0" fillId="2" borderId="16" xfId="0" applyNumberFormat="1" applyFill="1" applyBorder="1">
      <alignment vertical="center"/>
    </xf>
    <xf numFmtId="183" fontId="0" fillId="3" borderId="17" xfId="0" applyNumberFormat="1" applyFill="1" applyBorder="1">
      <alignment vertical="center"/>
    </xf>
    <xf numFmtId="183" fontId="24" fillId="3" borderId="8" xfId="0" applyNumberFormat="1" applyFont="1" applyFill="1" applyBorder="1" applyAlignment="1">
      <alignment horizontal="center" vertical="center" wrapText="1" readingOrder="1"/>
    </xf>
    <xf numFmtId="9" fontId="0" fillId="0" borderId="0" xfId="0" applyNumberFormat="1">
      <alignment vertical="center"/>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3" borderId="15" xfId="0" applyFill="1" applyBorder="1" applyAlignment="1">
      <alignment horizontal="center" vertical="center"/>
    </xf>
    <xf numFmtId="0" fontId="0" fillId="3" borderId="16" xfId="0" applyFill="1" applyBorder="1" applyAlignment="1">
      <alignment horizontal="center" vertical="center"/>
    </xf>
    <xf numFmtId="0" fontId="0" fillId="3" borderId="17" xfId="0" applyFill="1" applyBorder="1" applyAlignment="1">
      <alignment horizontal="center" vertical="center"/>
    </xf>
    <xf numFmtId="0" fontId="0" fillId="3" borderId="12" xfId="0" applyFill="1" applyBorder="1" applyAlignment="1">
      <alignment horizontal="center" vertical="center"/>
    </xf>
    <xf numFmtId="0" fontId="26" fillId="5" borderId="0" xfId="0" applyFont="1" applyFill="1" applyAlignment="1">
      <alignment horizontal="left" vertical="center" indent="1" readingOrder="1"/>
    </xf>
    <xf numFmtId="181" fontId="0" fillId="2" borderId="13" xfId="0" applyNumberFormat="1" applyFill="1" applyBorder="1" applyAlignment="1">
      <alignment horizontal="center" vertical="center"/>
    </xf>
    <xf numFmtId="181" fontId="0" fillId="2" borderId="14" xfId="0" applyNumberFormat="1" applyFill="1" applyBorder="1" applyAlignment="1">
      <alignment horizontal="center" vertical="center"/>
    </xf>
    <xf numFmtId="181" fontId="0" fillId="2" borderId="2" xfId="0" applyNumberFormat="1" applyFill="1" applyBorder="1" applyAlignment="1">
      <alignment horizontal="center" vertical="center"/>
    </xf>
    <xf numFmtId="181" fontId="0" fillId="2" borderId="8" xfId="0" applyNumberFormat="1" applyFill="1" applyBorder="1" applyAlignment="1">
      <alignment horizontal="center" vertical="center"/>
    </xf>
    <xf numFmtId="181" fontId="0" fillId="2" borderId="10" xfId="0" applyNumberFormat="1" applyFill="1" applyBorder="1" applyAlignment="1">
      <alignment horizontal="center" vertical="center"/>
    </xf>
    <xf numFmtId="181" fontId="0" fillId="2" borderId="11" xfId="0" applyNumberFormat="1" applyFill="1" applyBorder="1" applyAlignment="1">
      <alignment horizontal="center" vertical="center"/>
    </xf>
    <xf numFmtId="0" fontId="0" fillId="2" borderId="45" xfId="0" applyFill="1" applyBorder="1" applyAlignment="1">
      <alignment horizontal="center" vertical="center"/>
    </xf>
    <xf numFmtId="0" fontId="0" fillId="2" borderId="46" xfId="0" applyFill="1" applyBorder="1" applyAlignment="1">
      <alignment horizontal="center" vertical="center"/>
    </xf>
    <xf numFmtId="0" fontId="0" fillId="2" borderId="47" xfId="0" applyFill="1" applyBorder="1" applyAlignment="1">
      <alignment horizontal="center" vertical="center"/>
    </xf>
    <xf numFmtId="0" fontId="0" fillId="2" borderId="48" xfId="0" applyFill="1" applyBorder="1" applyAlignment="1">
      <alignment horizontal="center" vertical="center"/>
    </xf>
    <xf numFmtId="0" fontId="0" fillId="3" borderId="49" xfId="0" applyFill="1" applyBorder="1" applyAlignment="1">
      <alignment horizontal="center" vertical="center"/>
    </xf>
    <xf numFmtId="0" fontId="0" fillId="3" borderId="50" xfId="0" applyFill="1" applyBorder="1" applyAlignment="1">
      <alignment horizontal="center" vertical="center"/>
    </xf>
    <xf numFmtId="178" fontId="0" fillId="0" borderId="0" xfId="0" applyNumberFormat="1">
      <alignment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179" fontId="0" fillId="7" borderId="7" xfId="0" applyNumberFormat="1" applyFill="1" applyBorder="1" applyAlignment="1">
      <alignment horizontal="center" vertical="center"/>
    </xf>
    <xf numFmtId="0" fontId="0" fillId="7" borderId="2" xfId="0" applyFill="1" applyBorder="1" applyAlignment="1">
      <alignment horizontal="center"/>
    </xf>
    <xf numFmtId="179" fontId="0" fillId="7" borderId="9" xfId="0" applyNumberFormat="1" applyFill="1" applyBorder="1" applyAlignment="1">
      <alignment horizontal="center" vertical="center"/>
    </xf>
    <xf numFmtId="0" fontId="0" fillId="7" borderId="10" xfId="0" applyFill="1" applyBorder="1" applyAlignment="1">
      <alignment horizontal="center"/>
    </xf>
    <xf numFmtId="0" fontId="0" fillId="7" borderId="11" xfId="0" applyFill="1" applyBorder="1" applyAlignment="1">
      <alignment horizontal="center"/>
    </xf>
    <xf numFmtId="179" fontId="0" fillId="12" borderId="0" xfId="0" applyNumberFormat="1" applyFill="1">
      <alignment vertical="center"/>
    </xf>
    <xf numFmtId="14" fontId="0" fillId="3" borderId="6" xfId="0" applyNumberFormat="1" applyFill="1" applyBorder="1">
      <alignment vertical="center"/>
    </xf>
    <xf numFmtId="14" fontId="0" fillId="3" borderId="11" xfId="0" applyNumberFormat="1" applyFill="1" applyBorder="1">
      <alignment vertical="center"/>
    </xf>
    <xf numFmtId="14" fontId="0" fillId="2" borderId="51" xfId="0" applyNumberFormat="1" applyFill="1" applyBorder="1">
      <alignment vertical="center"/>
    </xf>
    <xf numFmtId="0" fontId="0" fillId="2" borderId="53" xfId="0" applyFill="1" applyBorder="1">
      <alignment vertical="center"/>
    </xf>
    <xf numFmtId="14" fontId="0" fillId="3" borderId="51" xfId="0" applyNumberFormat="1" applyFill="1" applyBorder="1">
      <alignment vertical="center"/>
    </xf>
    <xf numFmtId="14" fontId="0" fillId="3" borderId="38" xfId="0" applyNumberFormat="1" applyFill="1" applyBorder="1">
      <alignment vertical="center"/>
    </xf>
    <xf numFmtId="14" fontId="0" fillId="3" borderId="54" xfId="0" applyNumberFormat="1" applyFill="1" applyBorder="1">
      <alignment vertical="center"/>
    </xf>
    <xf numFmtId="14" fontId="0" fillId="3" borderId="24" xfId="0" applyNumberFormat="1" applyFill="1" applyBorder="1">
      <alignment vertical="center"/>
    </xf>
    <xf numFmtId="0" fontId="0" fillId="3" borderId="55" xfId="0" applyFill="1" applyBorder="1" applyAlignment="1">
      <alignment horizontal="center" vertical="center"/>
    </xf>
    <xf numFmtId="0" fontId="0" fillId="3" borderId="56" xfId="0" applyFill="1" applyBorder="1" applyAlignment="1">
      <alignment horizontal="center" vertical="center"/>
    </xf>
    <xf numFmtId="182" fontId="0" fillId="3" borderId="4" xfId="0" applyNumberFormat="1" applyFill="1" applyBorder="1" applyAlignment="1">
      <alignment horizontal="center" vertical="center"/>
    </xf>
    <xf numFmtId="182" fontId="0" fillId="3" borderId="7" xfId="0" applyNumberFormat="1" applyFill="1" applyBorder="1" applyAlignment="1">
      <alignment horizontal="center" vertical="center"/>
    </xf>
    <xf numFmtId="182" fontId="0" fillId="3" borderId="57" xfId="0" applyNumberFormat="1" applyFill="1" applyBorder="1" applyAlignment="1">
      <alignment horizontal="center" vertical="center"/>
    </xf>
    <xf numFmtId="182" fontId="0" fillId="3" borderId="9" xfId="0" applyNumberFormat="1" applyFill="1" applyBorder="1" applyAlignment="1">
      <alignment horizontal="center" vertical="center"/>
    </xf>
    <xf numFmtId="0" fontId="4" fillId="0" borderId="0" xfId="0" applyFont="1" applyAlignment="1">
      <alignment horizontal="left" vertical="center" readingOrder="1"/>
    </xf>
    <xf numFmtId="0" fontId="4" fillId="3" borderId="0" xfId="0" applyFont="1" applyFill="1" applyAlignment="1">
      <alignment horizontal="left" vertical="center" readingOrder="1"/>
    </xf>
    <xf numFmtId="0" fontId="3" fillId="3" borderId="0" xfId="0" applyFont="1" applyFill="1">
      <alignment vertical="center"/>
    </xf>
    <xf numFmtId="0" fontId="4" fillId="3" borderId="0" xfId="0" applyFont="1" applyFill="1">
      <alignment vertical="center"/>
    </xf>
    <xf numFmtId="180" fontId="10" fillId="3" borderId="15" xfId="1" applyNumberFormat="1" applyFont="1" applyFill="1" applyBorder="1" applyAlignment="1">
      <alignment horizontal="center"/>
    </xf>
    <xf numFmtId="0" fontId="10" fillId="3" borderId="16" xfId="1" applyFont="1" applyFill="1" applyBorder="1" applyAlignment="1">
      <alignment horizontal="center"/>
    </xf>
    <xf numFmtId="3" fontId="8" fillId="3" borderId="16" xfId="0" applyNumberFormat="1" applyFont="1" applyFill="1" applyBorder="1" applyAlignment="1">
      <alignment horizontal="center" vertical="center" wrapText="1" readingOrder="1"/>
    </xf>
    <xf numFmtId="3" fontId="10" fillId="3" borderId="16" xfId="1" applyNumberFormat="1" applyFont="1" applyFill="1" applyBorder="1" applyAlignment="1">
      <alignment horizontal="center"/>
    </xf>
    <xf numFmtId="3" fontId="10" fillId="3" borderId="17" xfId="1" applyNumberFormat="1" applyFont="1" applyFill="1" applyBorder="1" applyAlignment="1">
      <alignment horizontal="center"/>
    </xf>
    <xf numFmtId="0" fontId="0" fillId="13" borderId="15" xfId="0" applyFill="1" applyBorder="1" applyAlignment="1">
      <alignment horizontal="center" vertical="center"/>
    </xf>
    <xf numFmtId="0" fontId="0" fillId="13" borderId="16" xfId="0" applyFill="1" applyBorder="1" applyAlignment="1">
      <alignment horizontal="center" vertical="center"/>
    </xf>
    <xf numFmtId="0" fontId="0" fillId="13" borderId="17" xfId="0" applyFill="1" applyBorder="1" applyAlignment="1">
      <alignment horizontal="center" vertical="center"/>
    </xf>
    <xf numFmtId="0" fontId="0" fillId="3" borderId="51" xfId="0" applyFill="1" applyBorder="1" applyAlignment="1">
      <alignment horizontal="center" vertical="center"/>
    </xf>
    <xf numFmtId="0" fontId="0" fillId="3" borderId="52" xfId="0" applyFill="1" applyBorder="1" applyAlignment="1">
      <alignment horizontal="center" vertical="center"/>
    </xf>
    <xf numFmtId="181" fontId="0" fillId="3" borderId="52" xfId="0" applyNumberFormat="1" applyFill="1" applyBorder="1" applyAlignment="1">
      <alignment horizontal="center" vertical="center"/>
    </xf>
    <xf numFmtId="0" fontId="0" fillId="12" borderId="0" xfId="0" applyFill="1">
      <alignment vertical="center"/>
    </xf>
    <xf numFmtId="10" fontId="0" fillId="12" borderId="0" xfId="0" applyNumberFormat="1" applyFill="1">
      <alignment vertical="center"/>
    </xf>
    <xf numFmtId="14" fontId="0" fillId="12" borderId="0" xfId="0" applyNumberFormat="1" applyFill="1">
      <alignment vertical="center"/>
    </xf>
    <xf numFmtId="185" fontId="0" fillId="3" borderId="51" xfId="0" applyNumberFormat="1" applyFill="1" applyBorder="1" applyAlignment="1">
      <alignment horizontal="center" vertical="center"/>
    </xf>
    <xf numFmtId="0" fontId="0" fillId="3" borderId="53" xfId="0" applyFill="1" applyBorder="1" applyAlignment="1">
      <alignment horizontal="center" vertical="center"/>
    </xf>
    <xf numFmtId="0" fontId="14" fillId="6" borderId="15" xfId="0" applyFont="1" applyFill="1" applyBorder="1" applyAlignment="1">
      <alignment horizontal="center" vertical="center"/>
    </xf>
    <xf numFmtId="0" fontId="14" fillId="6" borderId="16" xfId="0" applyFont="1" applyFill="1" applyBorder="1" applyAlignment="1">
      <alignment horizontal="center" vertical="center"/>
    </xf>
    <xf numFmtId="0" fontId="14" fillId="6" borderId="17" xfId="0" applyFont="1" applyFill="1" applyBorder="1" applyAlignment="1">
      <alignment horizontal="center" vertical="center"/>
    </xf>
    <xf numFmtId="185" fontId="0" fillId="2" borderId="2" xfId="0" applyNumberFormat="1" applyFill="1" applyBorder="1">
      <alignment vertical="center"/>
    </xf>
    <xf numFmtId="185" fontId="0" fillId="2" borderId="13" xfId="0" applyNumberFormat="1" applyFill="1" applyBorder="1">
      <alignment vertical="center"/>
    </xf>
    <xf numFmtId="185" fontId="0" fillId="3" borderId="7" xfId="0" applyNumberFormat="1" applyFill="1" applyBorder="1" applyAlignment="1">
      <alignment horizontal="center" vertical="center"/>
    </xf>
    <xf numFmtId="185" fontId="0" fillId="3" borderId="9" xfId="0" applyNumberFormat="1" applyFill="1" applyBorder="1" applyAlignment="1">
      <alignment horizontal="center" vertical="center"/>
    </xf>
    <xf numFmtId="0" fontId="14" fillId="6" borderId="49" xfId="0" applyFont="1" applyFill="1" applyBorder="1" applyAlignment="1">
      <alignment horizontal="center" vertical="center"/>
    </xf>
    <xf numFmtId="0" fontId="14" fillId="6" borderId="58" xfId="0" applyFont="1" applyFill="1" applyBorder="1" applyAlignment="1">
      <alignment horizontal="center" vertical="center"/>
    </xf>
    <xf numFmtId="0" fontId="14" fillId="6" borderId="59" xfId="0" applyFont="1" applyFill="1" applyBorder="1" applyAlignment="1">
      <alignment horizontal="center" vertical="center"/>
    </xf>
    <xf numFmtId="185" fontId="0" fillId="3" borderId="4" xfId="0" applyNumberFormat="1" applyFill="1" applyBorder="1" applyAlignment="1">
      <alignment horizontal="center" vertical="center"/>
    </xf>
    <xf numFmtId="0" fontId="0" fillId="3" borderId="5" xfId="0" applyFill="1" applyBorder="1">
      <alignment vertical="center"/>
    </xf>
    <xf numFmtId="0" fontId="0" fillId="3" borderId="6" xfId="0" applyFill="1" applyBorder="1">
      <alignment vertical="center"/>
    </xf>
    <xf numFmtId="0" fontId="0" fillId="2" borderId="6" xfId="0" applyFill="1" applyBorder="1">
      <alignment vertical="center"/>
    </xf>
    <xf numFmtId="181" fontId="0" fillId="5" borderId="52" xfId="0" applyNumberFormat="1" applyFill="1" applyBorder="1" applyAlignment="1">
      <alignment horizontal="center" vertical="center"/>
    </xf>
    <xf numFmtId="181" fontId="0" fillId="5" borderId="53" xfId="0" applyNumberFormat="1" applyFill="1" applyBorder="1" applyAlignment="1">
      <alignment horizontal="center" vertical="center"/>
    </xf>
    <xf numFmtId="178" fontId="0" fillId="3" borderId="52" xfId="0" applyNumberFormat="1" applyFill="1" applyBorder="1">
      <alignment vertical="center"/>
    </xf>
    <xf numFmtId="178" fontId="0" fillId="3" borderId="53" xfId="0" applyNumberFormat="1" applyFill="1" applyBorder="1">
      <alignment vertical="center"/>
    </xf>
    <xf numFmtId="0" fontId="0" fillId="3" borderId="57" xfId="0" applyFill="1" applyBorder="1" applyAlignment="1">
      <alignment horizontal="center" vertical="center"/>
    </xf>
    <xf numFmtId="181" fontId="0" fillId="3" borderId="56" xfId="0" applyNumberFormat="1" applyFill="1" applyBorder="1" applyAlignment="1">
      <alignment horizontal="center" vertical="center"/>
    </xf>
    <xf numFmtId="0" fontId="0" fillId="2" borderId="0" xfId="0" applyFill="1">
      <alignment vertical="center"/>
    </xf>
    <xf numFmtId="0" fontId="28" fillId="14" borderId="61" xfId="0" applyFont="1" applyFill="1" applyBorder="1" applyAlignment="1">
      <alignment horizontal="center" vertical="center" wrapText="1" readingOrder="1"/>
    </xf>
    <xf numFmtId="0" fontId="28" fillId="14" borderId="62"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8" xfId="0" applyFont="1" applyFill="1" applyBorder="1" applyAlignment="1">
      <alignment horizontal="center" vertical="center" wrapText="1" readingOrder="1"/>
    </xf>
    <xf numFmtId="0" fontId="30" fillId="2" borderId="68" xfId="0" applyFont="1" applyFill="1" applyBorder="1" applyAlignment="1">
      <alignment horizontal="left" vertical="center" wrapText="1" readingOrder="1"/>
    </xf>
    <xf numFmtId="0" fontId="30" fillId="2" borderId="71" xfId="0" applyFont="1" applyFill="1" applyBorder="1" applyAlignment="1">
      <alignment horizontal="left" vertical="center" wrapText="1" readingOrder="1"/>
    </xf>
    <xf numFmtId="188" fontId="0" fillId="0" borderId="0" xfId="0" applyNumberFormat="1">
      <alignment vertical="center"/>
    </xf>
    <xf numFmtId="0" fontId="32" fillId="0" borderId="0" xfId="0" applyFont="1">
      <alignment vertical="center"/>
    </xf>
    <xf numFmtId="10" fontId="0" fillId="7" borderId="0" xfId="0" applyNumberFormat="1" applyFill="1">
      <alignment vertical="center"/>
    </xf>
    <xf numFmtId="9" fontId="0" fillId="7" borderId="0" xfId="0" applyNumberFormat="1" applyFill="1">
      <alignment vertical="center"/>
    </xf>
    <xf numFmtId="0" fontId="14" fillId="6" borderId="40" xfId="0" applyFont="1" applyFill="1" applyBorder="1" applyAlignment="1">
      <alignment horizontal="center" vertical="center"/>
    </xf>
    <xf numFmtId="22" fontId="0" fillId="2" borderId="41" xfId="0" applyNumberFormat="1" applyFill="1" applyBorder="1">
      <alignment vertical="center"/>
    </xf>
    <xf numFmtId="0" fontId="14" fillId="6" borderId="41" xfId="0" applyFont="1" applyFill="1" applyBorder="1" applyAlignment="1">
      <alignment horizontal="center" vertical="center"/>
    </xf>
    <xf numFmtId="188" fontId="0" fillId="2" borderId="44" xfId="0" applyNumberFormat="1" applyFill="1" applyBorder="1" applyAlignment="1">
      <alignment horizontal="center" vertical="center"/>
    </xf>
    <xf numFmtId="0" fontId="33" fillId="3" borderId="0" xfId="0" applyFont="1" applyFill="1">
      <alignment vertical="center"/>
    </xf>
    <xf numFmtId="0" fontId="13" fillId="0" borderId="0" xfId="0" applyFont="1">
      <alignment vertical="center"/>
    </xf>
    <xf numFmtId="181" fontId="31" fillId="12" borderId="68" xfId="0" applyNumberFormat="1" applyFont="1" applyFill="1" applyBorder="1" applyAlignment="1">
      <alignment horizontal="center" vertical="center" wrapText="1" readingOrder="1"/>
    </xf>
    <xf numFmtId="181" fontId="31" fillId="0" borderId="0" xfId="0" applyNumberFormat="1" applyFont="1" applyAlignment="1">
      <alignment horizontal="center" vertical="center" wrapText="1" readingOrder="1"/>
    </xf>
    <xf numFmtId="0" fontId="14" fillId="3" borderId="0" xfId="0" applyFont="1" applyFill="1">
      <alignment vertical="center"/>
    </xf>
    <xf numFmtId="0" fontId="0" fillId="3" borderId="0" xfId="0" applyFill="1" applyAlignment="1">
      <alignment horizontal="left" vertical="center"/>
    </xf>
    <xf numFmtId="0" fontId="15" fillId="3" borderId="5" xfId="1" applyFont="1" applyFill="1" applyBorder="1" applyAlignment="1">
      <alignment horizontal="center"/>
    </xf>
    <xf numFmtId="179" fontId="2" fillId="3" borderId="9" xfId="1" applyNumberFormat="1" applyFill="1" applyBorder="1"/>
    <xf numFmtId="0" fontId="34" fillId="0" borderId="0" xfId="0" applyFont="1" applyAlignment="1">
      <alignment horizontal="left" vertical="center" indent="1" readingOrder="1"/>
    </xf>
    <xf numFmtId="0" fontId="3" fillId="0" borderId="0" xfId="0" applyFont="1" applyAlignment="1">
      <alignment horizontal="left" vertical="center" readingOrder="1"/>
    </xf>
    <xf numFmtId="0" fontId="35" fillId="8" borderId="78" xfId="0" applyFont="1" applyFill="1" applyBorder="1" applyAlignment="1">
      <alignment horizontal="center" vertical="center" wrapText="1" readingOrder="1"/>
    </xf>
    <xf numFmtId="0" fontId="36" fillId="8" borderId="81" xfId="0" applyFont="1" applyFill="1" applyBorder="1" applyAlignment="1">
      <alignment horizontal="center" vertical="center" wrapText="1" readingOrder="1"/>
    </xf>
    <xf numFmtId="0" fontId="37" fillId="9" borderId="81" xfId="0" applyFont="1" applyFill="1" applyBorder="1" applyAlignment="1">
      <alignment horizontal="center" vertical="center" wrapText="1" readingOrder="1"/>
    </xf>
    <xf numFmtId="0" fontId="37" fillId="9" borderId="82" xfId="0" applyFont="1" applyFill="1" applyBorder="1" applyAlignment="1">
      <alignment horizontal="center" vertical="center" wrapText="1" readingOrder="1"/>
    </xf>
    <xf numFmtId="0" fontId="36" fillId="10" borderId="83" xfId="0" applyFont="1" applyFill="1" applyBorder="1" applyAlignment="1">
      <alignment horizontal="center" vertical="center" wrapText="1" readingOrder="1"/>
    </xf>
    <xf numFmtId="176" fontId="36" fillId="10" borderId="36" xfId="0" applyNumberFormat="1" applyFont="1" applyFill="1" applyBorder="1" applyAlignment="1">
      <alignment horizontal="center" vertical="center" wrapText="1" readingOrder="1"/>
    </xf>
    <xf numFmtId="0" fontId="36" fillId="10" borderId="36" xfId="0" applyFont="1" applyFill="1" applyBorder="1" applyAlignment="1">
      <alignment horizontal="center" vertical="center" wrapText="1" readingOrder="1"/>
    </xf>
    <xf numFmtId="0" fontId="36" fillId="10" borderId="36" xfId="0" applyFont="1" applyFill="1" applyBorder="1" applyAlignment="1">
      <alignment horizontal="left" vertical="center" wrapText="1" readingOrder="1"/>
    </xf>
    <xf numFmtId="0" fontId="36" fillId="0" borderId="36" xfId="0" applyFont="1" applyBorder="1" applyAlignment="1">
      <alignment horizontal="center" vertical="center" wrapText="1" readingOrder="1"/>
    </xf>
    <xf numFmtId="10" fontId="36" fillId="0" borderId="36" xfId="0" applyNumberFormat="1" applyFont="1" applyBorder="1" applyAlignment="1">
      <alignment horizontal="center" vertical="center" wrapText="1" readingOrder="1"/>
    </xf>
    <xf numFmtId="0" fontId="36" fillId="0" borderId="1" xfId="0" applyFont="1" applyBorder="1" applyAlignment="1">
      <alignment horizontal="center" vertical="center" wrapText="1" readingOrder="1"/>
    </xf>
    <xf numFmtId="10" fontId="36" fillId="0" borderId="84" xfId="0" applyNumberFormat="1" applyFont="1" applyBorder="1" applyAlignment="1">
      <alignment horizontal="center" vertical="center" wrapText="1" readingOrder="1"/>
    </xf>
    <xf numFmtId="0" fontId="36" fillId="10" borderId="85" xfId="0" applyFont="1" applyFill="1" applyBorder="1" applyAlignment="1">
      <alignment horizontal="center" vertical="center" wrapText="1" readingOrder="1"/>
    </xf>
    <xf numFmtId="0" fontId="36" fillId="10" borderId="86" xfId="0" applyFont="1" applyFill="1" applyBorder="1" applyAlignment="1">
      <alignment horizontal="center" vertical="center" wrapText="1" readingOrder="1"/>
    </xf>
    <xf numFmtId="176" fontId="36" fillId="10" borderId="77" xfId="0" applyNumberFormat="1" applyFont="1" applyFill="1" applyBorder="1" applyAlignment="1">
      <alignment horizontal="center" vertical="center" wrapText="1" readingOrder="1"/>
    </xf>
    <xf numFmtId="0" fontId="36" fillId="10" borderId="77" xfId="0" applyFont="1" applyFill="1" applyBorder="1" applyAlignment="1">
      <alignment horizontal="center" vertical="center" wrapText="1" readingOrder="1"/>
    </xf>
    <xf numFmtId="0" fontId="36" fillId="10" borderId="77" xfId="0" applyFont="1" applyFill="1" applyBorder="1" applyAlignment="1">
      <alignment horizontal="left" vertical="center" wrapText="1" readingOrder="1"/>
    </xf>
    <xf numFmtId="0" fontId="36" fillId="0" borderId="77" xfId="0" applyFont="1" applyBorder="1" applyAlignment="1">
      <alignment horizontal="center" vertical="center" wrapText="1" readingOrder="1"/>
    </xf>
    <xf numFmtId="10" fontId="36" fillId="0" borderId="77" xfId="0" applyNumberFormat="1" applyFont="1" applyBorder="1" applyAlignment="1">
      <alignment horizontal="center" vertical="center" wrapText="1" readingOrder="1"/>
    </xf>
    <xf numFmtId="10" fontId="36" fillId="0" borderId="87" xfId="0" applyNumberFormat="1" applyFont="1" applyBorder="1" applyAlignment="1">
      <alignment horizontal="center" vertical="center" wrapText="1" readingOrder="1"/>
    </xf>
    <xf numFmtId="0" fontId="38" fillId="0" borderId="8" xfId="0" applyFont="1" applyBorder="1" applyAlignment="1">
      <alignment horizontal="center" vertical="center"/>
    </xf>
    <xf numFmtId="0" fontId="39" fillId="0" borderId="7" xfId="0" applyFont="1" applyBorder="1" applyAlignment="1">
      <alignment horizontal="center" vertical="center" wrapText="1" readingOrder="1"/>
    </xf>
    <xf numFmtId="0" fontId="39" fillId="0" borderId="9" xfId="0" applyFont="1" applyBorder="1" applyAlignment="1">
      <alignment horizontal="center" vertical="center" wrapText="1" readingOrder="1"/>
    </xf>
    <xf numFmtId="0" fontId="0" fillId="3" borderId="13" xfId="0" applyFill="1" applyBorder="1">
      <alignment vertical="center"/>
    </xf>
    <xf numFmtId="183" fontId="0" fillId="3" borderId="16" xfId="0" applyNumberFormat="1" applyFill="1" applyBorder="1">
      <alignment vertical="center"/>
    </xf>
    <xf numFmtId="183" fontId="0" fillId="2" borderId="17" xfId="0" applyNumberFormat="1" applyFill="1" applyBorder="1">
      <alignment vertical="center"/>
    </xf>
    <xf numFmtId="0" fontId="22" fillId="3" borderId="13" xfId="0" applyFont="1" applyFill="1" applyBorder="1" applyAlignment="1">
      <alignment horizontal="center" vertical="center"/>
    </xf>
    <xf numFmtId="0" fontId="22" fillId="3" borderId="2" xfId="0" applyFont="1" applyFill="1" applyBorder="1" applyAlignment="1">
      <alignment horizontal="center" vertical="center"/>
    </xf>
    <xf numFmtId="0" fontId="22" fillId="3" borderId="10" xfId="0" applyFont="1" applyFill="1" applyBorder="1" applyAlignment="1">
      <alignment horizontal="center" vertical="center"/>
    </xf>
    <xf numFmtId="0" fontId="30" fillId="0" borderId="70" xfId="0" applyFont="1" applyBorder="1" applyAlignment="1">
      <alignment horizontal="center" vertical="center" wrapText="1" readingOrder="1"/>
    </xf>
    <xf numFmtId="0" fontId="30" fillId="3" borderId="71" xfId="0" applyFont="1" applyFill="1" applyBorder="1" applyAlignment="1">
      <alignment horizontal="center" vertical="center" wrapText="1" readingOrder="1"/>
    </xf>
    <xf numFmtId="0" fontId="30" fillId="2" borderId="68" xfId="0" applyFont="1" applyFill="1" applyBorder="1" applyAlignment="1">
      <alignment horizontal="center" vertical="center" wrapText="1" readingOrder="1"/>
    </xf>
    <xf numFmtId="187" fontId="30" fillId="3" borderId="68" xfId="0" applyNumberFormat="1" applyFont="1" applyFill="1" applyBorder="1" applyAlignment="1">
      <alignment horizontal="center" vertical="center" wrapText="1" readingOrder="1"/>
    </xf>
    <xf numFmtId="181" fontId="30" fillId="3" borderId="68" xfId="0" applyNumberFormat="1" applyFont="1" applyFill="1" applyBorder="1" applyAlignment="1">
      <alignment horizontal="center" vertical="center" wrapText="1" readingOrder="1"/>
    </xf>
    <xf numFmtId="186" fontId="30" fillId="3" borderId="68" xfId="0" applyNumberFormat="1" applyFont="1" applyFill="1" applyBorder="1" applyAlignment="1">
      <alignment horizontal="center" vertical="center" wrapText="1" readingOrder="1"/>
    </xf>
    <xf numFmtId="10" fontId="30" fillId="3" borderId="68" xfId="0" applyNumberFormat="1" applyFont="1" applyFill="1" applyBorder="1" applyAlignment="1">
      <alignment horizontal="center" vertical="center" wrapText="1" readingOrder="1"/>
    </xf>
    <xf numFmtId="0" fontId="30" fillId="2" borderId="72" xfId="0" applyFont="1" applyFill="1" applyBorder="1" applyAlignment="1">
      <alignment horizontal="center" vertical="center" wrapText="1" readingOrder="1"/>
    </xf>
    <xf numFmtId="187" fontId="40" fillId="3" borderId="75" xfId="0" applyNumberFormat="1" applyFont="1" applyFill="1" applyBorder="1" applyAlignment="1">
      <alignment horizontal="center" vertical="center" wrapText="1" readingOrder="1"/>
    </xf>
    <xf numFmtId="181" fontId="40" fillId="3" borderId="75" xfId="0" applyNumberFormat="1" applyFont="1" applyFill="1" applyBorder="1" applyAlignment="1">
      <alignment horizontal="center" vertical="center" wrapText="1" readingOrder="1"/>
    </xf>
    <xf numFmtId="3" fontId="40" fillId="3" borderId="75" xfId="0" applyNumberFormat="1" applyFont="1" applyFill="1" applyBorder="1" applyAlignment="1">
      <alignment horizontal="center" vertical="center" wrapText="1" readingOrder="1"/>
    </xf>
    <xf numFmtId="186" fontId="40" fillId="3" borderId="75" xfId="0" applyNumberFormat="1" applyFont="1" applyFill="1" applyBorder="1" applyAlignment="1">
      <alignment horizontal="center" vertical="center" wrapText="1" readingOrder="1"/>
    </xf>
    <xf numFmtId="10" fontId="40" fillId="3" borderId="75" xfId="0" applyNumberFormat="1" applyFont="1" applyFill="1" applyBorder="1" applyAlignment="1">
      <alignment horizontal="center" vertical="center" wrapText="1" readingOrder="1"/>
    </xf>
    <xf numFmtId="0" fontId="30" fillId="2" borderId="70" xfId="0" applyFont="1" applyFill="1" applyBorder="1" applyAlignment="1">
      <alignment horizontal="center" vertical="center" wrapText="1" readingOrder="1"/>
    </xf>
    <xf numFmtId="0" fontId="30" fillId="2" borderId="71" xfId="0" applyFont="1" applyFill="1" applyBorder="1" applyAlignment="1">
      <alignment horizontal="center" vertical="center" wrapText="1" readingOrder="1"/>
    </xf>
    <xf numFmtId="187" fontId="30" fillId="2" borderId="68" xfId="0" applyNumberFormat="1" applyFont="1" applyFill="1" applyBorder="1" applyAlignment="1">
      <alignment horizontal="center" vertical="center" wrapText="1" readingOrder="1"/>
    </xf>
    <xf numFmtId="181" fontId="30" fillId="2" borderId="68" xfId="0" applyNumberFormat="1" applyFont="1" applyFill="1" applyBorder="1" applyAlignment="1">
      <alignment horizontal="center" vertical="center" wrapText="1" readingOrder="1"/>
    </xf>
    <xf numFmtId="10" fontId="30" fillId="2" borderId="68" xfId="0" applyNumberFormat="1" applyFont="1" applyFill="1" applyBorder="1" applyAlignment="1">
      <alignment horizontal="center" vertical="center" wrapText="1" readingOrder="1"/>
    </xf>
    <xf numFmtId="187" fontId="40" fillId="2" borderId="75" xfId="0" applyNumberFormat="1" applyFont="1" applyFill="1" applyBorder="1" applyAlignment="1">
      <alignment horizontal="center" vertical="center" wrapText="1" readingOrder="1"/>
    </xf>
    <xf numFmtId="181" fontId="40" fillId="2" borderId="75" xfId="0" applyNumberFormat="1" applyFont="1" applyFill="1" applyBorder="1" applyAlignment="1">
      <alignment horizontal="center" vertical="center" wrapText="1" readingOrder="1"/>
    </xf>
    <xf numFmtId="3" fontId="40" fillId="2" borderId="75" xfId="0" applyNumberFormat="1" applyFont="1" applyFill="1" applyBorder="1" applyAlignment="1">
      <alignment horizontal="center" vertical="center" wrapText="1" readingOrder="1"/>
    </xf>
    <xf numFmtId="10" fontId="40" fillId="2" borderId="75" xfId="0" applyNumberFormat="1" applyFont="1" applyFill="1" applyBorder="1" applyAlignment="1">
      <alignment horizontal="center" vertical="center" wrapText="1" readingOrder="1"/>
    </xf>
    <xf numFmtId="187" fontId="40" fillId="2" borderId="76" xfId="0" applyNumberFormat="1" applyFont="1" applyFill="1" applyBorder="1" applyAlignment="1">
      <alignment horizontal="center" vertical="center" wrapText="1" readingOrder="1"/>
    </xf>
    <xf numFmtId="10" fontId="41" fillId="3" borderId="2" xfId="0" applyNumberFormat="1" applyFont="1" applyFill="1" applyBorder="1" applyAlignment="1">
      <alignment horizontal="center" vertical="center" wrapText="1" readingOrder="1"/>
    </xf>
    <xf numFmtId="189" fontId="41" fillId="3" borderId="2" xfId="0" applyNumberFormat="1" applyFont="1" applyFill="1" applyBorder="1" applyAlignment="1">
      <alignment horizontal="center" vertical="center" wrapText="1" readingOrder="1"/>
    </xf>
    <xf numFmtId="187" fontId="41" fillId="3" borderId="2" xfId="0" applyNumberFormat="1" applyFont="1" applyFill="1" applyBorder="1" applyAlignment="1">
      <alignment horizontal="center" vertical="center" wrapText="1" readingOrder="1"/>
    </xf>
    <xf numFmtId="0" fontId="42" fillId="0" borderId="2" xfId="0" applyFont="1" applyBorder="1" applyAlignment="1">
      <alignment horizontal="center" vertical="center" wrapText="1" readingOrder="1"/>
    </xf>
    <xf numFmtId="190" fontId="0" fillId="3" borderId="13" xfId="0" applyNumberFormat="1" applyFill="1" applyBorder="1" applyAlignment="1">
      <alignment horizontal="center" vertical="center"/>
    </xf>
    <xf numFmtId="190" fontId="0" fillId="3" borderId="14" xfId="0" applyNumberFormat="1" applyFill="1" applyBorder="1" applyAlignment="1">
      <alignment horizontal="center" vertical="center"/>
    </xf>
    <xf numFmtId="190" fontId="0" fillId="3" borderId="2" xfId="0" applyNumberFormat="1" applyFill="1" applyBorder="1" applyAlignment="1">
      <alignment horizontal="center" vertical="center"/>
    </xf>
    <xf numFmtId="190" fontId="0" fillId="3" borderId="8" xfId="0" applyNumberFormat="1" applyFill="1" applyBorder="1" applyAlignment="1">
      <alignment horizontal="center" vertical="center"/>
    </xf>
    <xf numFmtId="190" fontId="0" fillId="3" borderId="10" xfId="0" applyNumberFormat="1" applyFill="1" applyBorder="1" applyAlignment="1">
      <alignment horizontal="center" vertical="center"/>
    </xf>
    <xf numFmtId="190" fontId="0" fillId="3" borderId="11" xfId="0" applyNumberFormat="1" applyFill="1" applyBorder="1" applyAlignment="1">
      <alignment horizontal="center" vertical="center"/>
    </xf>
    <xf numFmtId="0" fontId="14" fillId="3" borderId="0" xfId="0" applyFont="1" applyFill="1" applyAlignment="1">
      <alignment horizontal="left" vertical="center"/>
    </xf>
    <xf numFmtId="0" fontId="0" fillId="3" borderId="0" xfId="0" applyFill="1" applyAlignment="1">
      <alignment horizontal="left" vertical="center"/>
    </xf>
    <xf numFmtId="0" fontId="0" fillId="2" borderId="38" xfId="0" applyFill="1" applyBorder="1" applyAlignment="1">
      <alignment horizontal="center" vertical="center"/>
    </xf>
    <xf numFmtId="0" fontId="0" fillId="2" borderId="34" xfId="0" applyFill="1" applyBorder="1" applyAlignment="1">
      <alignment horizontal="center"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26" xfId="0" applyBorder="1" applyAlignment="1">
      <alignment horizontal="center" vertical="center"/>
    </xf>
    <xf numFmtId="0" fontId="0" fillId="0" borderId="33" xfId="0" applyBorder="1" applyAlignment="1">
      <alignment horizontal="center" vertical="center"/>
    </xf>
    <xf numFmtId="0" fontId="0" fillId="0" borderId="23" xfId="0" applyBorder="1" applyAlignment="1">
      <alignment horizontal="center" vertical="center"/>
    </xf>
    <xf numFmtId="0" fontId="0" fillId="2" borderId="22" xfId="0" applyFill="1" applyBorder="1" applyAlignment="1">
      <alignment horizontal="center" vertical="center"/>
    </xf>
    <xf numFmtId="0" fontId="0" fillId="2" borderId="21" xfId="0" applyFill="1" applyBorder="1" applyAlignment="1">
      <alignment horizontal="center" vertical="center"/>
    </xf>
    <xf numFmtId="0" fontId="36" fillId="8" borderId="79" xfId="0" applyFont="1" applyFill="1" applyBorder="1" applyAlignment="1">
      <alignment horizontal="center" vertical="center" wrapText="1" readingOrder="1"/>
    </xf>
    <xf numFmtId="0" fontId="36" fillId="8" borderId="80" xfId="0" applyFont="1" applyFill="1" applyBorder="1" applyAlignment="1">
      <alignment horizontal="center" vertical="center" wrapText="1" readingOrder="1"/>
    </xf>
    <xf numFmtId="0" fontId="0" fillId="0" borderId="38" xfId="0" applyBorder="1" applyAlignment="1">
      <alignment horizontal="left" vertical="center"/>
    </xf>
    <xf numFmtId="0" fontId="0" fillId="0" borderId="18" xfId="0" applyBorder="1" applyAlignment="1">
      <alignment horizontal="left" vertical="center"/>
    </xf>
    <xf numFmtId="0" fontId="13" fillId="0" borderId="39" xfId="0" applyFont="1" applyBorder="1" applyAlignment="1">
      <alignment horizontal="left" vertical="center"/>
    </xf>
    <xf numFmtId="0" fontId="13" fillId="0" borderId="19" xfId="0" applyFont="1" applyBorder="1" applyAlignment="1">
      <alignment horizontal="left" vertical="center"/>
    </xf>
    <xf numFmtId="0" fontId="12" fillId="0" borderId="39" xfId="2" applyBorder="1" applyAlignment="1">
      <alignment horizontal="left" vertical="center"/>
    </xf>
    <xf numFmtId="0" fontId="0" fillId="0" borderId="19" xfId="0" applyBorder="1" applyAlignment="1">
      <alignment horizontal="left" vertical="center"/>
    </xf>
    <xf numFmtId="0" fontId="0" fillId="0" borderId="39" xfId="0" applyBorder="1" applyAlignment="1">
      <alignment horizontal="center" vertical="center"/>
    </xf>
    <xf numFmtId="0" fontId="0" fillId="0" borderId="19" xfId="0" applyBorder="1" applyAlignment="1">
      <alignment horizontal="center" vertical="center"/>
    </xf>
    <xf numFmtId="0" fontId="14" fillId="6" borderId="42" xfId="0" applyFont="1" applyFill="1" applyBorder="1" applyAlignment="1">
      <alignment horizontal="center" vertical="center"/>
    </xf>
    <xf numFmtId="0" fontId="14" fillId="6" borderId="43" xfId="0" applyFont="1" applyFill="1" applyBorder="1" applyAlignment="1">
      <alignment horizontal="center" vertical="center"/>
    </xf>
    <xf numFmtId="0" fontId="14" fillId="6" borderId="20" xfId="0" applyFont="1" applyFill="1" applyBorder="1" applyAlignment="1">
      <alignment horizontal="center" vertical="center"/>
    </xf>
    <xf numFmtId="0" fontId="19" fillId="11" borderId="9" xfId="0" applyFont="1" applyFill="1" applyBorder="1" applyAlignment="1">
      <alignment horizontal="center" vertical="center" wrapText="1" readingOrder="1"/>
    </xf>
    <xf numFmtId="0" fontId="19" fillId="11" borderId="10" xfId="0" applyFont="1" applyFill="1" applyBorder="1" applyAlignment="1">
      <alignment horizontal="center" vertical="center" wrapText="1" readingOrder="1"/>
    </xf>
    <xf numFmtId="0" fontId="23" fillId="11" borderId="4" xfId="0" applyFont="1" applyFill="1" applyBorder="1" applyAlignment="1">
      <alignment horizontal="center" vertical="center" wrapText="1" readingOrder="1"/>
    </xf>
    <xf numFmtId="0" fontId="23" fillId="11" borderId="5" xfId="0" applyFont="1" applyFill="1" applyBorder="1" applyAlignment="1">
      <alignment horizontal="center" vertical="center" wrapText="1" readingOrder="1"/>
    </xf>
    <xf numFmtId="0" fontId="23" fillId="11" borderId="6" xfId="0" applyFont="1" applyFill="1" applyBorder="1" applyAlignment="1">
      <alignment horizontal="center" vertical="center" wrapText="1" readingOrder="1"/>
    </xf>
    <xf numFmtId="0" fontId="25" fillId="11" borderId="4" xfId="0" applyFont="1" applyFill="1" applyBorder="1" applyAlignment="1">
      <alignment horizontal="center" vertical="center" wrapText="1" readingOrder="1"/>
    </xf>
    <xf numFmtId="0" fontId="25" fillId="11" borderId="5" xfId="0" applyFont="1" applyFill="1" applyBorder="1" applyAlignment="1">
      <alignment horizontal="center" vertical="center" wrapText="1" readingOrder="1"/>
    </xf>
    <xf numFmtId="0" fontId="25" fillId="11" borderId="6" xfId="0" applyFont="1" applyFill="1" applyBorder="1" applyAlignment="1">
      <alignment horizontal="center" vertical="center" wrapText="1" readingOrder="1"/>
    </xf>
    <xf numFmtId="0" fontId="40" fillId="2" borderId="73" xfId="0" applyFont="1" applyFill="1" applyBorder="1" applyAlignment="1">
      <alignment horizontal="center" vertical="center" wrapText="1" readingOrder="1"/>
    </xf>
    <xf numFmtId="0" fontId="40" fillId="2" borderId="74" xfId="0" applyFont="1" applyFill="1" applyBorder="1" applyAlignment="1">
      <alignment horizontal="center" vertical="center" wrapText="1" readingOrder="1"/>
    </xf>
    <xf numFmtId="0" fontId="28" fillId="14" borderId="61" xfId="0" applyFont="1" applyFill="1" applyBorder="1" applyAlignment="1">
      <alignment horizontal="center" vertical="center" wrapText="1" readingOrder="1"/>
    </xf>
    <xf numFmtId="0" fontId="28" fillId="14" borderId="67" xfId="0" applyFont="1" applyFill="1" applyBorder="1" applyAlignment="1">
      <alignment horizontal="center" vertical="center" wrapText="1" readingOrder="1"/>
    </xf>
    <xf numFmtId="0" fontId="28" fillId="14" borderId="65" xfId="0" applyFont="1" applyFill="1" applyBorder="1" applyAlignment="1">
      <alignment horizontal="center" vertical="center" wrapText="1" readingOrder="1"/>
    </xf>
    <xf numFmtId="0" fontId="28" fillId="14" borderId="69" xfId="0" applyFont="1" applyFill="1" applyBorder="1" applyAlignment="1">
      <alignment horizontal="center" vertical="center" wrapText="1" readingOrder="1"/>
    </xf>
    <xf numFmtId="0" fontId="40" fillId="11" borderId="73" xfId="0" applyFont="1" applyFill="1" applyBorder="1" applyAlignment="1">
      <alignment horizontal="center" vertical="center" wrapText="1" readingOrder="1"/>
    </xf>
    <xf numFmtId="0" fontId="40" fillId="11" borderId="74" xfId="0" applyFont="1" applyFill="1" applyBorder="1" applyAlignment="1">
      <alignment horizontal="center" vertical="center" wrapText="1" readingOrder="1"/>
    </xf>
    <xf numFmtId="0" fontId="28" fillId="14" borderId="60" xfId="0" applyFont="1" applyFill="1" applyBorder="1" applyAlignment="1">
      <alignment horizontal="center" vertical="center" wrapText="1" readingOrder="1"/>
    </xf>
    <xf numFmtId="0" fontId="28" fillId="14" borderId="66" xfId="0" applyFont="1" applyFill="1" applyBorder="1" applyAlignment="1">
      <alignment horizontal="center" vertical="center" wrapText="1" readingOrder="1"/>
    </xf>
    <xf numFmtId="0" fontId="29" fillId="14" borderId="63" xfId="0" applyFont="1" applyFill="1" applyBorder="1" applyAlignment="1">
      <alignment horizontal="center" vertical="center" wrapText="1" readingOrder="1"/>
    </xf>
    <xf numFmtId="0" fontId="29" fillId="14" borderId="64" xfId="0" applyFont="1" applyFill="1" applyBorder="1" applyAlignment="1">
      <alignment horizontal="center" vertical="center" wrapText="1" readingOrder="1"/>
    </xf>
  </cellXfs>
  <cellStyles count="4">
    <cellStyle name="백분율 2" xfId="3" xr:uid="{DA5D6105-AE26-401C-91B3-D4FD70AD75E0}"/>
    <cellStyle name="표준" xfId="0" builtinId="0"/>
    <cellStyle name="표준 2" xfId="1" xr:uid="{8E7FEC70-B946-41DD-B2A4-81F9A2B410D3}"/>
    <cellStyle name="하이퍼링크" xfId="2" builtinId="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r>
              <a:rPr lang="ko-KR" sz="1200" u="sng">
                <a:solidFill>
                  <a:schemeClr val="tx1"/>
                </a:solidFill>
                <a:latin typeface="Pretendard" panose="02000503000000020004" pitchFamily="2" charset="-127"/>
                <a:ea typeface="Pretendard" panose="02000503000000020004" pitchFamily="2" charset="-127"/>
                <a:cs typeface="Pretendard" panose="02000503000000020004" pitchFamily="2" charset="-127"/>
              </a:rPr>
              <a:t>링크드인 채널 월 팔로워 유입 현황 </a:t>
            </a:r>
          </a:p>
        </c:rich>
      </c:tx>
      <c:layout>
        <c:manualLayout>
          <c:xMode val="edge"/>
          <c:yMode val="edge"/>
          <c:x val="0.30327040928921861"/>
          <c:y val="2.0185874285447866E-2"/>
        </c:manualLayout>
      </c:layout>
      <c:overlay val="0"/>
      <c:spPr>
        <a:noFill/>
        <a:ln>
          <a:noFill/>
        </a:ln>
        <a:effectLst/>
      </c:spPr>
      <c:txPr>
        <a:bodyPr rot="0" spcFirstLastPara="1" vertOverflow="ellipsis" vert="horz" wrap="square" anchor="ctr" anchorCtr="1"/>
        <a:lstStyle/>
        <a:p>
          <a:pPr>
            <a:defRPr sz="1200" b="0" i="0" u="sng" strike="noStrike" kern="1200" cap="none" spc="20" baseline="0">
              <a:solidFill>
                <a:schemeClr val="tx1"/>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title>
    <c:autoTitleDeleted val="0"/>
    <c:plotArea>
      <c:layout>
        <c:manualLayout>
          <c:layoutTarget val="inner"/>
          <c:xMode val="edge"/>
          <c:yMode val="edge"/>
          <c:x val="0.11887552061516424"/>
          <c:y val="0.1533463182584974"/>
          <c:w val="0.8162022708554848"/>
          <c:h val="0.65984485980518648"/>
        </c:manualLayout>
      </c:layout>
      <c:barChart>
        <c:barDir val="col"/>
        <c:grouping val="stacked"/>
        <c:varyColors val="0"/>
        <c:ser>
          <c:idx val="0"/>
          <c:order val="0"/>
          <c:tx>
            <c:strRef>
              <c:f>'월간 HL'!$I$30</c:f>
              <c:strCache>
                <c:ptCount val="1"/>
                <c:pt idx="0">
                  <c:v>오가닉</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HL'!$I$31:$I$46</c:f>
              <c:numCache>
                <c:formatCode>0_);[Red]\(0\)</c:formatCode>
                <c:ptCount val="16"/>
                <c:pt idx="0">
                  <c:v>404</c:v>
                </c:pt>
                <c:pt idx="1">
                  <c:v>390</c:v>
                </c:pt>
                <c:pt idx="2">
                  <c:v>303</c:v>
                </c:pt>
                <c:pt idx="3">
                  <c:v>300</c:v>
                </c:pt>
                <c:pt idx="4">
                  <c:v>401</c:v>
                </c:pt>
                <c:pt idx="5">
                  <c:v>454</c:v>
                </c:pt>
                <c:pt idx="6">
                  <c:v>413</c:v>
                </c:pt>
                <c:pt idx="7">
                  <c:v>435</c:v>
                </c:pt>
                <c:pt idx="8">
                  <c:v>494</c:v>
                </c:pt>
                <c:pt idx="9">
                  <c:v>664</c:v>
                </c:pt>
                <c:pt idx="10">
                  <c:v>570</c:v>
                </c:pt>
                <c:pt idx="11">
                  <c:v>776</c:v>
                </c:pt>
                <c:pt idx="12">
                  <c:v>776</c:v>
                </c:pt>
                <c:pt idx="13">
                  <c:v>821</c:v>
                </c:pt>
                <c:pt idx="14">
                  <c:v>575</c:v>
                </c:pt>
                <c:pt idx="15">
                  <c:v>600</c:v>
                </c:pt>
              </c:numCache>
            </c:numRef>
          </c:val>
          <c:extLst>
            <c:ext xmlns:c16="http://schemas.microsoft.com/office/drawing/2014/chart" uri="{C3380CC4-5D6E-409C-BE32-E72D297353CC}">
              <c16:uniqueId val="{00000010-EB92-4098-97D3-8080C8A398A8}"/>
            </c:ext>
          </c:extLst>
        </c:ser>
        <c:ser>
          <c:idx val="1"/>
          <c:order val="1"/>
          <c:tx>
            <c:strRef>
              <c:f>'월간 HL'!$J$30</c:f>
              <c:strCache>
                <c:ptCount val="1"/>
                <c:pt idx="0">
                  <c:v>스폰서</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anchor="ctr" anchorCtr="1"/>
              <a:lstStyle/>
              <a:p>
                <a:pPr>
                  <a:defRPr sz="1197"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noFill/>
                    </a:ln>
                    <a:effectLst/>
                  </c:spPr>
                </c15:leaderLines>
              </c:ext>
            </c:extLst>
          </c:dLbls>
          <c:cat>
            <c:numRef>
              <c:f>'월간 HL'!$H$31:$H$46</c:f>
              <c:numCache>
                <c:formatCode>mm"월"</c:formatCode>
                <c:ptCount val="16"/>
                <c:pt idx="0">
                  <c:v>44986</c:v>
                </c:pt>
                <c:pt idx="1">
                  <c:v>45017</c:v>
                </c:pt>
                <c:pt idx="2">
                  <c:v>45047</c:v>
                </c:pt>
                <c:pt idx="3">
                  <c:v>45078</c:v>
                </c:pt>
                <c:pt idx="4">
                  <c:v>45108</c:v>
                </c:pt>
                <c:pt idx="5">
                  <c:v>45139</c:v>
                </c:pt>
                <c:pt idx="6">
                  <c:v>45170</c:v>
                </c:pt>
                <c:pt idx="7">
                  <c:v>45200</c:v>
                </c:pt>
                <c:pt idx="8">
                  <c:v>45231</c:v>
                </c:pt>
                <c:pt idx="9">
                  <c:v>45261</c:v>
                </c:pt>
                <c:pt idx="10">
                  <c:v>45292</c:v>
                </c:pt>
                <c:pt idx="11">
                  <c:v>45323</c:v>
                </c:pt>
                <c:pt idx="12">
                  <c:v>45352</c:v>
                </c:pt>
                <c:pt idx="13">
                  <c:v>45383</c:v>
                </c:pt>
                <c:pt idx="14">
                  <c:v>45413</c:v>
                </c:pt>
                <c:pt idx="15">
                  <c:v>45444</c:v>
                </c:pt>
              </c:numCache>
            </c:numRef>
          </c:cat>
          <c:val>
            <c:numRef>
              <c:f>'월간 HL'!$J$31:$J$46</c:f>
              <c:numCache>
                <c:formatCode>0_);[Red]\(0\)</c:formatCode>
                <c:ptCount val="16"/>
                <c:pt idx="0">
                  <c:v>0</c:v>
                </c:pt>
                <c:pt idx="1">
                  <c:v>0</c:v>
                </c:pt>
                <c:pt idx="2">
                  <c:v>0</c:v>
                </c:pt>
                <c:pt idx="3">
                  <c:v>0</c:v>
                </c:pt>
                <c:pt idx="4">
                  <c:v>374</c:v>
                </c:pt>
                <c:pt idx="5">
                  <c:v>379</c:v>
                </c:pt>
                <c:pt idx="6">
                  <c:v>352</c:v>
                </c:pt>
                <c:pt idx="7">
                  <c:v>580</c:v>
                </c:pt>
                <c:pt idx="8">
                  <c:v>489</c:v>
                </c:pt>
                <c:pt idx="9">
                  <c:v>294</c:v>
                </c:pt>
                <c:pt idx="10">
                  <c:v>593</c:v>
                </c:pt>
                <c:pt idx="11">
                  <c:v>949</c:v>
                </c:pt>
                <c:pt idx="12">
                  <c:v>1144</c:v>
                </c:pt>
                <c:pt idx="13">
                  <c:v>1919</c:v>
                </c:pt>
                <c:pt idx="14">
                  <c:v>1365</c:v>
                </c:pt>
                <c:pt idx="15">
                  <c:v>259</c:v>
                </c:pt>
              </c:numCache>
            </c:numRef>
          </c:val>
          <c:extLst>
            <c:ext xmlns:c16="http://schemas.microsoft.com/office/drawing/2014/chart" uri="{C3380CC4-5D6E-409C-BE32-E72D297353CC}">
              <c16:uniqueId val="{0000001D-EB92-4098-97D3-8080C8A398A8}"/>
            </c:ext>
          </c:extLst>
        </c:ser>
        <c:dLbls>
          <c:dLblPos val="ctr"/>
          <c:showLegendKey val="0"/>
          <c:showVal val="1"/>
          <c:showCatName val="0"/>
          <c:showSerName val="0"/>
          <c:showPercent val="0"/>
          <c:showBubbleSize val="0"/>
        </c:dLbls>
        <c:gapWidth val="150"/>
        <c:overlap val="100"/>
        <c:axId val="195736336"/>
        <c:axId val="195742320"/>
      </c:barChart>
      <c:dateAx>
        <c:axId val="195736336"/>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42320"/>
        <c:crosses val="autoZero"/>
        <c:auto val="1"/>
        <c:lblOffset val="100"/>
        <c:baseTimeUnit val="months"/>
      </c:dateAx>
      <c:valAx>
        <c:axId val="195742320"/>
        <c:scaling>
          <c:orientation val="minMax"/>
          <c:max val="3000"/>
          <c:min val="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95736336"/>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링크드인</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페이지 월 </a:t>
            </a:r>
            <a:r>
              <a:rPr lang="ko-KR" sz="1200" u="sng" dirty="0" err="1">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팔로워</a:t>
            </a:r>
            <a:r>
              <a:rPr lang="ko-KR" sz="1200" u="sng" dirty="0">
                <a:solidFill>
                  <a:schemeClr val="tx1">
                    <a:lumMod val="95000"/>
                    <a:lumOff val="5000"/>
                  </a:schemeClr>
                </a:solidFill>
                <a:effectLst/>
                <a:latin typeface="Pretendard" panose="02000503000000020004" pitchFamily="2" charset="-127"/>
                <a:ea typeface="Pretendard" panose="02000503000000020004" pitchFamily="2" charset="-127"/>
                <a:cs typeface="Pretendard" panose="02000503000000020004" pitchFamily="2" charset="-127"/>
              </a:rPr>
              <a:t> 현황</a:t>
            </a:r>
          </a:p>
        </c:rich>
      </c:tx>
      <c:overlay val="0"/>
      <c:spPr>
        <a:noFill/>
        <a:ln>
          <a:noFill/>
        </a:ln>
        <a:effectLst/>
      </c:spPr>
      <c:txPr>
        <a:bodyPr rot="0" spcFirstLastPara="1" vertOverflow="ellipsis" vert="horz" wrap="square" anchor="ctr" anchorCtr="1"/>
        <a:lstStyle/>
        <a:p>
          <a:pPr>
            <a:defRPr sz="1862" b="0" i="0" u="none" strike="noStrike" kern="1200" cap="none" spc="20" baseline="0">
              <a:solidFill>
                <a:schemeClr val="dk1">
                  <a:lumMod val="50000"/>
                  <a:lumOff val="50000"/>
                </a:schemeClr>
              </a:solidFill>
              <a:latin typeface="+mn-lt"/>
              <a:ea typeface="+mn-ea"/>
              <a:cs typeface="+mn-cs"/>
            </a:defRPr>
          </a:pPr>
          <a:endParaRPr lang="ko-KR"/>
        </a:p>
      </c:txPr>
    </c:title>
    <c:autoTitleDeleted val="0"/>
    <c:plotArea>
      <c:layout/>
      <c:lineChart>
        <c:grouping val="stacked"/>
        <c:varyColors val="0"/>
        <c:ser>
          <c:idx val="0"/>
          <c:order val="0"/>
          <c:tx>
            <c:strRef>
              <c:f>'월간 HL'!$W$26</c:f>
              <c:strCache>
                <c:ptCount val="1"/>
                <c:pt idx="0">
                  <c:v>총 팔로워수</c:v>
                </c:pt>
              </c:strCache>
            </c:strRef>
          </c:tx>
          <c:spPr>
            <a:ln w="22225" cap="rnd" cmpd="sng" algn="ctr">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dk1">
                        <a:lumMod val="65000"/>
                        <a:lumOff val="35000"/>
                      </a:schemeClr>
                    </a:solidFill>
                    <a:latin typeface="+mn-lt"/>
                    <a:ea typeface="+mn-ea"/>
                    <a:cs typeface="+mn-cs"/>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'월간 HL'!$V$27:$V$32</c:f>
              <c:numCache>
                <c:formatCode>mm"월"</c:formatCode>
                <c:ptCount val="6"/>
                <c:pt idx="0">
                  <c:v>45292</c:v>
                </c:pt>
                <c:pt idx="1">
                  <c:v>45323</c:v>
                </c:pt>
                <c:pt idx="2">
                  <c:v>45352</c:v>
                </c:pt>
                <c:pt idx="3">
                  <c:v>45383</c:v>
                </c:pt>
                <c:pt idx="4">
                  <c:v>45413</c:v>
                </c:pt>
                <c:pt idx="5">
                  <c:v>45444</c:v>
                </c:pt>
              </c:numCache>
            </c:numRef>
          </c:cat>
          <c:val>
            <c:numRef>
              <c:f>'월간 HL'!$W$27:$W$32</c:f>
              <c:numCache>
                <c:formatCode>0_);[Red]\(0\)</c:formatCode>
                <c:ptCount val="6"/>
                <c:pt idx="0">
                  <c:v>11455</c:v>
                </c:pt>
                <c:pt idx="1">
                  <c:v>13180</c:v>
                </c:pt>
                <c:pt idx="2">
                  <c:v>15100</c:v>
                </c:pt>
                <c:pt idx="3">
                  <c:v>17840</c:v>
                </c:pt>
                <c:pt idx="4">
                  <c:v>19610</c:v>
                </c:pt>
                <c:pt idx="5">
                  <c:v>20421</c:v>
                </c:pt>
              </c:numCache>
            </c:numRef>
          </c:val>
          <c:smooth val="0"/>
          <c:extLst>
            <c:ext xmlns:c16="http://schemas.microsoft.com/office/drawing/2014/chart" uri="{C3380CC4-5D6E-409C-BE32-E72D297353CC}">
              <c16:uniqueId val="{00000000-2300-40B2-9B3E-052820AEFF37}"/>
            </c:ext>
          </c:extLst>
        </c:ser>
        <c:dLbls>
          <c:showLegendKey val="0"/>
          <c:showVal val="0"/>
          <c:showCatName val="0"/>
          <c:showSerName val="0"/>
          <c:showPercent val="0"/>
          <c:showBubbleSize val="0"/>
        </c:dLbls>
        <c:dropLines>
          <c:spPr>
            <a:ln w="9525" cap="flat" cmpd="sng" algn="ctr">
              <a:solidFill>
                <a:schemeClr val="dk1">
                  <a:lumMod val="35000"/>
                  <a:lumOff val="65000"/>
                  <a:alpha val="33000"/>
                </a:schemeClr>
              </a:solidFill>
              <a:round/>
            </a:ln>
            <a:effectLst/>
          </c:spPr>
        </c:dropLines>
        <c:smooth val="0"/>
        <c:axId val="1698308704"/>
        <c:axId val="1698306528"/>
      </c:lineChart>
      <c:dateAx>
        <c:axId val="1698308704"/>
        <c:scaling>
          <c:orientation val="minMax"/>
        </c:scaling>
        <c:delete val="0"/>
        <c:axPos val="b"/>
        <c:numFmt formatCode="mm&quot;월&quot;"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197"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6528"/>
        <c:crosses val="autoZero"/>
        <c:auto val="1"/>
        <c:lblOffset val="100"/>
        <c:baseTimeUnit val="months"/>
      </c:dateAx>
      <c:valAx>
        <c:axId val="1698306528"/>
        <c:scaling>
          <c:orientation val="minMax"/>
          <c:min val="10000"/>
        </c:scaling>
        <c:delete val="0"/>
        <c:axPos val="l"/>
        <c:numFmt formatCode="0_);[Red]\(0\)" sourceLinked="1"/>
        <c:majorTickMark val="none"/>
        <c:minorTickMark val="none"/>
        <c:tickLblPos val="nextTo"/>
        <c:spPr>
          <a:noFill/>
          <a:ln>
            <a:noFill/>
          </a:ln>
          <a:effectLst/>
        </c:spPr>
        <c:txPr>
          <a:bodyPr rot="-60000000" spcFirstLastPara="1" vertOverflow="ellipsis" vert="horz" wrap="square" anchor="ctr" anchorCtr="1"/>
          <a:lstStyle/>
          <a:p>
            <a:pPr>
              <a:defRPr sz="1050" b="0" i="0" u="none" strike="noStrike" kern="1200" spc="2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crossAx val="1698308704"/>
        <c:crosses val="autoZero"/>
        <c:crossBetween val="between"/>
      </c:valAx>
      <c:spPr>
        <a:gradFill>
          <a:gsLst>
            <a:gs pos="100000">
              <a:schemeClr val="lt1">
                <a:lumMod val="95000"/>
              </a:schemeClr>
            </a:gs>
            <a:gs pos="0">
              <a:schemeClr val="lt1"/>
            </a:gs>
          </a:gsLst>
          <a:lin ang="5400000" scaled="0"/>
        </a:gradFill>
        <a:ln>
          <a:noFill/>
        </a:ln>
        <a:effectLst/>
      </c:spPr>
    </c:plotArea>
    <c:legend>
      <c:legendPos val="b"/>
      <c:layout>
        <c:manualLayout>
          <c:xMode val="edge"/>
          <c:yMode val="edge"/>
          <c:x val="0.35826233159280441"/>
          <c:y val="0.89869956857401168"/>
          <c:w val="0.26715857495103268"/>
          <c:h val="6.401177257018494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dk1">
                  <a:lumMod val="65000"/>
                  <a:lumOff val="35000"/>
                </a:schemeClr>
              </a:solidFill>
              <a:latin typeface="Pretendard Light" panose="02000403000000020004" pitchFamily="2" charset="-127"/>
              <a:ea typeface="Pretendard Light" panose="02000403000000020004" pitchFamily="2" charset="-127"/>
              <a:cs typeface="Pretendard Light" panose="02000403000000020004" pitchFamily="2" charset="-127"/>
            </a:defRPr>
          </a:pPr>
          <a:endParaRPr lang="ko-KR"/>
        </a:p>
      </c:txPr>
    </c:legend>
    <c:plotVisOnly val="1"/>
    <c:dispBlanksAs val="zero"/>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'일간 팔로워'!$A$1</c:f>
          <c:strCache>
            <c:ptCount val="1"/>
            <c:pt idx="0">
              <c:v>6월 신규 팔로워 일자별 유입 지수</c:v>
            </c:pt>
          </c:strCache>
        </c:strRef>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2.6122741487349003E-2"/>
          <c:y val="0.13210355299238863"/>
          <c:w val="0.96067989923150177"/>
          <c:h val="0.69442246935529306"/>
        </c:manualLayout>
      </c:layout>
      <c:barChart>
        <c:barDir val="col"/>
        <c:grouping val="stacked"/>
        <c:varyColors val="0"/>
        <c:ser>
          <c:idx val="1"/>
          <c:order val="1"/>
          <c:tx>
            <c:strRef>
              <c:f>'일간 팔로워'!$C$3</c:f>
              <c:strCache>
                <c:ptCount val="1"/>
                <c:pt idx="0">
                  <c:v>Organic followers</c:v>
                </c:pt>
              </c:strCache>
            </c:strRef>
          </c:tx>
          <c:spPr>
            <a:solidFill>
              <a:srgbClr val="EE3712"/>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팔로워'!$C$4:$C$34</c:f>
              <c:numCache>
                <c:formatCode>General</c:formatCode>
                <c:ptCount val="31"/>
                <c:pt idx="0">
                  <c:v>7</c:v>
                </c:pt>
                <c:pt idx="1">
                  <c:v>11</c:v>
                </c:pt>
                <c:pt idx="2">
                  <c:v>29</c:v>
                </c:pt>
                <c:pt idx="3">
                  <c:v>22</c:v>
                </c:pt>
                <c:pt idx="4">
                  <c:v>17</c:v>
                </c:pt>
                <c:pt idx="5">
                  <c:v>12</c:v>
                </c:pt>
                <c:pt idx="6">
                  <c:v>11</c:v>
                </c:pt>
                <c:pt idx="7">
                  <c:v>11</c:v>
                </c:pt>
                <c:pt idx="8">
                  <c:v>10</c:v>
                </c:pt>
                <c:pt idx="9">
                  <c:v>11</c:v>
                </c:pt>
                <c:pt idx="10">
                  <c:v>14</c:v>
                </c:pt>
                <c:pt idx="11">
                  <c:v>18</c:v>
                </c:pt>
                <c:pt idx="12">
                  <c:v>33</c:v>
                </c:pt>
                <c:pt idx="13">
                  <c:v>32</c:v>
                </c:pt>
                <c:pt idx="14">
                  <c:v>11</c:v>
                </c:pt>
                <c:pt idx="15">
                  <c:v>11</c:v>
                </c:pt>
                <c:pt idx="16">
                  <c:v>11</c:v>
                </c:pt>
                <c:pt idx="17">
                  <c:v>27</c:v>
                </c:pt>
                <c:pt idx="18">
                  <c:v>12</c:v>
                </c:pt>
                <c:pt idx="19">
                  <c:v>20</c:v>
                </c:pt>
                <c:pt idx="20">
                  <c:v>21</c:v>
                </c:pt>
                <c:pt idx="21">
                  <c:v>7</c:v>
                </c:pt>
                <c:pt idx="22">
                  <c:v>10</c:v>
                </c:pt>
                <c:pt idx="23">
                  <c:v>25</c:v>
                </c:pt>
                <c:pt idx="24">
                  <c:v>22</c:v>
                </c:pt>
                <c:pt idx="25">
                  <c:v>17</c:v>
                </c:pt>
                <c:pt idx="26">
                  <c:v>80</c:v>
                </c:pt>
                <c:pt idx="27">
                  <c:v>34</c:v>
                </c:pt>
                <c:pt idx="28">
                  <c:v>29</c:v>
                </c:pt>
                <c:pt idx="29">
                  <c:v>25</c:v>
                </c:pt>
              </c:numCache>
            </c:numRef>
          </c:val>
          <c:extLst>
            <c:ext xmlns:c16="http://schemas.microsoft.com/office/drawing/2014/chart" uri="{C3380CC4-5D6E-409C-BE32-E72D297353CC}">
              <c16:uniqueId val="{00000001-F84D-4CD8-B294-2E29ADD60D4D}"/>
            </c:ext>
          </c:extLst>
        </c:ser>
        <c:ser>
          <c:idx val="2"/>
          <c:order val="2"/>
          <c:tx>
            <c:strRef>
              <c:f>'일간 팔로워'!$B$3</c:f>
              <c:strCache>
                <c:ptCount val="1"/>
                <c:pt idx="0">
                  <c:v>Sponsored followers</c:v>
                </c:pt>
              </c:strCache>
            </c:strRef>
          </c:tx>
          <c:spPr>
            <a:solidFill>
              <a:schemeClr val="accent5">
                <a:lumMod val="50000"/>
              </a:schemeClr>
            </a:solidFill>
            <a:ln>
              <a:noFill/>
            </a:ln>
            <a:effectLst/>
          </c:spPr>
          <c:invertIfNegative val="0"/>
          <c:cat>
            <c:strRef>
              <c:f>'일간 팔로워'!$E$4:$E$34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팔로워'!$B$4:$B$34</c:f>
              <c:numCache>
                <c:formatCode>General</c:formatCode>
                <c:ptCount val="31"/>
                <c:pt idx="0">
                  <c:v>0</c:v>
                </c:pt>
                <c:pt idx="1">
                  <c:v>0</c:v>
                </c:pt>
                <c:pt idx="2">
                  <c:v>56</c:v>
                </c:pt>
                <c:pt idx="3">
                  <c:v>0</c:v>
                </c:pt>
                <c:pt idx="4">
                  <c:v>0</c:v>
                </c:pt>
                <c:pt idx="5">
                  <c:v>0</c:v>
                </c:pt>
                <c:pt idx="6">
                  <c:v>0</c:v>
                </c:pt>
                <c:pt idx="7">
                  <c:v>0</c:v>
                </c:pt>
                <c:pt idx="8">
                  <c:v>0</c:v>
                </c:pt>
                <c:pt idx="9">
                  <c:v>0</c:v>
                </c:pt>
                <c:pt idx="10">
                  <c:v>0</c:v>
                </c:pt>
                <c:pt idx="11">
                  <c:v>0</c:v>
                </c:pt>
                <c:pt idx="12">
                  <c:v>43</c:v>
                </c:pt>
                <c:pt idx="13">
                  <c:v>50</c:v>
                </c:pt>
                <c:pt idx="14">
                  <c:v>11</c:v>
                </c:pt>
                <c:pt idx="15">
                  <c:v>12</c:v>
                </c:pt>
                <c:pt idx="16">
                  <c:v>7</c:v>
                </c:pt>
                <c:pt idx="17">
                  <c:v>0</c:v>
                </c:pt>
                <c:pt idx="18">
                  <c:v>0</c:v>
                </c:pt>
                <c:pt idx="19">
                  <c:v>0</c:v>
                </c:pt>
                <c:pt idx="20">
                  <c:v>0</c:v>
                </c:pt>
                <c:pt idx="21">
                  <c:v>0</c:v>
                </c:pt>
                <c:pt idx="22">
                  <c:v>0</c:v>
                </c:pt>
                <c:pt idx="23">
                  <c:v>0</c:v>
                </c:pt>
                <c:pt idx="24">
                  <c:v>0</c:v>
                </c:pt>
                <c:pt idx="25">
                  <c:v>20</c:v>
                </c:pt>
                <c:pt idx="26">
                  <c:v>60</c:v>
                </c:pt>
                <c:pt idx="27">
                  <c:v>0</c:v>
                </c:pt>
                <c:pt idx="28">
                  <c:v>0</c:v>
                </c:pt>
                <c:pt idx="29">
                  <c:v>0</c:v>
                </c:pt>
              </c:numCache>
            </c:numRef>
          </c:val>
          <c:extLst>
            <c:ext xmlns:c16="http://schemas.microsoft.com/office/drawing/2014/chart" uri="{C3380CC4-5D6E-409C-BE32-E72D297353CC}">
              <c16:uniqueId val="{00000002-F84D-4CD8-B294-2E29ADD60D4D}"/>
            </c:ext>
          </c:extLst>
        </c:ser>
        <c:dLbls>
          <c:showLegendKey val="0"/>
          <c:showVal val="0"/>
          <c:showCatName val="0"/>
          <c:showSerName val="0"/>
          <c:showPercent val="0"/>
          <c:showBubbleSize val="0"/>
        </c:dLbls>
        <c:gapWidth val="124"/>
        <c:overlap val="100"/>
        <c:axId val="511591072"/>
        <c:axId val="511592160"/>
        <c:extLst>
          <c:ext xmlns:c15="http://schemas.microsoft.com/office/drawing/2012/chart" uri="{02D57815-91ED-43cb-92C2-25804820EDAC}">
            <c15:filteredBarSeries>
              <c15:ser>
                <c:idx val="0"/>
                <c:order val="0"/>
                <c:tx>
                  <c:strRef>
                    <c:extLst>
                      <c:ext uri="{02D57815-91ED-43cb-92C2-25804820EDAC}">
                        <c15:formulaRef>
                          <c15:sqref>'일간 팔로워'!$A$3</c15:sqref>
                        </c15:formulaRef>
                      </c:ext>
                    </c:extLst>
                    <c:strCache>
                      <c:ptCount val="1"/>
                      <c:pt idx="0">
                        <c:v>날짜</c:v>
                      </c:pt>
                    </c:strCache>
                  </c:strRef>
                </c:tx>
                <c:spPr>
                  <a:solidFill>
                    <a:schemeClr val="accent1"/>
                  </a:solidFill>
                  <a:ln>
                    <a:noFill/>
                  </a:ln>
                  <a:effectLst/>
                </c:spPr>
                <c:invertIfNegative val="0"/>
                <c:cat>
                  <c:strRef>
                    <c:extLst>
                      <c:ext uri="{02D57815-91ED-43cb-92C2-25804820EDAC}">
                        <c15:formulaRef>
                          <c15:sqref>'일간 팔로워'!$E$4:$E$34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팔로워'!$A$4:$A$34</c15:sqref>
                        </c15:formulaRef>
                      </c:ext>
                    </c:extLst>
                    <c:numCache>
                      <c:formatCode>d</c:formatCode>
                      <c:ptCount val="3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numCache>
                  </c:numRef>
                </c:val>
                <c:extLst>
                  <c:ext xmlns:c16="http://schemas.microsoft.com/office/drawing/2014/chart" uri="{C3380CC4-5D6E-409C-BE32-E72D297353CC}">
                    <c16:uniqueId val="{00000000-F84D-4CD8-B294-2E29ADD60D4D}"/>
                  </c:ext>
                </c:extLst>
              </c15:ser>
            </c15:filteredBarSeries>
          </c:ext>
        </c:extLst>
      </c:barChart>
      <c:dateAx>
        <c:axId val="511591072"/>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2160"/>
        <c:crosses val="autoZero"/>
        <c:auto val="1"/>
        <c:lblOffset val="100"/>
        <c:baseTimeUnit val="days"/>
      </c:dateAx>
      <c:valAx>
        <c:axId val="511592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15910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Total Page Views </a:t>
            </a:r>
            <a:r>
              <a:rPr lang="en-US" altLang="ko-KR" sz="1200" u="sng"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rPr>
              <a:t>By desktop &amp; mobile  </a:t>
            </a:r>
            <a:endParaRPr lang="en-US" altLang="ko-KR" sz="1200" u="sng" cap="all" dirty="0">
              <a:solidFill>
                <a:schemeClr val="tx1">
                  <a:lumMod val="95000"/>
                  <a:lumOff val="5000"/>
                </a:schemeClr>
              </a:solidFill>
              <a:latin typeface="Pretendard" panose="02000503000000020004" pitchFamily="2" charset="-127"/>
              <a:ea typeface="Pretendard" panose="02000503000000020004" pitchFamily="2" charset="-127"/>
              <a:cs typeface="Pretendard" panose="02000503000000020004" pitchFamily="2" charset="-127"/>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2407505812932454E-2"/>
          <c:y val="0.12786472561941076"/>
          <c:w val="0.94959609176710402"/>
          <c:h val="0.66574305962593916"/>
        </c:manualLayout>
      </c:layout>
      <c:lineChart>
        <c:grouping val="standard"/>
        <c:varyColors val="0"/>
        <c:ser>
          <c:idx val="1"/>
          <c:order val="1"/>
          <c:tx>
            <c:strRef>
              <c:f>'일간 PV'!$B$3</c:f>
              <c:strCache>
                <c:ptCount val="1"/>
                <c:pt idx="0">
                  <c:v>Total page views (desktop)</c:v>
                </c:pt>
              </c:strCache>
            </c:strRef>
          </c:tx>
          <c:spPr>
            <a:ln w="28575" cap="rnd">
              <a:solidFill>
                <a:schemeClr val="accent5">
                  <a:lumMod val="50000"/>
                </a:schemeClr>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f>'일간 PV'!$A$4:$A$34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PV'!$B$4:$B$34</c:f>
              <c:numCache>
                <c:formatCode>General</c:formatCode>
                <c:ptCount val="31"/>
                <c:pt idx="0">
                  <c:v>52</c:v>
                </c:pt>
                <c:pt idx="1">
                  <c:v>85</c:v>
                </c:pt>
                <c:pt idx="2">
                  <c:v>33</c:v>
                </c:pt>
                <c:pt idx="3">
                  <c:v>53</c:v>
                </c:pt>
                <c:pt idx="4">
                  <c:v>56</c:v>
                </c:pt>
                <c:pt idx="5">
                  <c:v>13</c:v>
                </c:pt>
                <c:pt idx="6">
                  <c:v>10</c:v>
                </c:pt>
                <c:pt idx="7">
                  <c:v>69</c:v>
                </c:pt>
                <c:pt idx="8">
                  <c:v>120</c:v>
                </c:pt>
                <c:pt idx="9">
                  <c:v>64</c:v>
                </c:pt>
                <c:pt idx="10">
                  <c:v>51</c:v>
                </c:pt>
                <c:pt idx="11">
                  <c:v>63</c:v>
                </c:pt>
                <c:pt idx="12">
                  <c:v>7</c:v>
                </c:pt>
                <c:pt idx="13">
                  <c:v>25</c:v>
                </c:pt>
                <c:pt idx="14">
                  <c:v>33</c:v>
                </c:pt>
                <c:pt idx="15">
                  <c:v>49</c:v>
                </c:pt>
                <c:pt idx="16">
                  <c:v>98</c:v>
                </c:pt>
                <c:pt idx="17">
                  <c:v>47</c:v>
                </c:pt>
                <c:pt idx="18">
                  <c:v>30</c:v>
                </c:pt>
                <c:pt idx="19">
                  <c:v>7</c:v>
                </c:pt>
                <c:pt idx="20">
                  <c:v>7</c:v>
                </c:pt>
                <c:pt idx="21">
                  <c:v>59</c:v>
                </c:pt>
                <c:pt idx="22">
                  <c:v>76</c:v>
                </c:pt>
                <c:pt idx="23">
                  <c:v>123</c:v>
                </c:pt>
                <c:pt idx="24">
                  <c:v>75</c:v>
                </c:pt>
                <c:pt idx="25">
                  <c:v>33</c:v>
                </c:pt>
                <c:pt idx="26">
                  <c:v>4</c:v>
                </c:pt>
                <c:pt idx="27">
                  <c:v>5</c:v>
                </c:pt>
                <c:pt idx="28">
                  <c:v>24</c:v>
                </c:pt>
                <c:pt idx="29">
                  <c:v>74</c:v>
                </c:pt>
                <c:pt idx="30">
                  <c:v>0</c:v>
                </c:pt>
              </c:numCache>
            </c:numRef>
          </c:val>
          <c:smooth val="0"/>
          <c:extLst>
            <c:ext xmlns:c16="http://schemas.microsoft.com/office/drawing/2014/chart" uri="{C3380CC4-5D6E-409C-BE32-E72D297353CC}">
              <c16:uniqueId val="{00000001-920D-4D9B-B7AC-13B189C6993F}"/>
            </c:ext>
          </c:extLst>
        </c:ser>
        <c:ser>
          <c:idx val="2"/>
          <c:order val="2"/>
          <c:tx>
            <c:strRef>
              <c:f>'일간 PV'!$C$3</c:f>
              <c:strCache>
                <c:ptCount val="1"/>
                <c:pt idx="0">
                  <c:v>Total page views (mobile)</c:v>
                </c:pt>
              </c:strCache>
            </c:strRef>
          </c:tx>
          <c:spPr>
            <a:ln w="28575" cap="rnd">
              <a:solidFill>
                <a:srgbClr val="FF3300"/>
              </a:solidFill>
              <a:round/>
            </a:ln>
            <a:effectLst/>
          </c:spPr>
          <c:marker>
            <c:symbol val="circle"/>
            <c:size val="5"/>
            <c:spPr>
              <a:solidFill>
                <a:srgbClr val="FF3300"/>
              </a:solidFill>
              <a:ln w="9525">
                <a:solidFill>
                  <a:srgbClr val="FF3300"/>
                </a:solidFill>
              </a:ln>
              <a:effectLst/>
            </c:spPr>
          </c:marker>
          <c:cat>
            <c:strRef>
              <c:f>'일간 PV'!$A$4:$A$34</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'일간 PV'!$C$4:$C$34</c:f>
              <c:numCache>
                <c:formatCode>General</c:formatCode>
                <c:ptCount val="31"/>
                <c:pt idx="0">
                  <c:v>60</c:v>
                </c:pt>
                <c:pt idx="1">
                  <c:v>56</c:v>
                </c:pt>
                <c:pt idx="2">
                  <c:v>70</c:v>
                </c:pt>
                <c:pt idx="3">
                  <c:v>57</c:v>
                </c:pt>
                <c:pt idx="4">
                  <c:v>109</c:v>
                </c:pt>
                <c:pt idx="5">
                  <c:v>59</c:v>
                </c:pt>
                <c:pt idx="6">
                  <c:v>54</c:v>
                </c:pt>
                <c:pt idx="7">
                  <c:v>61</c:v>
                </c:pt>
                <c:pt idx="8">
                  <c:v>472</c:v>
                </c:pt>
                <c:pt idx="9">
                  <c:v>43</c:v>
                </c:pt>
                <c:pt idx="10">
                  <c:v>54</c:v>
                </c:pt>
                <c:pt idx="11">
                  <c:v>164</c:v>
                </c:pt>
                <c:pt idx="12">
                  <c:v>40</c:v>
                </c:pt>
                <c:pt idx="13">
                  <c:v>47</c:v>
                </c:pt>
                <c:pt idx="14">
                  <c:v>31</c:v>
                </c:pt>
                <c:pt idx="15">
                  <c:v>109</c:v>
                </c:pt>
                <c:pt idx="16">
                  <c:v>71</c:v>
                </c:pt>
                <c:pt idx="17">
                  <c:v>135</c:v>
                </c:pt>
                <c:pt idx="18">
                  <c:v>73</c:v>
                </c:pt>
                <c:pt idx="19">
                  <c:v>57</c:v>
                </c:pt>
                <c:pt idx="20">
                  <c:v>43</c:v>
                </c:pt>
                <c:pt idx="21">
                  <c:v>63</c:v>
                </c:pt>
                <c:pt idx="22">
                  <c:v>395</c:v>
                </c:pt>
                <c:pt idx="23">
                  <c:v>467</c:v>
                </c:pt>
                <c:pt idx="24">
                  <c:v>152</c:v>
                </c:pt>
                <c:pt idx="25">
                  <c:v>72</c:v>
                </c:pt>
                <c:pt idx="26">
                  <c:v>63</c:v>
                </c:pt>
                <c:pt idx="27">
                  <c:v>46</c:v>
                </c:pt>
                <c:pt idx="28">
                  <c:v>47</c:v>
                </c:pt>
                <c:pt idx="29">
                  <c:v>41</c:v>
                </c:pt>
                <c:pt idx="30">
                  <c:v>0</c:v>
                </c:pt>
              </c:numCache>
            </c:numRef>
          </c:val>
          <c:smooth val="0"/>
          <c:extLst>
            <c:ext xmlns:c16="http://schemas.microsoft.com/office/drawing/2014/chart" uri="{C3380CC4-5D6E-409C-BE32-E72D297353CC}">
              <c16:uniqueId val="{00000002-920D-4D9B-B7AC-13B189C6993F}"/>
            </c:ext>
          </c:extLst>
        </c:ser>
        <c:dLbls>
          <c:showLegendKey val="0"/>
          <c:showVal val="0"/>
          <c:showCatName val="0"/>
          <c:showSerName val="0"/>
          <c:showPercent val="0"/>
          <c:showBubbleSize val="0"/>
        </c:dLbls>
        <c:marker val="1"/>
        <c:smooth val="0"/>
        <c:axId val="519876704"/>
        <c:axId val="519877248"/>
        <c:extLst>
          <c:ext xmlns:c15="http://schemas.microsoft.com/office/drawing/2012/chart" uri="{02D57815-91ED-43cb-92C2-25804820EDAC}">
            <c15:filteredLineSeries>
              <c15:ser>
                <c:idx val="0"/>
                <c:order val="0"/>
                <c:tx>
                  <c:strRef>
                    <c:extLst>
                      <c:ext uri="{02D57815-91ED-43cb-92C2-25804820EDAC}">
                        <c15:formulaRef>
                          <c15:sqref>'일간 PV'!$A$3</c15:sqref>
                        </c15:formulaRef>
                      </c:ext>
                    </c:extLst>
                    <c:strCache>
                      <c:ptCount val="1"/>
                      <c:pt idx="0">
                        <c:v>날짜</c:v>
                      </c:pt>
                    </c:strCache>
                  </c:strRef>
                </c:tx>
                <c:spPr>
                  <a:ln w="28575" cap="rnd">
                    <a:solidFill>
                      <a:schemeClr val="accent1"/>
                    </a:solidFill>
                    <a:round/>
                  </a:ln>
                  <a:effectLst/>
                </c:spPr>
                <c:marker>
                  <c:symbol val="circle"/>
                  <c:size val="5"/>
                  <c:spPr>
                    <a:solidFill>
                      <a:schemeClr val="accent5">
                        <a:lumMod val="50000"/>
                      </a:schemeClr>
                    </a:solidFill>
                    <a:ln w="9525">
                      <a:solidFill>
                        <a:schemeClr val="accent5">
                          <a:lumMod val="50000"/>
                        </a:schemeClr>
                      </a:solidFill>
                    </a:ln>
                    <a:effectLst/>
                  </c:spPr>
                </c:marker>
                <c:cat>
                  <c:strRef>
                    <c:extLst>
                      <c:ext uri="{02D57815-91ED-43cb-92C2-25804820EDAC}">
                        <c15:formulaRef>
                          <c15:sqref>'일간 PV'!$A$4:$A$34</c15:sqref>
                        </c15:formulaRef>
                      </c:ext>
                    </c:extLst>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extLst>
                      <c:ext uri="{02D57815-91ED-43cb-92C2-25804820EDAC}">
                        <c15:formulaRef>
                          <c15:sqref>'일간 PV'!$A$4:$A$34</c15:sqref>
                        </c15:formulaRef>
                      </c:ext>
                    </c:extLst>
                    <c:numCache>
                      <c:formatCode>d</c:formatCode>
                      <c:ptCount val="31"/>
                      <c:pt idx="0">
                        <c:v>45383</c:v>
                      </c:pt>
                      <c:pt idx="1">
                        <c:v>45384</c:v>
                      </c:pt>
                      <c:pt idx="2">
                        <c:v>45385</c:v>
                      </c:pt>
                      <c:pt idx="3">
                        <c:v>45386</c:v>
                      </c:pt>
                      <c:pt idx="4">
                        <c:v>45387</c:v>
                      </c:pt>
                      <c:pt idx="5">
                        <c:v>45388</c:v>
                      </c:pt>
                      <c:pt idx="6">
                        <c:v>45389</c:v>
                      </c:pt>
                      <c:pt idx="7">
                        <c:v>45390</c:v>
                      </c:pt>
                      <c:pt idx="8">
                        <c:v>45391</c:v>
                      </c:pt>
                      <c:pt idx="9">
                        <c:v>45392</c:v>
                      </c:pt>
                      <c:pt idx="10">
                        <c:v>45393</c:v>
                      </c:pt>
                      <c:pt idx="11">
                        <c:v>45394</c:v>
                      </c:pt>
                      <c:pt idx="12">
                        <c:v>45395</c:v>
                      </c:pt>
                      <c:pt idx="13">
                        <c:v>45396</c:v>
                      </c:pt>
                      <c:pt idx="14">
                        <c:v>45397</c:v>
                      </c:pt>
                      <c:pt idx="15">
                        <c:v>45398</c:v>
                      </c:pt>
                      <c:pt idx="16">
                        <c:v>45399</c:v>
                      </c:pt>
                      <c:pt idx="17">
                        <c:v>45400</c:v>
                      </c:pt>
                      <c:pt idx="18">
                        <c:v>45401</c:v>
                      </c:pt>
                      <c:pt idx="19">
                        <c:v>45402</c:v>
                      </c:pt>
                      <c:pt idx="20">
                        <c:v>45403</c:v>
                      </c:pt>
                      <c:pt idx="21">
                        <c:v>45404</c:v>
                      </c:pt>
                      <c:pt idx="22">
                        <c:v>45405</c:v>
                      </c:pt>
                      <c:pt idx="23">
                        <c:v>45406</c:v>
                      </c:pt>
                      <c:pt idx="24">
                        <c:v>45407</c:v>
                      </c:pt>
                      <c:pt idx="25">
                        <c:v>45408</c:v>
                      </c:pt>
                      <c:pt idx="26">
                        <c:v>45409</c:v>
                      </c:pt>
                      <c:pt idx="27">
                        <c:v>45410</c:v>
                      </c:pt>
                      <c:pt idx="28">
                        <c:v>45411</c:v>
                      </c:pt>
                      <c:pt idx="29">
                        <c:v>45412</c:v>
                      </c:pt>
                      <c:pt idx="30">
                        <c:v>0</c:v>
                      </c:pt>
                    </c:numCache>
                  </c:numRef>
                </c:val>
                <c:smooth val="0"/>
                <c:extLst>
                  <c:ext xmlns:c16="http://schemas.microsoft.com/office/drawing/2014/chart" uri="{C3380CC4-5D6E-409C-BE32-E72D297353CC}">
                    <c16:uniqueId val="{00000000-920D-4D9B-B7AC-13B189C6993F}"/>
                  </c:ext>
                </c:extLst>
              </c15:ser>
            </c15:filteredLineSeries>
          </c:ext>
        </c:extLst>
      </c:lineChart>
      <c:dateAx>
        <c:axId val="519876704"/>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7248"/>
        <c:crosses val="autoZero"/>
        <c:auto val="1"/>
        <c:lblOffset val="100"/>
        <c:baseTimeUnit val="days"/>
      </c:dateAx>
      <c:valAx>
        <c:axId val="519877248"/>
        <c:scaling>
          <c:orientation val="minMax"/>
          <c:max val="3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519876704"/>
        <c:crosses val="autoZero"/>
        <c:crossBetween val="between"/>
        <c:majorUnit val="100"/>
      </c:valAx>
      <c:spPr>
        <a:noFill/>
        <a:ln w="25400">
          <a:noFill/>
        </a:ln>
        <a:effectLst/>
      </c:spPr>
    </c:plotArea>
    <c:legend>
      <c:legendPos val="t"/>
      <c:layout>
        <c:manualLayout>
          <c:xMode val="edge"/>
          <c:yMode val="edge"/>
          <c:x val="0.29438080519777671"/>
          <c:y val="0.12535094260651"/>
          <c:w val="0.41363781545780437"/>
          <c:h val="6.720538835807865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'월간 지표비교'!$G$1</c:f>
          <c:strCache>
            <c:ptCount val="1"/>
            <c:pt idx="0">
              <c:v>4〮5〮6 월 페이지 지표 비교</c:v>
            </c:pt>
          </c:strCache>
        </c:strRef>
      </c:tx>
      <c:layout>
        <c:manualLayout>
          <c:xMode val="edge"/>
          <c:yMode val="edge"/>
          <c:x val="0.84705192235318461"/>
          <c:y val="2.178283655411534E-2"/>
        </c:manualLayout>
      </c:layout>
      <c:overlay val="0"/>
      <c:spPr>
        <a:noFill/>
        <a:ln>
          <a:noFill/>
        </a:ln>
        <a:effectLst/>
      </c:spPr>
      <c:txPr>
        <a:bodyPr rot="0" spcFirstLastPara="1" vertOverflow="ellipsis" vert="horz" wrap="square" anchor="ctr" anchorCtr="1"/>
        <a:lstStyle/>
        <a:p>
          <a:pPr>
            <a:defRPr sz="1862"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manualLayout>
          <c:layoutTarget val="inner"/>
          <c:xMode val="edge"/>
          <c:yMode val="edge"/>
          <c:x val="9.8501346505437529E-2"/>
          <c:y val="0.1632077204674533"/>
          <c:w val="0.74284479876075082"/>
          <c:h val="0.64215361585160757"/>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지표비교'!$J$31:$M$31</c:f>
              <c:numCache>
                <c:formatCode>#,##0_ </c:formatCode>
                <c:ptCount val="4"/>
                <c:pt idx="0">
                  <c:v>1445</c:v>
                </c:pt>
                <c:pt idx="1">
                  <c:v>3211</c:v>
                </c:pt>
                <c:pt idx="2">
                  <c:v>4656</c:v>
                </c:pt>
                <c:pt idx="3">
                  <c:v>1760</c:v>
                </c:pt>
              </c:numCache>
            </c:numRef>
          </c:val>
          <c:extLst>
            <c:ext xmlns:c16="http://schemas.microsoft.com/office/drawing/2014/chart" uri="{C3380CC4-5D6E-409C-BE32-E72D297353CC}">
              <c16:uniqueId val="{00000000-9DF8-4F7D-BF4A-0AB71CDDAD50}"/>
            </c:ext>
          </c:extLst>
        </c:ser>
        <c:ser>
          <c:idx val="1"/>
          <c:order val="1"/>
          <c:tx>
            <c:strRef>
              <c:f>'월간 지표비교'!$I$32</c:f>
              <c:strCache>
                <c:ptCount val="1"/>
                <c:pt idx="0">
                  <c:v>5월</c:v>
                </c:pt>
              </c:strCache>
            </c:strRef>
          </c:tx>
          <c:spPr>
            <a:solidFill>
              <a:schemeClr val="accent2"/>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지표비교'!$J$32:$M$32</c:f>
              <c:numCache>
                <c:formatCode>#,##0_ </c:formatCode>
                <c:ptCount val="4"/>
                <c:pt idx="0">
                  <c:v>1272</c:v>
                </c:pt>
                <c:pt idx="1">
                  <c:v>2371</c:v>
                </c:pt>
                <c:pt idx="2">
                  <c:v>3643</c:v>
                </c:pt>
                <c:pt idx="3">
                  <c:v>1367</c:v>
                </c:pt>
              </c:numCache>
            </c:numRef>
          </c:val>
          <c:extLst>
            <c:ext xmlns:c16="http://schemas.microsoft.com/office/drawing/2014/chart" uri="{C3380CC4-5D6E-409C-BE32-E72D297353CC}">
              <c16:uniqueId val="{00000001-9DF8-4F7D-BF4A-0AB71CDDAD50}"/>
            </c:ext>
          </c:extLst>
        </c:ser>
        <c:ser>
          <c:idx val="2"/>
          <c:order val="2"/>
          <c:tx>
            <c:strRef>
              <c:f>'월간 지표비교'!$I$33</c:f>
              <c:strCache>
                <c:ptCount val="1"/>
                <c:pt idx="0">
                  <c:v>6월</c:v>
                </c:pt>
              </c:strCache>
            </c:strRef>
          </c:tx>
          <c:spPr>
            <a:solidFill>
              <a:schemeClr val="accent3"/>
            </a:solidFill>
            <a:ln>
              <a:noFill/>
            </a:ln>
            <a:effectLst/>
          </c:spPr>
          <c:invertIfNegative val="0"/>
          <c:cat>
            <c:strRef>
              <c:f>'월간 지표비교'!$J$30:$M$30</c:f>
              <c:strCache>
                <c:ptCount val="4"/>
                <c:pt idx="0">
                  <c:v>PC Page Views</c:v>
                </c:pt>
                <c:pt idx="1">
                  <c:v>Mobile Page Views</c:v>
                </c:pt>
                <c:pt idx="2">
                  <c:v>Total Page Views</c:v>
                </c:pt>
                <c:pt idx="3">
                  <c:v>Total Page Visitors</c:v>
                </c:pt>
              </c:strCache>
            </c:strRef>
          </c:cat>
          <c:val>
            <c:numRef>
              <c:f>'월간 지표비교'!$J$33:$M$33</c:f>
              <c:numCache>
                <c:formatCode>#,##0_ </c:formatCode>
                <c:ptCount val="4"/>
                <c:pt idx="0">
                  <c:v>1558</c:v>
                </c:pt>
                <c:pt idx="1">
                  <c:v>1740</c:v>
                </c:pt>
                <c:pt idx="2">
                  <c:v>3298</c:v>
                </c:pt>
                <c:pt idx="3">
                  <c:v>1353</c:v>
                </c:pt>
              </c:numCache>
            </c:numRef>
          </c:val>
          <c:extLst>
            <c:ext xmlns:c16="http://schemas.microsoft.com/office/drawing/2014/chart" uri="{C3380CC4-5D6E-409C-BE32-E72D297353CC}">
              <c16:uniqueId val="{00000002-9DF8-4F7D-BF4A-0AB71CDDAD50}"/>
            </c:ext>
          </c:extLst>
        </c:ser>
        <c:dLbls>
          <c:showLegendKey val="0"/>
          <c:showVal val="0"/>
          <c:showCatName val="0"/>
          <c:showSerName val="0"/>
          <c:showPercent val="0"/>
          <c:showBubbleSize val="0"/>
        </c:dLbls>
        <c:gapWidth val="150"/>
        <c:axId val="2099454352"/>
        <c:axId val="2099452720"/>
      </c:barChart>
      <c:catAx>
        <c:axId val="209945435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2720"/>
        <c:crosses val="autoZero"/>
        <c:auto val="1"/>
        <c:lblAlgn val="ctr"/>
        <c:lblOffset val="100"/>
        <c:noMultiLvlLbl val="0"/>
      </c:catAx>
      <c:valAx>
        <c:axId val="2099452720"/>
        <c:scaling>
          <c:orientation val="minMax"/>
          <c:min val="500"/>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4352"/>
        <c:crosses val="autoZero"/>
        <c:crossBetween val="between"/>
      </c:valAx>
      <c:spPr>
        <a:noFill/>
        <a:ln>
          <a:noFill/>
        </a:ln>
        <a:effectLst/>
      </c:spPr>
    </c:plotArea>
    <c:legend>
      <c:legendPos val="b"/>
      <c:layout>
        <c:manualLayout>
          <c:xMode val="edge"/>
          <c:yMode val="edge"/>
          <c:x val="0"/>
          <c:y val="1.9744709156429296E-2"/>
          <c:w val="0.21224223009027882"/>
          <c:h val="7.9452631227981116E-2"/>
        </c:manualLayout>
      </c:layout>
      <c:overlay val="0"/>
      <c:spPr>
        <a:noFill/>
        <a:ln>
          <a:noFill/>
        </a:ln>
        <a:effectLst/>
      </c:spPr>
      <c:txPr>
        <a:bodyPr rot="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legend>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31397191847713"/>
          <c:y val="0.13734607040583857"/>
          <c:w val="0.70011367093066068"/>
          <c:h val="0.68422782379426383"/>
        </c:manualLayout>
      </c:layout>
      <c:barChart>
        <c:barDir val="col"/>
        <c:grouping val="clustered"/>
        <c:varyColors val="0"/>
        <c:ser>
          <c:idx val="0"/>
          <c:order val="0"/>
          <c:tx>
            <c:strRef>
              <c:f>'월간 지표비교'!$I$31</c:f>
              <c:strCache>
                <c:ptCount val="1"/>
                <c:pt idx="0">
                  <c:v>4월</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'월간 지표비교'!$N$30</c:f>
              <c:strCache>
                <c:ptCount val="1"/>
                <c:pt idx="0">
                  <c:v>콘텐츠 게재 건 수</c:v>
                </c:pt>
              </c:strCache>
            </c:strRef>
          </c:cat>
          <c:val>
            <c:numRef>
              <c:f>'월간 지표비교'!$N$31</c:f>
              <c:numCache>
                <c:formatCode>#,##0_ </c:formatCode>
                <c:ptCount val="1"/>
                <c:pt idx="0">
                  <c:v>11</c:v>
                </c:pt>
              </c:numCache>
            </c:numRef>
          </c:val>
          <c:extLst>
            <c:ext xmlns:c16="http://schemas.microsoft.com/office/drawing/2014/chart" uri="{C3380CC4-5D6E-409C-BE32-E72D297353CC}">
              <c16:uniqueId val="{00000001-7021-4E99-B339-8ED35D878AF2}"/>
            </c:ext>
          </c:extLst>
        </c:ser>
        <c:ser>
          <c:idx val="1"/>
          <c:order val="1"/>
          <c:tx>
            <c:strRef>
              <c:f>'월간 지표비교'!$I$32</c:f>
              <c:strCache>
                <c:ptCount val="1"/>
                <c:pt idx="0">
                  <c:v>5월</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지표비교'!$N$32</c:f>
              <c:numCache>
                <c:formatCode>#,##0_ </c:formatCode>
                <c:ptCount val="1"/>
                <c:pt idx="0">
                  <c:v>13</c:v>
                </c:pt>
              </c:numCache>
            </c:numRef>
          </c:val>
          <c:extLst>
            <c:ext xmlns:c16="http://schemas.microsoft.com/office/drawing/2014/chart" uri="{C3380CC4-5D6E-409C-BE32-E72D297353CC}">
              <c16:uniqueId val="{00000007-7021-4E99-B339-8ED35D878AF2}"/>
            </c:ext>
          </c:extLst>
        </c:ser>
        <c:ser>
          <c:idx val="2"/>
          <c:order val="2"/>
          <c:tx>
            <c:strRef>
              <c:f>'월간 지표비교'!$I$33</c:f>
              <c:strCache>
                <c:ptCount val="1"/>
                <c:pt idx="0">
                  <c:v>6월</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mn-lt"/>
                    <a:ea typeface="+mn-ea"/>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'월간 지표비교'!$N$30</c:f>
              <c:strCache>
                <c:ptCount val="1"/>
                <c:pt idx="0">
                  <c:v>콘텐츠 게재 건 수</c:v>
                </c:pt>
              </c:strCache>
            </c:strRef>
          </c:cat>
          <c:val>
            <c:numRef>
              <c:f>'월간 지표비교'!$N$33</c:f>
              <c:numCache>
                <c:formatCode>#,##0_ </c:formatCode>
                <c:ptCount val="1"/>
                <c:pt idx="0">
                  <c:v>12</c:v>
                </c:pt>
              </c:numCache>
            </c:numRef>
          </c:val>
          <c:extLst>
            <c:ext xmlns:c16="http://schemas.microsoft.com/office/drawing/2014/chart" uri="{C3380CC4-5D6E-409C-BE32-E72D297353CC}">
              <c16:uniqueId val="{00000008-7021-4E99-B339-8ED35D878AF2}"/>
            </c:ext>
          </c:extLst>
        </c:ser>
        <c:dLbls>
          <c:dLblPos val="outEnd"/>
          <c:showLegendKey val="0"/>
          <c:showVal val="1"/>
          <c:showCatName val="0"/>
          <c:showSerName val="0"/>
          <c:showPercent val="0"/>
          <c:showBubbleSize val="0"/>
        </c:dLbls>
        <c:gapWidth val="150"/>
        <c:axId val="2099453264"/>
        <c:axId val="2099453808"/>
      </c:barChart>
      <c:catAx>
        <c:axId val="2099453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808"/>
        <c:crosses val="autoZero"/>
        <c:auto val="1"/>
        <c:lblAlgn val="ctr"/>
        <c:lblOffset val="100"/>
        <c:noMultiLvlLbl val="0"/>
      </c:catAx>
      <c:valAx>
        <c:axId val="2099453808"/>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1197" b="0" i="0" u="none" strike="noStrike" kern="1200" baseline="0">
                <a:solidFill>
                  <a:schemeClr val="tx1">
                    <a:lumMod val="65000"/>
                    <a:lumOff val="35000"/>
                  </a:schemeClr>
                </a:solidFill>
                <a:latin typeface="Pretendard" panose="02000503000000020004" pitchFamily="2" charset="-127"/>
                <a:ea typeface="Pretendard" panose="02000503000000020004" pitchFamily="2" charset="-127"/>
                <a:cs typeface="Pretendard" panose="02000503000000020004" pitchFamily="2" charset="-127"/>
              </a:defRPr>
            </a:pPr>
            <a:endParaRPr lang="ko-KR"/>
          </a:p>
        </c:txPr>
        <c:crossAx val="2099453264"/>
        <c:crosses val="autoZero"/>
        <c:crossBetween val="between"/>
      </c:valAx>
      <c:spPr>
        <a:noFill/>
        <a:ln>
          <a:noFill/>
        </a:ln>
        <a:effectLst/>
      </c:spPr>
    </c:plotArea>
    <c:plotVisOnly val="1"/>
    <c:dispBlanksAs val="gap"/>
    <c:showDLblsOverMax val="0"/>
  </c:chart>
  <c:spPr>
    <a:solidFill>
      <a:schemeClr val="bg1">
        <a:lumMod val="95000"/>
      </a:schemeClr>
    </a:solidFill>
    <a:ln w="9525" cap="flat" cmpd="sng" algn="ctr">
      <a:noFill/>
      <a:round/>
    </a:ln>
    <a:effectLst/>
  </c:spPr>
  <c:txPr>
    <a:bodyPr/>
    <a:lstStyle/>
    <a:p>
      <a:pPr>
        <a:defRPr/>
      </a:pPr>
      <a:endParaRPr lang="ko-K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tLang="ko-KR"/>
              <a:t>PC</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'PC PV 월별 비교'!$C$3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비교'!$E$5:$E$41</c:f>
              <c:numCache>
                <c:formatCode>General</c:formatCode>
                <c:ptCount val="37"/>
                <c:pt idx="0">
                  <c:v>#N/A</c:v>
                </c:pt>
                <c:pt idx="1">
                  <c:v>#N/A</c:v>
                </c:pt>
                <c:pt idx="2">
                  <c:v>#N/A</c:v>
                </c:pt>
                <c:pt idx="3">
                  <c:v>#N/A</c:v>
                </c:pt>
                <c:pt idx="4">
                  <c:v>52</c:v>
                </c:pt>
                <c:pt idx="5">
                  <c:v>85</c:v>
                </c:pt>
                <c:pt idx="6">
                  <c:v>33</c:v>
                </c:pt>
                <c:pt idx="7">
                  <c:v>53</c:v>
                </c:pt>
                <c:pt idx="8">
                  <c:v>56</c:v>
                </c:pt>
                <c:pt idx="9">
                  <c:v>13</c:v>
                </c:pt>
                <c:pt idx="10">
                  <c:v>10</c:v>
                </c:pt>
                <c:pt idx="11">
                  <c:v>69</c:v>
                </c:pt>
                <c:pt idx="12">
                  <c:v>120</c:v>
                </c:pt>
                <c:pt idx="13">
                  <c:v>64</c:v>
                </c:pt>
                <c:pt idx="14">
                  <c:v>51</c:v>
                </c:pt>
                <c:pt idx="15">
                  <c:v>63</c:v>
                </c:pt>
                <c:pt idx="16">
                  <c:v>7</c:v>
                </c:pt>
                <c:pt idx="17">
                  <c:v>25</c:v>
                </c:pt>
                <c:pt idx="18">
                  <c:v>33</c:v>
                </c:pt>
                <c:pt idx="19">
                  <c:v>49</c:v>
                </c:pt>
                <c:pt idx="20">
                  <c:v>98</c:v>
                </c:pt>
                <c:pt idx="21">
                  <c:v>47</c:v>
                </c:pt>
                <c:pt idx="22">
                  <c:v>30</c:v>
                </c:pt>
                <c:pt idx="23">
                  <c:v>7</c:v>
                </c:pt>
                <c:pt idx="24">
                  <c:v>7</c:v>
                </c:pt>
                <c:pt idx="25">
                  <c:v>59</c:v>
                </c:pt>
                <c:pt idx="26">
                  <c:v>76</c:v>
                </c:pt>
                <c:pt idx="27">
                  <c:v>123</c:v>
                </c:pt>
                <c:pt idx="28">
                  <c:v>75</c:v>
                </c:pt>
                <c:pt idx="29">
                  <c:v>33</c:v>
                </c:pt>
                <c:pt idx="30">
                  <c:v>4</c:v>
                </c:pt>
                <c:pt idx="31">
                  <c:v>5</c:v>
                </c:pt>
                <c:pt idx="32">
                  <c:v>24</c:v>
                </c:pt>
                <c:pt idx="33">
                  <c:v>74</c:v>
                </c:pt>
                <c:pt idx="34">
                  <c:v>#N/A</c:v>
                </c:pt>
                <c:pt idx="35">
                  <c:v>#N/A</c:v>
                </c:pt>
                <c:pt idx="36">
                  <c:v>#N/A</c:v>
                </c:pt>
              </c:numCache>
            </c:numRef>
          </c:val>
          <c:smooth val="0"/>
          <c:extLst>
            <c:ext xmlns:c16="http://schemas.microsoft.com/office/drawing/2014/chart" uri="{C3380CC4-5D6E-409C-BE32-E72D297353CC}">
              <c16:uniqueId val="{00000000-99DF-4F94-A23A-9D686F375F73}"/>
            </c:ext>
          </c:extLst>
        </c:ser>
        <c:ser>
          <c:idx val="5"/>
          <c:order val="5"/>
          <c:tx>
            <c:strRef>
              <c:f>'PC PV 월별 비교'!$F$3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비교'!$H$5:$H$41</c:f>
              <c:numCache>
                <c:formatCode>General</c:formatCode>
                <c:ptCount val="37"/>
                <c:pt idx="0">
                  <c:v>#N/A</c:v>
                </c:pt>
                <c:pt idx="1">
                  <c:v>#N/A</c:v>
                </c:pt>
                <c:pt idx="2">
                  <c:v>#N/A</c:v>
                </c:pt>
                <c:pt idx="3">
                  <c:v>#N/A</c:v>
                </c:pt>
                <c:pt idx="4">
                  <c:v>#N/A</c:v>
                </c:pt>
                <c:pt idx="5">
                  <c:v>#N/A</c:v>
                </c:pt>
                <c:pt idx="6">
                  <c:v>24</c:v>
                </c:pt>
                <c:pt idx="7">
                  <c:v>41</c:v>
                </c:pt>
                <c:pt idx="8">
                  <c:v>38</c:v>
                </c:pt>
                <c:pt idx="9">
                  <c:v>11</c:v>
                </c:pt>
                <c:pt idx="10">
                  <c:v>10</c:v>
                </c:pt>
                <c:pt idx="11">
                  <c:v>21</c:v>
                </c:pt>
                <c:pt idx="12">
                  <c:v>107</c:v>
                </c:pt>
                <c:pt idx="13">
                  <c:v>41</c:v>
                </c:pt>
                <c:pt idx="14">
                  <c:v>68</c:v>
                </c:pt>
                <c:pt idx="15">
                  <c:v>52</c:v>
                </c:pt>
                <c:pt idx="16">
                  <c:v>22</c:v>
                </c:pt>
                <c:pt idx="17">
                  <c:v>3</c:v>
                </c:pt>
                <c:pt idx="18">
                  <c:v>39</c:v>
                </c:pt>
                <c:pt idx="19">
                  <c:v>32</c:v>
                </c:pt>
                <c:pt idx="20">
                  <c:v>16</c:v>
                </c:pt>
                <c:pt idx="21">
                  <c:v>86</c:v>
                </c:pt>
                <c:pt idx="22">
                  <c:v>37</c:v>
                </c:pt>
                <c:pt idx="23">
                  <c:v>2</c:v>
                </c:pt>
                <c:pt idx="24">
                  <c:v>2</c:v>
                </c:pt>
                <c:pt idx="25">
                  <c:v>35</c:v>
                </c:pt>
                <c:pt idx="26">
                  <c:v>71</c:v>
                </c:pt>
                <c:pt idx="27">
                  <c:v>59</c:v>
                </c:pt>
                <c:pt idx="28">
                  <c:v>88</c:v>
                </c:pt>
                <c:pt idx="29">
                  <c:v>69</c:v>
                </c:pt>
                <c:pt idx="30">
                  <c:v>11</c:v>
                </c:pt>
                <c:pt idx="31">
                  <c:v>5</c:v>
                </c:pt>
                <c:pt idx="32">
                  <c:v>39</c:v>
                </c:pt>
                <c:pt idx="33">
                  <c:v>70</c:v>
                </c:pt>
                <c:pt idx="34">
                  <c:v>49</c:v>
                </c:pt>
                <c:pt idx="35">
                  <c:v>73</c:v>
                </c:pt>
                <c:pt idx="36">
                  <c:v>51</c:v>
                </c:pt>
              </c:numCache>
            </c:numRef>
          </c:val>
          <c:smooth val="0"/>
          <c:extLst>
            <c:ext xmlns:c16="http://schemas.microsoft.com/office/drawing/2014/chart" uri="{C3380CC4-5D6E-409C-BE32-E72D297353CC}">
              <c16:uniqueId val="{00000001-99DF-4F94-A23A-9D686F375F73}"/>
            </c:ext>
          </c:extLst>
        </c:ser>
        <c:ser>
          <c:idx val="8"/>
          <c:order val="8"/>
          <c:tx>
            <c:strRef>
              <c:f>'PC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'PC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'PC PV 월별 비교'!$K$5:$K$41</c:f>
              <c:numCache>
                <c:formatCode>General</c:formatCode>
                <c:ptCount val="37"/>
                <c:pt idx="0">
                  <c:v>#N/A</c:v>
                </c:pt>
                <c:pt idx="1">
                  <c:v>#N/A</c:v>
                </c:pt>
                <c:pt idx="2">
                  <c:v>8</c:v>
                </c:pt>
                <c:pt idx="3">
                  <c:v>12</c:v>
                </c:pt>
                <c:pt idx="4">
                  <c:v>77</c:v>
                </c:pt>
                <c:pt idx="5">
                  <c:v>60</c:v>
                </c:pt>
                <c:pt idx="6">
                  <c:v>61</c:v>
                </c:pt>
                <c:pt idx="7">
                  <c:v>22</c:v>
                </c:pt>
                <c:pt idx="8">
                  <c:v>9</c:v>
                </c:pt>
                <c:pt idx="9">
                  <c:v>7</c:v>
                </c:pt>
                <c:pt idx="10">
                  <c:v>3</c:v>
                </c:pt>
                <c:pt idx="11">
                  <c:v>128</c:v>
                </c:pt>
                <c:pt idx="12">
                  <c:v>69</c:v>
                </c:pt>
                <c:pt idx="13">
                  <c:v>39</c:v>
                </c:pt>
                <c:pt idx="14">
                  <c:v>43</c:v>
                </c:pt>
                <c:pt idx="15">
                  <c:v>50</c:v>
                </c:pt>
                <c:pt idx="16">
                  <c:v>5</c:v>
                </c:pt>
                <c:pt idx="17">
                  <c:v>9</c:v>
                </c:pt>
                <c:pt idx="18">
                  <c:v>33</c:v>
                </c:pt>
                <c:pt idx="19">
                  <c:v>85</c:v>
                </c:pt>
                <c:pt idx="20">
                  <c:v>97</c:v>
                </c:pt>
                <c:pt idx="21">
                  <c:v>55</c:v>
                </c:pt>
                <c:pt idx="22">
                  <c:v>37</c:v>
                </c:pt>
                <c:pt idx="23">
                  <c:v>7</c:v>
                </c:pt>
                <c:pt idx="24">
                  <c:v>14</c:v>
                </c:pt>
                <c:pt idx="25">
                  <c:v>124</c:v>
                </c:pt>
                <c:pt idx="26">
                  <c:v>102</c:v>
                </c:pt>
                <c:pt idx="27">
                  <c:v>58</c:v>
                </c:pt>
                <c:pt idx="28">
                  <c:v>209</c:v>
                </c:pt>
                <c:pt idx="29">
                  <c:v>111</c:v>
                </c:pt>
                <c:pt idx="30">
                  <c:v>10</c:v>
                </c:pt>
                <c:pt idx="31">
                  <c:v>14</c:v>
                </c:pt>
                <c:pt idx="32">
                  <c:v>#N/A</c:v>
                </c:pt>
                <c:pt idx="33">
                  <c:v>#N/A</c:v>
                </c:pt>
                <c:pt idx="34">
                  <c:v>#N/A</c:v>
                </c:pt>
                <c:pt idx="35">
                  <c:v>#N/A</c:v>
                </c:pt>
                <c:pt idx="36">
                  <c:v>#N/A</c:v>
                </c:pt>
              </c:numCache>
            </c:numRef>
          </c:val>
          <c:smooth val="0"/>
          <c:extLst>
            <c:ext xmlns:c16="http://schemas.microsoft.com/office/drawing/2014/chart" uri="{C3380CC4-5D6E-409C-BE32-E72D297353CC}">
              <c16:uniqueId val="{00000002-99DF-4F94-A23A-9D686F375F73}"/>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'PC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'PC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99DF-4F94-A23A-9D686F375F73}"/>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'PC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99DF-4F94-A23A-9D686F375F73}"/>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'PC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99DF-4F94-A23A-9D686F375F73}"/>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'PC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99DF-4F94-A23A-9D686F375F73}"/>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'PC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99DF-4F94-A23A-9D686F375F73}"/>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'PC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'PC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'PC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99DF-4F94-A23A-9D686F375F73}"/>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ko-KR" altLang="en-US"/>
              <a:t>모바일</a:t>
            </a:r>
            <a:r>
              <a:rPr lang="en-US" altLang="ko-KR" baseline="0"/>
              <a:t> </a:t>
            </a:r>
            <a:r>
              <a:rPr lang="ko-KR" altLang="en-US" baseline="0"/>
              <a:t>페이지 </a:t>
            </a:r>
            <a:r>
              <a:rPr lang="en-US" altLang="ko-KR" baseline="0"/>
              <a:t>view </a:t>
            </a:r>
            <a:r>
              <a:rPr lang="ko-KR" altLang="en-US" baseline="0"/>
              <a:t>수 비교</a:t>
            </a:r>
            <a:endParaRPr lang="ko-KR" alt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lineChart>
        <c:grouping val="standard"/>
        <c:varyColors val="0"/>
        <c:ser>
          <c:idx val="2"/>
          <c:order val="2"/>
          <c:tx>
            <c:strRef>
              <c:f>'모바일 PV 월별 비교'!$C$3:$E$3</c:f>
              <c:strCache>
                <c:ptCount val="1"/>
                <c:pt idx="0">
                  <c:v>4월</c:v>
                </c:pt>
              </c:strCache>
            </c:strRef>
          </c:tx>
          <c:spPr>
            <a:ln w="28575" cap="rnd">
              <a:solidFill>
                <a:srgbClr val="00B0F0"/>
              </a:solidFill>
              <a:round/>
            </a:ln>
            <a:effectLst/>
          </c:spPr>
          <c:marker>
            <c:symbol val="circle"/>
            <c:size val="5"/>
            <c:spPr>
              <a:solidFill>
                <a:srgbClr val="00B0F0"/>
              </a:solidFill>
              <a:ln w="9525">
                <a:solidFill>
                  <a:schemeClr val="accent3"/>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비교'!$E$5:$E$41</c:f>
              <c:numCache>
                <c:formatCode>General</c:formatCode>
                <c:ptCount val="37"/>
                <c:pt idx="0">
                  <c:v>#N/A</c:v>
                </c:pt>
                <c:pt idx="1">
                  <c:v>#N/A</c:v>
                </c:pt>
                <c:pt idx="2">
                  <c:v>#N/A</c:v>
                </c:pt>
                <c:pt idx="3">
                  <c:v>#N/A</c:v>
                </c:pt>
                <c:pt idx="4">
                  <c:v>60</c:v>
                </c:pt>
                <c:pt idx="5">
                  <c:v>56</c:v>
                </c:pt>
                <c:pt idx="6">
                  <c:v>70</c:v>
                </c:pt>
                <c:pt idx="7">
                  <c:v>57</c:v>
                </c:pt>
                <c:pt idx="8">
                  <c:v>109</c:v>
                </c:pt>
                <c:pt idx="9">
                  <c:v>59</c:v>
                </c:pt>
                <c:pt idx="10">
                  <c:v>54</c:v>
                </c:pt>
                <c:pt idx="11">
                  <c:v>61</c:v>
                </c:pt>
                <c:pt idx="12">
                  <c:v>472</c:v>
                </c:pt>
                <c:pt idx="13">
                  <c:v>43</c:v>
                </c:pt>
                <c:pt idx="14">
                  <c:v>54</c:v>
                </c:pt>
                <c:pt idx="15">
                  <c:v>164</c:v>
                </c:pt>
                <c:pt idx="16">
                  <c:v>40</c:v>
                </c:pt>
                <c:pt idx="17">
                  <c:v>47</c:v>
                </c:pt>
                <c:pt idx="18">
                  <c:v>31</c:v>
                </c:pt>
                <c:pt idx="19">
                  <c:v>109</c:v>
                </c:pt>
                <c:pt idx="20">
                  <c:v>71</c:v>
                </c:pt>
                <c:pt idx="21">
                  <c:v>135</c:v>
                </c:pt>
                <c:pt idx="22">
                  <c:v>73</c:v>
                </c:pt>
                <c:pt idx="23">
                  <c:v>57</c:v>
                </c:pt>
                <c:pt idx="24">
                  <c:v>43</c:v>
                </c:pt>
                <c:pt idx="25">
                  <c:v>63</c:v>
                </c:pt>
                <c:pt idx="26">
                  <c:v>395</c:v>
                </c:pt>
                <c:pt idx="27">
                  <c:v>467</c:v>
                </c:pt>
                <c:pt idx="28">
                  <c:v>152</c:v>
                </c:pt>
                <c:pt idx="29">
                  <c:v>72</c:v>
                </c:pt>
                <c:pt idx="30">
                  <c:v>63</c:v>
                </c:pt>
                <c:pt idx="31">
                  <c:v>46</c:v>
                </c:pt>
                <c:pt idx="32">
                  <c:v>47</c:v>
                </c:pt>
                <c:pt idx="33">
                  <c:v>41</c:v>
                </c:pt>
                <c:pt idx="34">
                  <c:v>#N/A</c:v>
                </c:pt>
                <c:pt idx="35">
                  <c:v>#N/A</c:v>
                </c:pt>
                <c:pt idx="36">
                  <c:v>#N/A</c:v>
                </c:pt>
              </c:numCache>
            </c:numRef>
          </c:val>
          <c:smooth val="0"/>
          <c:extLst>
            <c:ext xmlns:c16="http://schemas.microsoft.com/office/drawing/2014/chart" uri="{C3380CC4-5D6E-409C-BE32-E72D297353CC}">
              <c16:uniqueId val="{00000000-237B-42A0-943B-F9EEBF7BE9BE}"/>
            </c:ext>
          </c:extLst>
        </c:ser>
        <c:ser>
          <c:idx val="5"/>
          <c:order val="5"/>
          <c:tx>
            <c:strRef>
              <c:f>'모바일 PV 월별 비교'!$F$3:$H$3</c:f>
              <c:strCache>
                <c:ptCount val="1"/>
                <c:pt idx="0">
                  <c:v>5월</c:v>
                </c:pt>
              </c:strCache>
            </c:strRef>
          </c:tx>
          <c:spPr>
            <a:ln w="28575" cap="rnd">
              <a:solidFill>
                <a:srgbClr val="0070C0"/>
              </a:solidFill>
              <a:round/>
            </a:ln>
            <a:effectLst/>
          </c:spPr>
          <c:marker>
            <c:symbol val="circle"/>
            <c:size val="5"/>
            <c:spPr>
              <a:solidFill>
                <a:srgbClr val="0070C0"/>
              </a:solidFill>
              <a:ln w="9525">
                <a:solidFill>
                  <a:schemeClr val="bg1">
                    <a:lumMod val="5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비교'!$H$5:$H$41</c:f>
              <c:numCache>
                <c:formatCode>General</c:formatCode>
                <c:ptCount val="37"/>
                <c:pt idx="0">
                  <c:v>#N/A</c:v>
                </c:pt>
                <c:pt idx="1">
                  <c:v>#N/A</c:v>
                </c:pt>
                <c:pt idx="2">
                  <c:v>#N/A</c:v>
                </c:pt>
                <c:pt idx="3">
                  <c:v>#N/A</c:v>
                </c:pt>
                <c:pt idx="4">
                  <c:v>#N/A</c:v>
                </c:pt>
                <c:pt idx="5">
                  <c:v>#N/A</c:v>
                </c:pt>
                <c:pt idx="6">
                  <c:v>75</c:v>
                </c:pt>
                <c:pt idx="7">
                  <c:v>39</c:v>
                </c:pt>
                <c:pt idx="8">
                  <c:v>94</c:v>
                </c:pt>
                <c:pt idx="9">
                  <c:v>39</c:v>
                </c:pt>
                <c:pt idx="10">
                  <c:v>28</c:v>
                </c:pt>
                <c:pt idx="11">
                  <c:v>20</c:v>
                </c:pt>
                <c:pt idx="12">
                  <c:v>479</c:v>
                </c:pt>
                <c:pt idx="13">
                  <c:v>169</c:v>
                </c:pt>
                <c:pt idx="14">
                  <c:v>323</c:v>
                </c:pt>
                <c:pt idx="15">
                  <c:v>36</c:v>
                </c:pt>
                <c:pt idx="16">
                  <c:v>16</c:v>
                </c:pt>
                <c:pt idx="17">
                  <c:v>33</c:v>
                </c:pt>
                <c:pt idx="18">
                  <c:v>66</c:v>
                </c:pt>
                <c:pt idx="19">
                  <c:v>52</c:v>
                </c:pt>
                <c:pt idx="20">
                  <c:v>33</c:v>
                </c:pt>
                <c:pt idx="21">
                  <c:v>155</c:v>
                </c:pt>
                <c:pt idx="22">
                  <c:v>28</c:v>
                </c:pt>
                <c:pt idx="23">
                  <c:v>28</c:v>
                </c:pt>
                <c:pt idx="24">
                  <c:v>52</c:v>
                </c:pt>
                <c:pt idx="25">
                  <c:v>64</c:v>
                </c:pt>
                <c:pt idx="26">
                  <c:v>38</c:v>
                </c:pt>
                <c:pt idx="27">
                  <c:v>34</c:v>
                </c:pt>
                <c:pt idx="28">
                  <c:v>109</c:v>
                </c:pt>
                <c:pt idx="29">
                  <c:v>63</c:v>
                </c:pt>
                <c:pt idx="30">
                  <c:v>42</c:v>
                </c:pt>
                <c:pt idx="31">
                  <c:v>22</c:v>
                </c:pt>
                <c:pt idx="32">
                  <c:v>76</c:v>
                </c:pt>
                <c:pt idx="33">
                  <c:v>28</c:v>
                </c:pt>
                <c:pt idx="34">
                  <c:v>45</c:v>
                </c:pt>
                <c:pt idx="35">
                  <c:v>47</c:v>
                </c:pt>
                <c:pt idx="36">
                  <c:v>38</c:v>
                </c:pt>
              </c:numCache>
            </c:numRef>
          </c:val>
          <c:smooth val="0"/>
          <c:extLst>
            <c:ext xmlns:c16="http://schemas.microsoft.com/office/drawing/2014/chart" uri="{C3380CC4-5D6E-409C-BE32-E72D297353CC}">
              <c16:uniqueId val="{00000001-237B-42A0-943B-F9EEBF7BE9BE}"/>
            </c:ext>
          </c:extLst>
        </c:ser>
        <c:ser>
          <c:idx val="8"/>
          <c:order val="8"/>
          <c:tx>
            <c:strRef>
              <c:f>'모바일 PV 월별 비교'!$I$3:$K$3</c:f>
              <c:strCache>
                <c:ptCount val="1"/>
                <c:pt idx="0">
                  <c:v>6월</c:v>
                </c:pt>
              </c:strCache>
            </c:strRef>
          </c:tx>
          <c:spPr>
            <a:ln w="28575" cap="rnd">
              <a:solidFill>
                <a:srgbClr val="002060"/>
              </a:solidFill>
              <a:round/>
            </a:ln>
            <a:effectLst/>
          </c:spPr>
          <c:marker>
            <c:symbol val="circle"/>
            <c:size val="5"/>
            <c:spPr>
              <a:solidFill>
                <a:srgbClr val="002060"/>
              </a:solidFill>
              <a:ln w="9525">
                <a:solidFill>
                  <a:schemeClr val="accent3">
                    <a:lumMod val="60000"/>
                  </a:schemeClr>
                </a:solidFill>
              </a:ln>
              <a:effectLst/>
            </c:spPr>
          </c:marker>
          <c:cat>
            <c:multiLvlStrRef>
              <c:f>'모바일 PV 월별 비교'!$A$5:$B$41</c:f>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f>'모바일 PV 월별 비교'!$K$5:$K$41</c:f>
              <c:numCache>
                <c:formatCode>General</c:formatCode>
                <c:ptCount val="37"/>
                <c:pt idx="0">
                  <c:v>#N/A</c:v>
                </c:pt>
                <c:pt idx="1">
                  <c:v>#N/A</c:v>
                </c:pt>
                <c:pt idx="2">
                  <c:v>25</c:v>
                </c:pt>
                <c:pt idx="3">
                  <c:v>35</c:v>
                </c:pt>
                <c:pt idx="4">
                  <c:v>107</c:v>
                </c:pt>
                <c:pt idx="5">
                  <c:v>50</c:v>
                </c:pt>
                <c:pt idx="6">
                  <c:v>94</c:v>
                </c:pt>
                <c:pt idx="7">
                  <c:v>50</c:v>
                </c:pt>
                <c:pt idx="8">
                  <c:v>37</c:v>
                </c:pt>
                <c:pt idx="9">
                  <c:v>13</c:v>
                </c:pt>
                <c:pt idx="10">
                  <c:v>12</c:v>
                </c:pt>
                <c:pt idx="11">
                  <c:v>27</c:v>
                </c:pt>
                <c:pt idx="12">
                  <c:v>43</c:v>
                </c:pt>
                <c:pt idx="13">
                  <c:v>37</c:v>
                </c:pt>
                <c:pt idx="14">
                  <c:v>60</c:v>
                </c:pt>
                <c:pt idx="15">
                  <c:v>98</c:v>
                </c:pt>
                <c:pt idx="16">
                  <c:v>30</c:v>
                </c:pt>
                <c:pt idx="17">
                  <c:v>35</c:v>
                </c:pt>
                <c:pt idx="18">
                  <c:v>56</c:v>
                </c:pt>
                <c:pt idx="19">
                  <c:v>72</c:v>
                </c:pt>
                <c:pt idx="20">
                  <c:v>37</c:v>
                </c:pt>
                <c:pt idx="21">
                  <c:v>77</c:v>
                </c:pt>
                <c:pt idx="22">
                  <c:v>43</c:v>
                </c:pt>
                <c:pt idx="23">
                  <c:v>20</c:v>
                </c:pt>
                <c:pt idx="24">
                  <c:v>27</c:v>
                </c:pt>
                <c:pt idx="25">
                  <c:v>53</c:v>
                </c:pt>
                <c:pt idx="26">
                  <c:v>62</c:v>
                </c:pt>
                <c:pt idx="27">
                  <c:v>69</c:v>
                </c:pt>
                <c:pt idx="28">
                  <c:v>287</c:v>
                </c:pt>
                <c:pt idx="29">
                  <c:v>89</c:v>
                </c:pt>
                <c:pt idx="30">
                  <c:v>45</c:v>
                </c:pt>
                <c:pt idx="31">
                  <c:v>50</c:v>
                </c:pt>
                <c:pt idx="32">
                  <c:v>#N/A</c:v>
                </c:pt>
                <c:pt idx="33">
                  <c:v>#N/A</c:v>
                </c:pt>
                <c:pt idx="34">
                  <c:v>#N/A</c:v>
                </c:pt>
                <c:pt idx="35">
                  <c:v>#N/A</c:v>
                </c:pt>
                <c:pt idx="36">
                  <c:v>#N/A</c:v>
                </c:pt>
              </c:numCache>
            </c:numRef>
          </c:val>
          <c:smooth val="0"/>
          <c:extLst>
            <c:ext xmlns:c16="http://schemas.microsoft.com/office/drawing/2014/chart" uri="{C3380CC4-5D6E-409C-BE32-E72D297353CC}">
              <c16:uniqueId val="{00000002-237B-42A0-943B-F9EEBF7BE9BE}"/>
            </c:ext>
          </c:extLst>
        </c:ser>
        <c:dLbls>
          <c:showLegendKey val="0"/>
          <c:showVal val="0"/>
          <c:showCatName val="0"/>
          <c:showSerName val="0"/>
          <c:showPercent val="0"/>
          <c:showBubbleSize val="0"/>
        </c:dLbls>
        <c:marker val="1"/>
        <c:smooth val="0"/>
        <c:axId val="531538512"/>
        <c:axId val="526961840"/>
        <c:extLst>
          <c:ext xmlns:c15="http://schemas.microsoft.com/office/drawing/2012/chart" uri="{02D57815-91ED-43cb-92C2-25804820EDAC}">
            <c15:filteredLineSeries>
              <c15:ser>
                <c:idx val="0"/>
                <c:order val="0"/>
                <c:tx>
                  <c:strRef>
                    <c:extLst>
                      <c:ext uri="{02D57815-91ED-43cb-92C2-25804820EDAC}">
                        <c15:formulaRef>
                          <c15:sqref>'모바일 PV 월별 비교'!$C$3</c15:sqref>
                        </c15:formulaRef>
                      </c:ext>
                    </c:extLst>
                    <c:strCache>
                      <c:ptCount val="1"/>
                      <c:pt idx="0">
                        <c:v>4월</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extLst>
                      <c:ex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c:ext uri="{02D57815-91ED-43cb-92C2-25804820EDAC}">
                        <c15:formulaRef>
                          <c15:sqref>'모바일 PV 월별 비교'!$C$4:$C$41</c15:sqref>
                        </c15:formulaRef>
                      </c:ext>
                    </c:extLst>
                    <c:numCache>
                      <c:formatCode>m/d/yyyy</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c:ext xmlns:c16="http://schemas.microsoft.com/office/drawing/2014/chart" uri="{C3380CC4-5D6E-409C-BE32-E72D297353CC}">
                    <c16:uniqueId val="{00000003-237B-42A0-943B-F9EEBF7BE9BE}"/>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'모바일 PV 월별 비교'!$D$3</c15:sqref>
                        </c15:formulaRef>
                      </c:ext>
                    </c:extLst>
                    <c:strCache>
                      <c:ptCount val="1"/>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비교'!$D$4:$D$41</c15:sqref>
                        </c15:formulaRef>
                      </c:ext>
                    </c:extLst>
                    <c:numCache>
                      <c:formatCode>aaa</c:formatCode>
                      <c:ptCount val="38"/>
                      <c:pt idx="0" formatCode="General">
                        <c:v>0</c:v>
                      </c:pt>
                      <c:pt idx="1">
                        <c:v>0</c:v>
                      </c:pt>
                      <c:pt idx="2">
                        <c:v>0</c:v>
                      </c:pt>
                      <c:pt idx="3">
                        <c:v>0</c:v>
                      </c:pt>
                      <c:pt idx="4">
                        <c:v>0</c:v>
                      </c:pt>
                      <c:pt idx="5">
                        <c:v>45383</c:v>
                      </c:pt>
                      <c:pt idx="6">
                        <c:v>45384</c:v>
                      </c:pt>
                      <c:pt idx="7">
                        <c:v>45385</c:v>
                      </c:pt>
                      <c:pt idx="8">
                        <c:v>45386</c:v>
                      </c:pt>
                      <c:pt idx="9">
                        <c:v>45387</c:v>
                      </c:pt>
                      <c:pt idx="10">
                        <c:v>45388</c:v>
                      </c:pt>
                      <c:pt idx="11">
                        <c:v>45389</c:v>
                      </c:pt>
                      <c:pt idx="12">
                        <c:v>45390</c:v>
                      </c:pt>
                      <c:pt idx="13">
                        <c:v>45391</c:v>
                      </c:pt>
                      <c:pt idx="14">
                        <c:v>45392</c:v>
                      </c:pt>
                      <c:pt idx="15">
                        <c:v>45393</c:v>
                      </c:pt>
                      <c:pt idx="16">
                        <c:v>45394</c:v>
                      </c:pt>
                      <c:pt idx="17">
                        <c:v>45395</c:v>
                      </c:pt>
                      <c:pt idx="18">
                        <c:v>45396</c:v>
                      </c:pt>
                      <c:pt idx="19">
                        <c:v>45397</c:v>
                      </c:pt>
                      <c:pt idx="20">
                        <c:v>45398</c:v>
                      </c:pt>
                      <c:pt idx="21">
                        <c:v>45399</c:v>
                      </c:pt>
                      <c:pt idx="22">
                        <c:v>45400</c:v>
                      </c:pt>
                      <c:pt idx="23">
                        <c:v>45401</c:v>
                      </c:pt>
                      <c:pt idx="24">
                        <c:v>45402</c:v>
                      </c:pt>
                      <c:pt idx="25">
                        <c:v>45403</c:v>
                      </c:pt>
                      <c:pt idx="26">
                        <c:v>45404</c:v>
                      </c:pt>
                      <c:pt idx="27">
                        <c:v>45405</c:v>
                      </c:pt>
                      <c:pt idx="28">
                        <c:v>45406</c:v>
                      </c:pt>
                      <c:pt idx="29">
                        <c:v>45407</c:v>
                      </c:pt>
                      <c:pt idx="30">
                        <c:v>45408</c:v>
                      </c:pt>
                      <c:pt idx="31">
                        <c:v>45409</c:v>
                      </c:pt>
                      <c:pt idx="32">
                        <c:v>45410</c:v>
                      </c:pt>
                      <c:pt idx="33">
                        <c:v>45411</c:v>
                      </c:pt>
                      <c:pt idx="34">
                        <c:v>45412</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4-237B-42A0-943B-F9EEBF7BE9BE}"/>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'모바일 PV 월별 비교'!$F$3</c15:sqref>
                        </c15:formulaRef>
                      </c:ext>
                    </c:extLst>
                    <c:strCache>
                      <c:ptCount val="1"/>
                      <c:pt idx="0">
                        <c:v>5월</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비교'!$F$4:$F$41</c15:sqref>
                        </c15:formulaRef>
                      </c:ext>
                    </c:extLst>
                    <c:numCache>
                      <c:formatCode>m/d/yyyy</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5-237B-42A0-943B-F9EEBF7BE9BE}"/>
                  </c:ext>
                </c:extLst>
              </c15:ser>
            </c15:filteredLineSeries>
            <c15:filteredLineSeries>
              <c15:ser>
                <c:idx val="4"/>
                <c:order val="4"/>
                <c:tx>
                  <c:strRef>
                    <c:extLst xmlns:c15="http://schemas.microsoft.com/office/drawing/2012/chart">
                      <c:ext xmlns:c15="http://schemas.microsoft.com/office/drawing/2012/chart" uri="{02D57815-91ED-43cb-92C2-25804820EDAC}">
                        <c15:formulaRef>
                          <c15:sqref>'모바일 PV 월별 비교'!$G$3</c15:sqref>
                        </c15:formulaRef>
                      </c:ext>
                    </c:extLst>
                    <c:strCache>
                      <c:ptCount val="1"/>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비교'!$G$4:$G$41</c15:sqref>
                        </c15:formulaRef>
                      </c:ext>
                    </c:extLst>
                    <c:numCache>
                      <c:formatCode>aaa</c:formatCode>
                      <c:ptCount val="38"/>
                      <c:pt idx="0" formatCode="General">
                        <c:v>0</c:v>
                      </c:pt>
                      <c:pt idx="1">
                        <c:v>0</c:v>
                      </c:pt>
                      <c:pt idx="2">
                        <c:v>0</c:v>
                      </c:pt>
                      <c:pt idx="3">
                        <c:v>0</c:v>
                      </c:pt>
                      <c:pt idx="4">
                        <c:v>0</c:v>
                      </c:pt>
                      <c:pt idx="5">
                        <c:v>0</c:v>
                      </c:pt>
                      <c:pt idx="6">
                        <c:v>0</c:v>
                      </c:pt>
                      <c:pt idx="7">
                        <c:v>45413</c:v>
                      </c:pt>
                      <c:pt idx="8">
                        <c:v>45414</c:v>
                      </c:pt>
                      <c:pt idx="9">
                        <c:v>45415</c:v>
                      </c:pt>
                      <c:pt idx="10">
                        <c:v>45416</c:v>
                      </c:pt>
                      <c:pt idx="11">
                        <c:v>45417</c:v>
                      </c:pt>
                      <c:pt idx="12">
                        <c:v>45418</c:v>
                      </c:pt>
                      <c:pt idx="13">
                        <c:v>45419</c:v>
                      </c:pt>
                      <c:pt idx="14">
                        <c:v>45420</c:v>
                      </c:pt>
                      <c:pt idx="15">
                        <c:v>45421</c:v>
                      </c:pt>
                      <c:pt idx="16">
                        <c:v>45422</c:v>
                      </c:pt>
                      <c:pt idx="17">
                        <c:v>45423</c:v>
                      </c:pt>
                      <c:pt idx="18">
                        <c:v>45424</c:v>
                      </c:pt>
                      <c:pt idx="19">
                        <c:v>45425</c:v>
                      </c:pt>
                      <c:pt idx="20">
                        <c:v>45426</c:v>
                      </c:pt>
                      <c:pt idx="21">
                        <c:v>45427</c:v>
                      </c:pt>
                      <c:pt idx="22">
                        <c:v>45428</c:v>
                      </c:pt>
                      <c:pt idx="23">
                        <c:v>45429</c:v>
                      </c:pt>
                      <c:pt idx="24">
                        <c:v>45430</c:v>
                      </c:pt>
                      <c:pt idx="25">
                        <c:v>45431</c:v>
                      </c:pt>
                      <c:pt idx="26">
                        <c:v>45432</c:v>
                      </c:pt>
                      <c:pt idx="27">
                        <c:v>45433</c:v>
                      </c:pt>
                      <c:pt idx="28">
                        <c:v>45434</c:v>
                      </c:pt>
                      <c:pt idx="29">
                        <c:v>45435</c:v>
                      </c:pt>
                      <c:pt idx="30">
                        <c:v>45436</c:v>
                      </c:pt>
                      <c:pt idx="31">
                        <c:v>45437</c:v>
                      </c:pt>
                      <c:pt idx="32">
                        <c:v>45438</c:v>
                      </c:pt>
                      <c:pt idx="33">
                        <c:v>45439</c:v>
                      </c:pt>
                      <c:pt idx="34">
                        <c:v>45440</c:v>
                      </c:pt>
                      <c:pt idx="35">
                        <c:v>45441</c:v>
                      </c:pt>
                      <c:pt idx="36">
                        <c:v>45442</c:v>
                      </c:pt>
                      <c:pt idx="37">
                        <c:v>45443</c:v>
                      </c:pt>
                    </c:numCache>
                  </c:numRef>
                </c:val>
                <c:smooth val="0"/>
                <c:extLst xmlns:c15="http://schemas.microsoft.com/office/drawing/2012/chart">
                  <c:ext xmlns:c16="http://schemas.microsoft.com/office/drawing/2014/chart" uri="{C3380CC4-5D6E-409C-BE32-E72D297353CC}">
                    <c16:uniqueId val="{00000006-237B-42A0-943B-F9EEBF7BE9BE}"/>
                  </c:ext>
                </c:extLst>
              </c15:ser>
            </c15:filteredLineSeries>
            <c15:filteredLineSeries>
              <c15:ser>
                <c:idx val="6"/>
                <c:order val="6"/>
                <c:tx>
                  <c:strRef>
                    <c:extLst xmlns:c15="http://schemas.microsoft.com/office/drawing/2012/chart">
                      <c:ext xmlns:c15="http://schemas.microsoft.com/office/drawing/2012/chart" uri="{02D57815-91ED-43cb-92C2-25804820EDAC}">
                        <c15:formulaRef>
                          <c15:sqref>'모바일 PV 월별 비교'!$I$3</c15:sqref>
                        </c15:formulaRef>
                      </c:ext>
                    </c:extLst>
                    <c:strCache>
                      <c:ptCount val="1"/>
                      <c:pt idx="0">
                        <c:v>6월</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비교'!$I$4:$I$41</c15:sqref>
                        </c15:formulaRef>
                      </c:ext>
                    </c:extLst>
                    <c:numCache>
                      <c:formatCode>m/d/yyyy</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7-237B-42A0-943B-F9EEBF7BE9BE}"/>
                  </c:ext>
                </c:extLst>
              </c15:ser>
            </c15:filteredLineSeries>
            <c15:filteredLineSeries>
              <c15:ser>
                <c:idx val="7"/>
                <c:order val="7"/>
                <c:tx>
                  <c:strRef>
                    <c:extLst xmlns:c15="http://schemas.microsoft.com/office/drawing/2012/chart">
                      <c:ext xmlns:c15="http://schemas.microsoft.com/office/drawing/2012/chart" uri="{02D57815-91ED-43cb-92C2-25804820EDAC}">
                        <c15:formulaRef>
                          <c15:sqref>'모바일 PV 월별 비교'!$J$3</c15:sqref>
                        </c15:formulaRef>
                      </c:ext>
                    </c:extLst>
                    <c:strCache>
                      <c:ptCount val="1"/>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multiLvlStrRef>
                    <c:extLst xmlns:c15="http://schemas.microsoft.com/office/drawing/2012/chart">
                      <c:ext xmlns:c15="http://schemas.microsoft.com/office/drawing/2012/chart" uri="{02D57815-91ED-43cb-92C2-25804820EDAC}">
                        <c15:formulaRef>
                          <c15:sqref>'모바일 PV 월별 비교'!$A$5:$B$41</c15:sqref>
                        </c15:formulaRef>
                      </c:ext>
                    </c:extLst>
                    <c:multiLvlStrCache>
                      <c:ptCount val="37"/>
                      <c:lvl>
                        <c:pt idx="0">
                          <c:v>목</c:v>
                        </c:pt>
                        <c:pt idx="1">
                          <c:v>금</c:v>
                        </c:pt>
                        <c:pt idx="2">
                          <c:v>토</c:v>
                        </c:pt>
                        <c:pt idx="3">
                          <c:v>일</c:v>
                        </c:pt>
                        <c:pt idx="4">
                          <c:v>월</c:v>
                        </c:pt>
                        <c:pt idx="5">
                          <c:v>화</c:v>
                        </c:pt>
                        <c:pt idx="6">
                          <c:v>수</c:v>
                        </c:pt>
                        <c:pt idx="7">
                          <c:v>목</c:v>
                        </c:pt>
                        <c:pt idx="8">
                          <c:v>금</c:v>
                        </c:pt>
                        <c:pt idx="9">
                          <c:v>토</c:v>
                        </c:pt>
                        <c:pt idx="10">
                          <c:v>일</c:v>
                        </c:pt>
                        <c:pt idx="11">
                          <c:v>월</c:v>
                        </c:pt>
                        <c:pt idx="12">
                          <c:v>화</c:v>
                        </c:pt>
                        <c:pt idx="13">
                          <c:v>수</c:v>
                        </c:pt>
                        <c:pt idx="14">
                          <c:v>목</c:v>
                        </c:pt>
                        <c:pt idx="15">
                          <c:v>금</c:v>
                        </c:pt>
                        <c:pt idx="16">
                          <c:v>토</c:v>
                        </c:pt>
                        <c:pt idx="17">
                          <c:v>일</c:v>
                        </c:pt>
                        <c:pt idx="18">
                          <c:v>월</c:v>
                        </c:pt>
                        <c:pt idx="19">
                          <c:v>화</c:v>
                        </c:pt>
                        <c:pt idx="20">
                          <c:v>수</c:v>
                        </c:pt>
                        <c:pt idx="21">
                          <c:v>목</c:v>
                        </c:pt>
                        <c:pt idx="22">
                          <c:v>금</c:v>
                        </c:pt>
                        <c:pt idx="23">
                          <c:v>토</c:v>
                        </c:pt>
                        <c:pt idx="24">
                          <c:v>일</c:v>
                        </c:pt>
                        <c:pt idx="25">
                          <c:v>월</c:v>
                        </c:pt>
                        <c:pt idx="26">
                          <c:v>화</c:v>
                        </c:pt>
                        <c:pt idx="27">
                          <c:v>수</c:v>
                        </c:pt>
                        <c:pt idx="28">
                          <c:v>목</c:v>
                        </c:pt>
                        <c:pt idx="29">
                          <c:v>금</c:v>
                        </c:pt>
                        <c:pt idx="30">
                          <c:v>토</c:v>
                        </c:pt>
                        <c:pt idx="31">
                          <c:v>일</c:v>
                        </c:pt>
                        <c:pt idx="32">
                          <c:v>월</c:v>
                        </c:pt>
                        <c:pt idx="33">
                          <c:v>화</c:v>
                        </c:pt>
                        <c:pt idx="34">
                          <c:v>수</c:v>
                        </c:pt>
                        <c:pt idx="35">
                          <c:v>목</c:v>
                        </c:pt>
                        <c:pt idx="36">
                          <c:v>금</c:v>
                        </c:pt>
                      </c:lvl>
                      <c:lvl>
                        <c:pt idx="4">
                          <c:v>첫째주</c:v>
                        </c:pt>
                        <c:pt idx="11">
                          <c:v>둘째주</c:v>
                        </c:pt>
                        <c:pt idx="18">
                          <c:v>셋째주</c:v>
                        </c:pt>
                        <c:pt idx="25">
                          <c:v>넷째주</c:v>
                        </c:pt>
                        <c:pt idx="32">
                          <c:v>다섯째주</c:v>
                        </c:pt>
                      </c:lvl>
                    </c:multiLvlStrCache>
                  </c:multiLvlStrRef>
                </c:cat>
                <c:val>
                  <c:numRef>
                    <c:extLst xmlns:c15="http://schemas.microsoft.com/office/drawing/2012/chart">
                      <c:ext xmlns:c15="http://schemas.microsoft.com/office/drawing/2012/chart" uri="{02D57815-91ED-43cb-92C2-25804820EDAC}">
                        <c15:formulaRef>
                          <c15:sqref>'모바일 PV 월별 비교'!$J$4:$J$41</c15:sqref>
                        </c15:formulaRef>
                      </c:ext>
                    </c:extLst>
                    <c:numCache>
                      <c:formatCode>aaa</c:formatCode>
                      <c:ptCount val="38"/>
                      <c:pt idx="0" formatCode="General">
                        <c:v>0</c:v>
                      </c:pt>
                      <c:pt idx="1">
                        <c:v>0</c:v>
                      </c:pt>
                      <c:pt idx="2">
                        <c:v>0</c:v>
                      </c:pt>
                      <c:pt idx="3">
                        <c:v>45444</c:v>
                      </c:pt>
                      <c:pt idx="4">
                        <c:v>45445</c:v>
                      </c:pt>
                      <c:pt idx="5">
                        <c:v>45446</c:v>
                      </c:pt>
                      <c:pt idx="6">
                        <c:v>45447</c:v>
                      </c:pt>
                      <c:pt idx="7">
                        <c:v>45448</c:v>
                      </c:pt>
                      <c:pt idx="8">
                        <c:v>45449</c:v>
                      </c:pt>
                      <c:pt idx="9">
                        <c:v>45450</c:v>
                      </c:pt>
                      <c:pt idx="10">
                        <c:v>45451</c:v>
                      </c:pt>
                      <c:pt idx="11">
                        <c:v>45452</c:v>
                      </c:pt>
                      <c:pt idx="12">
                        <c:v>45453</c:v>
                      </c:pt>
                      <c:pt idx="13">
                        <c:v>45454</c:v>
                      </c:pt>
                      <c:pt idx="14">
                        <c:v>45455</c:v>
                      </c:pt>
                      <c:pt idx="15">
                        <c:v>45456</c:v>
                      </c:pt>
                      <c:pt idx="16">
                        <c:v>45457</c:v>
                      </c:pt>
                      <c:pt idx="17">
                        <c:v>45458</c:v>
                      </c:pt>
                      <c:pt idx="18">
                        <c:v>45459</c:v>
                      </c:pt>
                      <c:pt idx="19">
                        <c:v>45460</c:v>
                      </c:pt>
                      <c:pt idx="20">
                        <c:v>45461</c:v>
                      </c:pt>
                      <c:pt idx="21">
                        <c:v>45462</c:v>
                      </c:pt>
                      <c:pt idx="22">
                        <c:v>45463</c:v>
                      </c:pt>
                      <c:pt idx="23">
                        <c:v>45464</c:v>
                      </c:pt>
                      <c:pt idx="24">
                        <c:v>45465</c:v>
                      </c:pt>
                      <c:pt idx="25">
                        <c:v>45466</c:v>
                      </c:pt>
                      <c:pt idx="26">
                        <c:v>45467</c:v>
                      </c:pt>
                      <c:pt idx="27">
                        <c:v>45468</c:v>
                      </c:pt>
                      <c:pt idx="28">
                        <c:v>45469</c:v>
                      </c:pt>
                      <c:pt idx="29">
                        <c:v>45470</c:v>
                      </c:pt>
                      <c:pt idx="30">
                        <c:v>45471</c:v>
                      </c:pt>
                      <c:pt idx="31">
                        <c:v>45472</c:v>
                      </c:pt>
                      <c:pt idx="32">
                        <c:v>45473</c:v>
                      </c:pt>
                      <c:pt idx="33">
                        <c:v>0</c:v>
                      </c:pt>
                      <c:pt idx="34">
                        <c:v>0</c:v>
                      </c:pt>
                      <c:pt idx="35">
                        <c:v>0</c:v>
                      </c:pt>
                      <c:pt idx="36">
                        <c:v>0</c:v>
                      </c:pt>
                      <c:pt idx="37">
                        <c:v>0</c:v>
                      </c:pt>
                    </c:numCache>
                  </c:numRef>
                </c:val>
                <c:smooth val="0"/>
                <c:extLst xmlns:c15="http://schemas.microsoft.com/office/drawing/2012/chart">
                  <c:ext xmlns:c16="http://schemas.microsoft.com/office/drawing/2014/chart" uri="{C3380CC4-5D6E-409C-BE32-E72D297353CC}">
                    <c16:uniqueId val="{00000008-237B-42A0-943B-F9EEBF7BE9BE}"/>
                  </c:ext>
                </c:extLst>
              </c15:ser>
            </c15:filteredLineSeries>
          </c:ext>
        </c:extLst>
      </c:lineChart>
      <c:catAx>
        <c:axId val="531538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26961840"/>
        <c:crosses val="autoZero"/>
        <c:auto val="1"/>
        <c:lblAlgn val="ctr"/>
        <c:lblOffset val="100"/>
        <c:noMultiLvlLbl val="0"/>
      </c:catAx>
      <c:valAx>
        <c:axId val="526961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crossAx val="531538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노출,참여'!$B$1</c:f>
              <c:strCache>
                <c:ptCount val="1"/>
                <c:pt idx="0">
                  <c:v>총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B6B-4EFC-B9C0-DD50BF7BFF17}"/>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EB6B-4EFC-B9C0-DD50BF7BFF17}"/>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EB6B-4EFC-B9C0-DD50BF7BFF17}"/>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B6B-4EFC-B9C0-DD50BF7BFF17}"/>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B6B-4EFC-B9C0-DD50BF7BFF17}"/>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EB6B-4EFC-B9C0-DD50BF7BFF17}"/>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EB6B-4EFC-B9C0-DD50BF7BFF17}"/>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EB6B-4EFC-B9C0-DD50BF7BFF17}"/>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EB6B-4EFC-B9C0-DD50BF7BFF17}"/>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EB6B-4EFC-B9C0-DD50BF7BFF17}"/>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EB6B-4EFC-B9C0-DD50BF7BFF17}"/>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EB6B-4EFC-B9C0-DD50BF7BFF17}"/>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EB6B-4EFC-B9C0-DD50BF7BFF17}"/>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EB6B-4EFC-B9C0-DD50BF7BFF17}"/>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B6B-4EFC-B9C0-DD50BF7BFF17}"/>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EB6B-4EFC-B9C0-DD50BF7BFF17}"/>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EB6B-4EFC-B9C0-DD50BF7BFF17}"/>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노출,참여'!$A$2:$A$32</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'일일 노출,참여'!$B$2:$B$32</c:f>
              <c:numCache>
                <c:formatCode>General</c:formatCode>
                <c:ptCount val="31"/>
                <c:pt idx="0">
                  <c:v>1415</c:v>
                </c:pt>
                <c:pt idx="1">
                  <c:v>1378</c:v>
                </c:pt>
                <c:pt idx="2">
                  <c:v>1643</c:v>
                </c:pt>
                <c:pt idx="3">
                  <c:v>1280</c:v>
                </c:pt>
                <c:pt idx="4">
                  <c:v>3151</c:v>
                </c:pt>
                <c:pt idx="5">
                  <c:v>981</c:v>
                </c:pt>
                <c:pt idx="6">
                  <c:v>1309</c:v>
                </c:pt>
                <c:pt idx="7">
                  <c:v>1475</c:v>
                </c:pt>
                <c:pt idx="8">
                  <c:v>331162</c:v>
                </c:pt>
                <c:pt idx="9">
                  <c:v>10848</c:v>
                </c:pt>
                <c:pt idx="10">
                  <c:v>1175</c:v>
                </c:pt>
                <c:pt idx="11">
                  <c:v>112175</c:v>
                </c:pt>
                <c:pt idx="12">
                  <c:v>8677</c:v>
                </c:pt>
                <c:pt idx="13">
                  <c:v>12706</c:v>
                </c:pt>
                <c:pt idx="14">
                  <c:v>12169</c:v>
                </c:pt>
                <c:pt idx="15">
                  <c:v>19303</c:v>
                </c:pt>
                <c:pt idx="16">
                  <c:v>5213</c:v>
                </c:pt>
                <c:pt idx="17">
                  <c:v>1489</c:v>
                </c:pt>
                <c:pt idx="18">
                  <c:v>849</c:v>
                </c:pt>
                <c:pt idx="19">
                  <c:v>583</c:v>
                </c:pt>
                <c:pt idx="20">
                  <c:v>624</c:v>
                </c:pt>
                <c:pt idx="21">
                  <c:v>1721</c:v>
                </c:pt>
                <c:pt idx="22">
                  <c:v>277549</c:v>
                </c:pt>
                <c:pt idx="23">
                  <c:v>371637</c:v>
                </c:pt>
                <c:pt idx="24">
                  <c:v>20531</c:v>
                </c:pt>
                <c:pt idx="25">
                  <c:v>4026</c:v>
                </c:pt>
                <c:pt idx="26">
                  <c:v>1367</c:v>
                </c:pt>
                <c:pt idx="27">
                  <c:v>1096</c:v>
                </c:pt>
                <c:pt idx="28">
                  <c:v>1073</c:v>
                </c:pt>
                <c:pt idx="29">
                  <c:v>854</c:v>
                </c:pt>
                <c:pt idx="30">
                  <c:v>0</c:v>
                </c:pt>
              </c:numCache>
            </c:numRef>
          </c:val>
          <c:smooth val="0"/>
          <c:extLst>
            <c:ext xmlns:c16="http://schemas.microsoft.com/office/drawing/2014/chart" uri="{C3380CC4-5D6E-409C-BE32-E72D297353CC}">
              <c16:uniqueId val="{00000012-EB6B-4EFC-B9C0-DD50BF7BFF17}"/>
            </c:ext>
          </c:extLst>
        </c:ser>
        <c:ser>
          <c:idx val="1"/>
          <c:order val="1"/>
          <c:tx>
            <c:strRef>
              <c:f>'일일 노출,참여'!$C$1</c:f>
              <c:strCache>
                <c:ptCount val="1"/>
                <c:pt idx="0">
                  <c:v>총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EB6B-4EFC-B9C0-DD50BF7BFF17}"/>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EB6B-4EFC-B9C0-DD50BF7BFF17}"/>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EB6B-4EFC-B9C0-DD50BF7BFF17}"/>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EB6B-4EFC-B9C0-DD50BF7BFF17}"/>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EB6B-4EFC-B9C0-DD50BF7BFF17}"/>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EB6B-4EFC-B9C0-DD50BF7BFF17}"/>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EB6B-4EFC-B9C0-DD50BF7BFF17}"/>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EB6B-4EFC-B9C0-DD50BF7BFF17}"/>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EB6B-4EFC-B9C0-DD50BF7BFF17}"/>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EB6B-4EFC-B9C0-DD50BF7BFF17}"/>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노출,참여'!$A$2:$A$32</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'일일 노출,참여'!$C$2:$C$32</c:f>
              <c:numCache>
                <c:formatCode>General</c:formatCode>
                <c:ptCount val="31"/>
                <c:pt idx="0">
                  <c:v>0</c:v>
                </c:pt>
                <c:pt idx="1">
                  <c:v>0</c:v>
                </c:pt>
                <c:pt idx="2">
                  <c:v>0</c:v>
                </c:pt>
                <c:pt idx="3">
                  <c:v>0</c:v>
                </c:pt>
                <c:pt idx="4">
                  <c:v>0</c:v>
                </c:pt>
                <c:pt idx="5">
                  <c:v>0</c:v>
                </c:pt>
                <c:pt idx="6">
                  <c:v>0</c:v>
                </c:pt>
                <c:pt idx="7">
                  <c:v>0</c:v>
                </c:pt>
                <c:pt idx="8">
                  <c:v>11273</c:v>
                </c:pt>
                <c:pt idx="9">
                  <c:v>347</c:v>
                </c:pt>
                <c:pt idx="10">
                  <c:v>0</c:v>
                </c:pt>
                <c:pt idx="11">
                  <c:v>7184</c:v>
                </c:pt>
                <c:pt idx="12">
                  <c:v>341</c:v>
                </c:pt>
                <c:pt idx="13">
                  <c:v>459</c:v>
                </c:pt>
                <c:pt idx="14">
                  <c:v>228</c:v>
                </c:pt>
                <c:pt idx="15">
                  <c:v>919</c:v>
                </c:pt>
                <c:pt idx="16">
                  <c:v>57</c:v>
                </c:pt>
                <c:pt idx="17">
                  <c:v>0</c:v>
                </c:pt>
                <c:pt idx="18">
                  <c:v>0</c:v>
                </c:pt>
                <c:pt idx="19">
                  <c:v>0</c:v>
                </c:pt>
                <c:pt idx="20">
                  <c:v>0</c:v>
                </c:pt>
                <c:pt idx="21">
                  <c:v>0</c:v>
                </c:pt>
                <c:pt idx="22">
                  <c:v>21617</c:v>
                </c:pt>
                <c:pt idx="23">
                  <c:v>13474</c:v>
                </c:pt>
                <c:pt idx="24">
                  <c:v>630</c:v>
                </c:pt>
                <c:pt idx="25">
                  <c:v>0</c:v>
                </c:pt>
                <c:pt idx="26">
                  <c:v>0</c:v>
                </c:pt>
                <c:pt idx="27">
                  <c:v>0</c:v>
                </c:pt>
                <c:pt idx="28">
                  <c:v>0</c:v>
                </c:pt>
                <c:pt idx="29">
                  <c:v>0</c:v>
                </c:pt>
                <c:pt idx="30">
                  <c:v>0</c:v>
                </c:pt>
              </c:numCache>
            </c:numRef>
          </c:val>
          <c:smooth val="0"/>
          <c:extLst>
            <c:ext xmlns:c16="http://schemas.microsoft.com/office/drawing/2014/chart" uri="{C3380CC4-5D6E-409C-BE32-E72D297353CC}">
              <c16:uniqueId val="{0000001D-EB6B-4EFC-B9C0-DD50BF7BFF17}"/>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r>
              <a:rPr lang="en-US" altLang="ko-KR" sz="1000" u="sng" dirty="0"/>
              <a:t>5</a:t>
            </a:r>
            <a:r>
              <a:rPr lang="ko-KR" altLang="en-US" sz="1000" u="sng"/>
              <a:t>월 </a:t>
            </a:r>
            <a:r>
              <a:rPr lang="ko-KR" altLang="en-US" sz="1000" u="sng" dirty="0" err="1"/>
              <a:t>일자별</a:t>
            </a:r>
            <a:r>
              <a:rPr lang="ko-KR" altLang="en-US" sz="1000" u="sng" dirty="0"/>
              <a:t> </a:t>
            </a:r>
            <a:r>
              <a:rPr lang="ko-KR" altLang="en-US" sz="1000" u="sng" dirty="0" err="1"/>
              <a:t>컨텐츠</a:t>
            </a:r>
            <a:r>
              <a:rPr lang="ko-KR" altLang="en-US" sz="1000" u="sng" dirty="0"/>
              <a:t> </a:t>
            </a:r>
            <a:r>
              <a:rPr lang="en-US" altLang="ko-KR" sz="1000" u="sng" dirty="0"/>
              <a:t>Impression</a:t>
            </a:r>
            <a:r>
              <a:rPr lang="en-US" altLang="ko-KR" sz="1000" u="sng" baseline="0" dirty="0"/>
              <a:t> </a:t>
            </a:r>
            <a:r>
              <a:rPr lang="ko-KR" altLang="en-US" sz="1000" u="sng" baseline="0"/>
              <a:t>및 </a:t>
            </a:r>
            <a:r>
              <a:rPr lang="en-US" altLang="ko-KR" sz="1000" u="sng" baseline="0" dirty="0"/>
              <a:t>Engagement </a:t>
            </a:r>
            <a:r>
              <a:rPr lang="ko-KR" altLang="en-US" sz="1000" u="sng" baseline="0"/>
              <a:t>추이 그래프 </a:t>
            </a:r>
            <a:endParaRPr lang="ko-KR" altLang="en-US" sz="1000" u="sng" dirty="0"/>
          </a:p>
        </c:rich>
      </c:tx>
      <c:layout>
        <c:manualLayout>
          <c:xMode val="edge"/>
          <c:yMode val="edge"/>
          <c:x val="0.33146638274115897"/>
          <c:y val="3.1596496321744882E-3"/>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title>
    <c:autoTitleDeleted val="0"/>
    <c:plotArea>
      <c:layout>
        <c:manualLayout>
          <c:layoutTarget val="inner"/>
          <c:xMode val="edge"/>
          <c:yMode val="edge"/>
          <c:x val="3.6943790992240093E-2"/>
          <c:y val="0.15888679848953857"/>
          <c:w val="0.94959609176710402"/>
          <c:h val="0.63472095822446639"/>
        </c:manualLayout>
      </c:layout>
      <c:lineChart>
        <c:grouping val="standard"/>
        <c:varyColors val="0"/>
        <c:ser>
          <c:idx val="0"/>
          <c:order val="0"/>
          <c:tx>
            <c:strRef>
              <c:f>'일일 노출,참여(오가닉)'!$B$1</c:f>
              <c:strCache>
                <c:ptCount val="1"/>
                <c:pt idx="0">
                  <c:v>오가닉 impression</c:v>
                </c:pt>
              </c:strCache>
            </c:strRef>
          </c:tx>
          <c:spPr>
            <a:ln w="28575" cap="rnd">
              <a:solidFill>
                <a:srgbClr val="FF3300"/>
              </a:solidFill>
              <a:round/>
            </a:ln>
            <a:effectLst/>
          </c:spPr>
          <c:marker>
            <c:symbol val="circle"/>
            <c:size val="5"/>
            <c:spPr>
              <a:solidFill>
                <a:srgbClr val="F47726"/>
              </a:solidFill>
              <a:ln w="9525">
                <a:solidFill>
                  <a:srgbClr val="FF3300"/>
                </a:solidFill>
              </a:ln>
              <a:effectLst/>
            </c:spPr>
          </c:marker>
          <c:dLbls>
            <c:dLbl>
              <c:idx val="4"/>
              <c:layout>
                <c:manualLayout>
                  <c:x val="-2.9139259018495314E-2"/>
                  <c:y val="-6.873805335230118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9F2A-4F91-8F66-84EB06D5C1D8}"/>
                </c:ext>
              </c:extLst>
            </c:dLbl>
            <c:dLbl>
              <c:idx val="5"/>
              <c:layout>
                <c:manualLayout>
                  <c:x val="-4.8847389499687498E-2"/>
                  <c:y val="-1.19994536542840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F2A-4F91-8F66-84EB06D5C1D8}"/>
                </c:ext>
              </c:extLst>
            </c:dLbl>
            <c:dLbl>
              <c:idx val="7"/>
              <c:layout>
                <c:manualLayout>
                  <c:x val="-1.3182577095511886E-2"/>
                  <c:y val="-8.3085046499274562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4.1221840739314959E-2"/>
                      <c:h val="8.2262885412785119E-2"/>
                    </c:manualLayout>
                  </c15:layout>
                </c:ext>
                <c:ext xmlns:c16="http://schemas.microsoft.com/office/drawing/2014/chart" uri="{C3380CC4-5D6E-409C-BE32-E72D297353CC}">
                  <c16:uniqueId val="{00000002-9F2A-4F91-8F66-84EB06D5C1D8}"/>
                </c:ext>
              </c:extLst>
            </c:dLbl>
            <c:dLbl>
              <c:idx val="8"/>
              <c:layout>
                <c:manualLayout>
                  <c:x val="-1.0896919167077456E-2"/>
                  <c:y val="-5.959099206281084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F2A-4F91-8F66-84EB06D5C1D8}"/>
                </c:ext>
              </c:extLst>
            </c:dLbl>
            <c:dLbl>
              <c:idx val="9"/>
              <c:layout>
                <c:manualLayout>
                  <c:x val="-1.641574202473607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9F2A-4F91-8F66-84EB06D5C1D8}"/>
                </c:ext>
              </c:extLst>
            </c:dLbl>
            <c:dLbl>
              <c:idx val="10"/>
              <c:layout>
                <c:manualLayout>
                  <c:x val="-2.231553900075476E-2"/>
                  <c:y val="-8.45019246967372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F2A-4F91-8F66-84EB06D5C1D8}"/>
                </c:ext>
              </c:extLst>
            </c:dLbl>
            <c:dLbl>
              <c:idx val="11"/>
              <c:layout>
                <c:manualLayout>
                  <c:x val="-2.241454283139057E-2"/>
                  <c:y val="-0.1000389649395065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9F2A-4F91-8F66-84EB06D5C1D8}"/>
                </c:ext>
              </c:extLst>
            </c:dLbl>
            <c:dLbl>
              <c:idx val="16"/>
              <c:layout>
                <c:manualLayout>
                  <c:x val="-1.8641344358656869E-2"/>
                  <c:y val="-9.227044481812188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F2A-4F91-8F66-84EB06D5C1D8}"/>
                </c:ext>
              </c:extLst>
            </c:dLbl>
            <c:dLbl>
              <c:idx val="17"/>
              <c:layout>
                <c:manualLayout>
                  <c:x val="-1.9528067429428513E-2"/>
                  <c:y val="-7.9796702669257077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r"/>
              <c:showLegendKey val="0"/>
              <c:showVal val="1"/>
              <c:showCatName val="0"/>
              <c:showSerName val="0"/>
              <c:showPercent val="0"/>
              <c:showBubbleSize val="0"/>
              <c:extLst>
                <c:ext xmlns:c15="http://schemas.microsoft.com/office/drawing/2012/chart" uri="{CE6537A1-D6FC-4f65-9D91-7224C49458BB}">
                  <c15:layout>
                    <c:manualLayout>
                      <c:w val="3.5627647966205378E-2"/>
                      <c:h val="5.532546505937528E-2"/>
                    </c:manualLayout>
                  </c15:layout>
                </c:ext>
                <c:ext xmlns:c16="http://schemas.microsoft.com/office/drawing/2014/chart" uri="{C3380CC4-5D6E-409C-BE32-E72D297353CC}">
                  <c16:uniqueId val="{00000008-9F2A-4F91-8F66-84EB06D5C1D8}"/>
                </c:ext>
              </c:extLst>
            </c:dLbl>
            <c:dLbl>
              <c:idx val="18"/>
              <c:layout>
                <c:manualLayout>
                  <c:x val="-1.9202406167892913E-2"/>
                  <c:y val="-6.557840372012668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F2A-4F91-8F66-84EB06D5C1D8}"/>
                </c:ext>
              </c:extLst>
            </c:dLbl>
            <c:dLbl>
              <c:idx val="19"/>
              <c:layout>
                <c:manualLayout>
                  <c:x val="-2.1259750058783611E-2"/>
                  <c:y val="-8.45019246967371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9F2A-4F91-8F66-84EB06D5C1D8}"/>
                </c:ext>
              </c:extLst>
            </c:dLbl>
            <c:dLbl>
              <c:idx val="20"/>
              <c:layout>
                <c:manualLayout>
                  <c:x val="-1.4179627876891945E-2"/>
                  <c:y val="-5.9259104455777721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F2A-4F91-8F66-84EB06D5C1D8}"/>
                </c:ext>
              </c:extLst>
            </c:dLbl>
            <c:dLbl>
              <c:idx val="21"/>
              <c:layout>
                <c:manualLayout>
                  <c:x val="-2.3806027189970748E-2"/>
                  <c:y val="-0.1165617140527034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9F2A-4F91-8F66-84EB06D5C1D8}"/>
                </c:ext>
              </c:extLst>
            </c:dLbl>
            <c:dLbl>
              <c:idx val="22"/>
              <c:layout>
                <c:manualLayout>
                  <c:x val="-3.1164990847469768E-2"/>
                  <c:y val="-5.293980519142874E-2"/>
                </c:manualLayout>
              </c:layout>
              <c:dLblPos val="r"/>
              <c:showLegendKey val="0"/>
              <c:showVal val="1"/>
              <c:showCatName val="0"/>
              <c:showSerName val="0"/>
              <c:showPercent val="0"/>
              <c:showBubbleSize val="0"/>
              <c:extLst>
                <c:ext xmlns:c15="http://schemas.microsoft.com/office/drawing/2012/chart" uri="{CE6537A1-D6FC-4f65-9D91-7224C49458BB}">
                  <c15:layout>
                    <c:manualLayout>
                      <c:w val="3.2502055742337596E-2"/>
                      <c:h val="5.848511469154978E-2"/>
                    </c:manualLayout>
                  </c15:layout>
                </c:ext>
                <c:ext xmlns:c16="http://schemas.microsoft.com/office/drawing/2014/chart" uri="{C3380CC4-5D6E-409C-BE32-E72D297353CC}">
                  <c16:uniqueId val="{0000000D-9F2A-4F91-8F66-84EB06D5C1D8}"/>
                </c:ext>
              </c:extLst>
            </c:dLbl>
            <c:dLbl>
              <c:idx val="23"/>
              <c:layout>
                <c:manualLayout>
                  <c:x val="-2.8562535330962535E-2"/>
                  <c:y val="-6.824022194175148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9F2A-4F91-8F66-84EB06D5C1D8}"/>
                </c:ext>
              </c:extLst>
            </c:dLbl>
            <c:dLbl>
              <c:idx val="26"/>
              <c:layout>
                <c:manualLayout>
                  <c:x val="-1.9634122274832355E-2"/>
                  <c:y val="-7.2849144514660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F2A-4F91-8F66-84EB06D5C1D8}"/>
                </c:ext>
              </c:extLst>
            </c:dLbl>
            <c:dLbl>
              <c:idx val="27"/>
              <c:layout>
                <c:manualLayout>
                  <c:x val="-2.6865029379703035E-2"/>
                  <c:y val="-6.241875408795220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9F2A-4F91-8F66-84EB06D5C1D8}"/>
                </c:ext>
              </c:extLst>
            </c:dLbl>
            <c:dLbl>
              <c:idx val="29"/>
              <c:layout>
                <c:manualLayout>
                  <c:x val="-3.4544840019242719E-2"/>
                  <c:y val="-6.873805335230123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노출,참여(오가닉)'!$A$2:$A$32</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'일일 노출,참여(오가닉)'!$B$2:$B$32</c:f>
              <c:numCache>
                <c:formatCode>General</c:formatCode>
                <c:ptCount val="31"/>
                <c:pt idx="0">
                  <c:v>1415</c:v>
                </c:pt>
                <c:pt idx="1">
                  <c:v>1378</c:v>
                </c:pt>
                <c:pt idx="2">
                  <c:v>1643</c:v>
                </c:pt>
                <c:pt idx="3">
                  <c:v>1280</c:v>
                </c:pt>
                <c:pt idx="4">
                  <c:v>3151</c:v>
                </c:pt>
                <c:pt idx="5">
                  <c:v>981</c:v>
                </c:pt>
                <c:pt idx="6">
                  <c:v>1309</c:v>
                </c:pt>
                <c:pt idx="7">
                  <c:v>1475</c:v>
                </c:pt>
                <c:pt idx="8">
                  <c:v>1533</c:v>
                </c:pt>
                <c:pt idx="9">
                  <c:v>807</c:v>
                </c:pt>
                <c:pt idx="10">
                  <c:v>1175</c:v>
                </c:pt>
                <c:pt idx="11">
                  <c:v>1865</c:v>
                </c:pt>
                <c:pt idx="12">
                  <c:v>537</c:v>
                </c:pt>
                <c:pt idx="13">
                  <c:v>615</c:v>
                </c:pt>
                <c:pt idx="14">
                  <c:v>1820</c:v>
                </c:pt>
                <c:pt idx="15">
                  <c:v>995</c:v>
                </c:pt>
                <c:pt idx="16">
                  <c:v>2792</c:v>
                </c:pt>
                <c:pt idx="17">
                  <c:v>1489</c:v>
                </c:pt>
                <c:pt idx="18">
                  <c:v>849</c:v>
                </c:pt>
                <c:pt idx="19">
                  <c:v>583</c:v>
                </c:pt>
                <c:pt idx="20">
                  <c:v>624</c:v>
                </c:pt>
                <c:pt idx="21">
                  <c:v>1721</c:v>
                </c:pt>
                <c:pt idx="22">
                  <c:v>1961</c:v>
                </c:pt>
                <c:pt idx="23">
                  <c:v>4052</c:v>
                </c:pt>
                <c:pt idx="24">
                  <c:v>3630</c:v>
                </c:pt>
                <c:pt idx="25">
                  <c:v>4026</c:v>
                </c:pt>
                <c:pt idx="26">
                  <c:v>1367</c:v>
                </c:pt>
                <c:pt idx="27">
                  <c:v>1096</c:v>
                </c:pt>
                <c:pt idx="28">
                  <c:v>1073</c:v>
                </c:pt>
                <c:pt idx="29">
                  <c:v>854</c:v>
                </c:pt>
                <c:pt idx="30">
                  <c:v>0</c:v>
                </c:pt>
              </c:numCache>
            </c:numRef>
          </c:val>
          <c:smooth val="0"/>
          <c:extLst>
            <c:ext xmlns:c16="http://schemas.microsoft.com/office/drawing/2014/chart" uri="{C3380CC4-5D6E-409C-BE32-E72D297353CC}">
              <c16:uniqueId val="{00000012-9F2A-4F91-8F66-84EB06D5C1D8}"/>
            </c:ext>
          </c:extLst>
        </c:ser>
        <c:ser>
          <c:idx val="1"/>
          <c:order val="1"/>
          <c:tx>
            <c:strRef>
              <c:f>'일일 노출,참여(오가닉)'!$C$1</c:f>
              <c:strCache>
                <c:ptCount val="1"/>
                <c:pt idx="0">
                  <c:v>오가닉 engagement</c:v>
                </c:pt>
              </c:strCache>
            </c:strRef>
          </c:tx>
          <c:spPr>
            <a:ln w="28575" cap="rnd">
              <a:solidFill>
                <a:srgbClr val="203864"/>
              </a:solidFill>
              <a:round/>
            </a:ln>
            <a:effectLst/>
          </c:spPr>
          <c:marker>
            <c:symbol val="circle"/>
            <c:size val="5"/>
            <c:spPr>
              <a:solidFill>
                <a:srgbClr val="203864"/>
              </a:solidFill>
              <a:ln w="9525">
                <a:solidFill>
                  <a:srgbClr val="203864"/>
                </a:solidFill>
              </a:ln>
              <a:effectLst/>
            </c:spPr>
          </c:marker>
          <c:dLbls>
            <c:dLbl>
              <c:idx val="0"/>
              <c:layout>
                <c:manualLayout>
                  <c:x val="-2.3371327942725912E-2"/>
                  <c:y val="-4.177506402912155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F2A-4F91-8F66-84EB06D5C1D8}"/>
                </c:ext>
              </c:extLst>
            </c:dLbl>
            <c:dLbl>
              <c:idx val="3"/>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4-9F2A-4F91-8F66-84EB06D5C1D8}"/>
                </c:ext>
              </c:extLst>
            </c:dLbl>
            <c:dLbl>
              <c:idx val="4"/>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5-9F2A-4F91-8F66-84EB06D5C1D8}"/>
                </c:ext>
              </c:extLst>
            </c:dLbl>
            <c:dLbl>
              <c:idx val="5"/>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6-9F2A-4F91-8F66-84EB06D5C1D8}"/>
                </c:ext>
              </c:extLst>
            </c:dLbl>
            <c:dLbl>
              <c:idx val="6"/>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7-9F2A-4F91-8F66-84EB06D5C1D8}"/>
                </c:ext>
              </c:extLst>
            </c:dLbl>
            <c:dLbl>
              <c:idx val="7"/>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8-9F2A-4F91-8F66-84EB06D5C1D8}"/>
                </c:ext>
              </c:extLst>
            </c:dLbl>
            <c:dLbl>
              <c:idx val="16"/>
              <c:layout>
                <c:manualLayout>
                  <c:x val="-1.280058426455905E-2"/>
                  <c:y val="-4.678072797329760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9-9F2A-4F91-8F66-84EB06D5C1D8}"/>
                </c:ext>
              </c:extLst>
            </c:dLbl>
            <c:dLbl>
              <c:idx val="17"/>
              <c:layout>
                <c:manualLayout>
                  <c:x val="-1.0303727944075974E-2"/>
                  <c:y val="-4.072887892396763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9F2A-4F91-8F66-84EB06D5C1D8}"/>
                </c:ext>
              </c:extLst>
            </c:dLbl>
            <c:dLbl>
              <c:idx val="18"/>
              <c:layout>
                <c:manualLayout>
                  <c:x val="-1.6203065049284808E-2"/>
                  <c:y val="-4.087073492374342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B-9F2A-4F91-8F66-84EB06D5C1D8}"/>
                </c:ext>
              </c:extLst>
            </c:dLbl>
            <c:dLbl>
              <c:idx val="20"/>
              <c:tx>
                <c:rich>
                  <a:bodyPr/>
                  <a:lstStyle/>
                  <a:p>
                    <a:r>
                      <a:rPr lang="en-US" altLang="ko-KR">
                        <a:solidFill>
                          <a:schemeClr val="tx1"/>
                        </a:solidFill>
                      </a:rPr>
                      <a:t>​</a:t>
                    </a:r>
                    <a:endParaRPr lang="en-US" altLang="ko-KR"/>
                  </a:p>
                </c:rich>
              </c:tx>
              <c:dLblPos val="t"/>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1C-9F2A-4F91-8F66-84EB06D5C1D8}"/>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'일일 노출,참여(오가닉)'!$A$2:$A$32</c:f>
              <c:strCach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strCache>
            </c:strRef>
          </c:cat>
          <c:val>
            <c:numRef>
              <c:f>'일일 노출,참여(오가닉)'!$C$2:$C$32</c:f>
              <c:numCache>
                <c:formatCode>General</c:formatCode>
                <c:ptCount val="31"/>
                <c:pt idx="0">
                  <c:v>355</c:v>
                </c:pt>
                <c:pt idx="1">
                  <c:v>302</c:v>
                </c:pt>
                <c:pt idx="2">
                  <c:v>223</c:v>
                </c:pt>
                <c:pt idx="3">
                  <c:v>251</c:v>
                </c:pt>
                <c:pt idx="4">
                  <c:v>220</c:v>
                </c:pt>
                <c:pt idx="5">
                  <c:v>110</c:v>
                </c:pt>
                <c:pt idx="6">
                  <c:v>168</c:v>
                </c:pt>
                <c:pt idx="7">
                  <c:v>130</c:v>
                </c:pt>
                <c:pt idx="8">
                  <c:v>220</c:v>
                </c:pt>
                <c:pt idx="9">
                  <c:v>106</c:v>
                </c:pt>
                <c:pt idx="10">
                  <c:v>143</c:v>
                </c:pt>
                <c:pt idx="11">
                  <c:v>201</c:v>
                </c:pt>
                <c:pt idx="12">
                  <c:v>44</c:v>
                </c:pt>
                <c:pt idx="13">
                  <c:v>114</c:v>
                </c:pt>
                <c:pt idx="14">
                  <c:v>221</c:v>
                </c:pt>
                <c:pt idx="15">
                  <c:v>75</c:v>
                </c:pt>
                <c:pt idx="16">
                  <c:v>221</c:v>
                </c:pt>
                <c:pt idx="17">
                  <c:v>118</c:v>
                </c:pt>
                <c:pt idx="18">
                  <c:v>84</c:v>
                </c:pt>
                <c:pt idx="19">
                  <c:v>55</c:v>
                </c:pt>
                <c:pt idx="20">
                  <c:v>73</c:v>
                </c:pt>
                <c:pt idx="21">
                  <c:v>244</c:v>
                </c:pt>
                <c:pt idx="22">
                  <c:v>271</c:v>
                </c:pt>
                <c:pt idx="23">
                  <c:v>418</c:v>
                </c:pt>
                <c:pt idx="24">
                  <c:v>654</c:v>
                </c:pt>
                <c:pt idx="25">
                  <c:v>552</c:v>
                </c:pt>
                <c:pt idx="26">
                  <c:v>210</c:v>
                </c:pt>
                <c:pt idx="27">
                  <c:v>154</c:v>
                </c:pt>
                <c:pt idx="28">
                  <c:v>140</c:v>
                </c:pt>
                <c:pt idx="29">
                  <c:v>60</c:v>
                </c:pt>
                <c:pt idx="30">
                  <c:v>0</c:v>
                </c:pt>
              </c:numCache>
            </c:numRef>
          </c:val>
          <c:smooth val="0"/>
          <c:extLst>
            <c:ext xmlns:c16="http://schemas.microsoft.com/office/drawing/2014/chart" uri="{C3380CC4-5D6E-409C-BE32-E72D297353CC}">
              <c16:uniqueId val="{0000001D-9F2A-4F91-8F66-84EB06D5C1D8}"/>
            </c:ext>
          </c:extLst>
        </c:ser>
        <c:dLbls>
          <c:showLegendKey val="0"/>
          <c:showVal val="0"/>
          <c:showCatName val="0"/>
          <c:showSerName val="0"/>
          <c:showPercent val="0"/>
          <c:showBubbleSize val="0"/>
        </c:dLbls>
        <c:marker val="1"/>
        <c:smooth val="0"/>
        <c:axId val="195736880"/>
        <c:axId val="195737424"/>
      </c:lineChart>
      <c:dateAx>
        <c:axId val="195736880"/>
        <c:scaling>
          <c:orientation val="minMax"/>
        </c:scaling>
        <c:delete val="0"/>
        <c:axPos val="b"/>
        <c:numFmt formatCode="d"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7424"/>
        <c:crosses val="autoZero"/>
        <c:auto val="1"/>
        <c:lblOffset val="100"/>
        <c:baseTimeUnit val="days"/>
      </c:dateAx>
      <c:valAx>
        <c:axId val="19573742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crossAx val="195736880"/>
        <c:crosses val="autoZero"/>
        <c:crossBetween val="between"/>
        <c:majorUnit val="1000"/>
      </c:valAx>
      <c:spPr>
        <a:noFill/>
        <a:ln w="25400">
          <a:noFill/>
        </a:ln>
        <a:effectLst/>
      </c:spPr>
    </c:plotArea>
    <c:legend>
      <c:legendPos val="r"/>
      <c:layout>
        <c:manualLayout>
          <c:xMode val="edge"/>
          <c:yMode val="edge"/>
          <c:x val="0.34913371166491813"/>
          <c:y val="8.5687935166991178E-2"/>
          <c:w val="0.27325463387416732"/>
          <c:h val="7.8328192476851216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Pretendard" panose="02000503000000020004" pitchFamily="50" charset="-127"/>
              <a:ea typeface="Pretendard" panose="02000503000000020004" pitchFamily="50" charset="-127"/>
              <a:cs typeface="Pretendard" panose="02000503000000020004" pitchFamily="50" charset="-127"/>
            </a:defRPr>
          </a:pPr>
          <a:endParaRPr lang="ko-K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latin typeface="Pretendard" panose="02000503000000020004" pitchFamily="50" charset="-127"/>
          <a:ea typeface="Pretendard" panose="02000503000000020004" pitchFamily="50" charset="-127"/>
          <a:cs typeface="Pretendard" panose="02000503000000020004" pitchFamily="50" charset="-127"/>
        </a:defRPr>
      </a:pPr>
      <a:endParaRPr lang="ko-KR"/>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JOB Functions</a:t>
            </a:r>
            <a:r>
              <a:rPr lang="ko-KR" altLang="en-US" sz="1500" u="none" dirty="0"/>
              <a:t> </a:t>
            </a:r>
            <a:r>
              <a:rPr lang="en-US" altLang="ko-KR" sz="1500" u="none" dirty="0"/>
              <a:t>]</a:t>
            </a:r>
            <a:endParaRPr lang="ko-KR" sz="1500" u="none" dirty="0"/>
          </a:p>
        </c:rich>
      </c:tx>
      <c:layout>
        <c:manualLayout>
          <c:xMode val="edge"/>
          <c:yMode val="edge"/>
          <c:x val="0.24394430015460841"/>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demographic'!$L$4</c:f>
              <c:strCache>
                <c:ptCount val="1"/>
                <c:pt idx="0">
                  <c:v>Total Views</c:v>
                </c:pt>
              </c:strCache>
            </c:strRef>
          </c:tx>
          <c:spPr>
            <a:solidFill>
              <a:srgbClr val="00206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demographic'!$L$5:$L$14</c:f>
              <c:numCache>
                <c:formatCode>General</c:formatCode>
                <c:ptCount val="10"/>
                <c:pt idx="0">
                  <c:v>459</c:v>
                </c:pt>
                <c:pt idx="1">
                  <c:v>367</c:v>
                </c:pt>
                <c:pt idx="2">
                  <c:v>190</c:v>
                </c:pt>
                <c:pt idx="3">
                  <c:v>127</c:v>
                </c:pt>
                <c:pt idx="4">
                  <c:v>122</c:v>
                </c:pt>
                <c:pt idx="5">
                  <c:v>113</c:v>
                </c:pt>
                <c:pt idx="6">
                  <c:v>89</c:v>
                </c:pt>
                <c:pt idx="7">
                  <c:v>84</c:v>
                </c:pt>
                <c:pt idx="8">
                  <c:v>70</c:v>
                </c:pt>
                <c:pt idx="9">
                  <c:v>67</c:v>
                </c:pt>
              </c:numCache>
            </c:numRef>
          </c:val>
          <c:extLst>
            <c:ext xmlns:c16="http://schemas.microsoft.com/office/drawing/2014/chart" uri="{C3380CC4-5D6E-409C-BE32-E72D297353CC}">
              <c16:uniqueId val="{00000000-E3DC-45BD-A64F-A5C14C0EB700}"/>
            </c:ext>
          </c:extLst>
        </c:ser>
        <c:ser>
          <c:idx val="1"/>
          <c:order val="1"/>
          <c:tx>
            <c:strRef>
              <c:f>'visitor demographic'!$M$4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demographic'!$K$5:$K$14</c:f>
              <c:strCache>
                <c:ptCount val="10"/>
                <c:pt idx="0">
                  <c:v>Business Development</c:v>
                </c:pt>
                <c:pt idx="1">
                  <c:v>Research</c:v>
                </c:pt>
                <c:pt idx="2">
                  <c:v>Sales</c:v>
                </c:pt>
                <c:pt idx="3">
                  <c:v>Quality Assurance</c:v>
                </c:pt>
                <c:pt idx="4">
                  <c:v>Information Technology</c:v>
                </c:pt>
                <c:pt idx="5">
                  <c:v>Operations</c:v>
                </c:pt>
                <c:pt idx="6">
                  <c:v>Program and Project Management</c:v>
                </c:pt>
                <c:pt idx="7">
                  <c:v>Engineering</c:v>
                </c:pt>
                <c:pt idx="8">
                  <c:v>Education</c:v>
                </c:pt>
                <c:pt idx="9">
                  <c:v>Marketing</c:v>
                </c:pt>
              </c:strCache>
            </c:strRef>
          </c:cat>
          <c:val>
            <c:numRef>
              <c:f>'visitor demographic'!$M$5:$M$14</c:f>
              <c:numCache>
                <c:formatCode>0.0%</c:formatCode>
                <c:ptCount val="10"/>
                <c:pt idx="0">
                  <c:v>0.21220527045769763</c:v>
                </c:pt>
                <c:pt idx="1">
                  <c:v>0.16967175219602404</c:v>
                </c:pt>
                <c:pt idx="2">
                  <c:v>8.7840961627369388E-2</c:v>
                </c:pt>
                <c:pt idx="3">
                  <c:v>5.8714748035136384E-2</c:v>
                </c:pt>
                <c:pt idx="4">
                  <c:v>5.6403143781784557E-2</c:v>
                </c:pt>
                <c:pt idx="5">
                  <c:v>5.2242256125751271E-2</c:v>
                </c:pt>
                <c:pt idx="6">
                  <c:v>4.1146555709662504E-2</c:v>
                </c:pt>
                <c:pt idx="7">
                  <c:v>3.8834951456310676E-2</c:v>
                </c:pt>
                <c:pt idx="8">
                  <c:v>3.2362459546925564E-2</c:v>
                </c:pt>
                <c:pt idx="9">
                  <c:v>3.0975496994914472E-2</c:v>
                </c:pt>
              </c:numCache>
            </c:numRef>
          </c:val>
          <c:extLst>
            <c:ext xmlns:c16="http://schemas.microsoft.com/office/drawing/2014/chart" uri="{C3380CC4-5D6E-409C-BE32-E72D297353CC}">
              <c16:uniqueId val="{00000001-E3DC-45BD-A64F-A5C14C0EB700}"/>
            </c:ext>
          </c:extLst>
        </c:ser>
        <c:dLbls>
          <c:dLblPos val="outEnd"/>
          <c:showLegendKey val="0"/>
          <c:showVal val="1"/>
          <c:showCatName val="0"/>
          <c:showSerName val="0"/>
          <c:showPercent val="0"/>
          <c:showBubbleSize val="0"/>
        </c:dLbls>
        <c:gapWidth val="150"/>
        <c:axId val="586591968"/>
        <c:axId val="586593600"/>
      </c:barChart>
      <c:catAx>
        <c:axId val="586591968"/>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93600"/>
        <c:crosses val="autoZero"/>
        <c:auto val="1"/>
        <c:lblAlgn val="ctr"/>
        <c:lblOffset val="100"/>
        <c:noMultiLvlLbl val="0"/>
      </c:catAx>
      <c:valAx>
        <c:axId val="586593600"/>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1968"/>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r>
              <a:rPr lang="en-US" altLang="ko-KR" sz="1500" dirty="0"/>
              <a:t>[</a:t>
            </a:r>
            <a:r>
              <a:rPr lang="ko-KR" altLang="en-US" sz="1500" dirty="0"/>
              <a:t> </a:t>
            </a:r>
            <a:r>
              <a:rPr lang="en-US" sz="1500" dirty="0"/>
              <a:t>Visitors by </a:t>
            </a:r>
            <a:r>
              <a:rPr lang="en-US" sz="1500" u="sng" dirty="0"/>
              <a:t>Industry</a:t>
            </a:r>
            <a:r>
              <a:rPr lang="en-US" altLang="ko-KR" sz="1500" u="none" dirty="0"/>
              <a:t>]</a:t>
            </a:r>
            <a:endParaRPr lang="ko-KR" sz="1500" u="none" dirty="0"/>
          </a:p>
        </c:rich>
      </c:tx>
      <c:layout>
        <c:manualLayout>
          <c:xMode val="edge"/>
          <c:yMode val="edge"/>
          <c:x val="0.31911561953066397"/>
          <c:y val="2.3947951860845428E-2"/>
        </c:manualLayout>
      </c:layout>
      <c:overlay val="0"/>
      <c:spPr>
        <a:noFill/>
        <a:ln>
          <a:noFill/>
        </a:ln>
        <a:effectLst/>
      </c:spPr>
      <c:txPr>
        <a:bodyPr rot="0" spcFirstLastPara="1" vertOverflow="ellipsis" vert="horz" wrap="square" anchor="ctr" anchorCtr="1"/>
        <a:lstStyle/>
        <a:p>
          <a:pPr>
            <a:defRPr sz="1500" b="1"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title>
    <c:autoTitleDeleted val="0"/>
    <c:plotArea>
      <c:layout/>
      <c:barChart>
        <c:barDir val="bar"/>
        <c:grouping val="clustered"/>
        <c:varyColors val="0"/>
        <c:ser>
          <c:idx val="0"/>
          <c:order val="0"/>
          <c:tx>
            <c:strRef>
              <c:f>'visitor demographic'!$V$4</c:f>
              <c:strCache>
                <c:ptCount val="1"/>
                <c:pt idx="0">
                  <c:v>Total Views</c:v>
                </c:pt>
              </c:strCache>
            </c:strRef>
          </c:tx>
          <c:spPr>
            <a:solidFill>
              <a:srgbClr val="0070C0"/>
            </a:soli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demographic'!$V$5:$V$14</c:f>
              <c:numCache>
                <c:formatCode>General</c:formatCode>
                <c:ptCount val="10"/>
                <c:pt idx="0">
                  <c:v>926</c:v>
                </c:pt>
                <c:pt idx="1">
                  <c:v>881</c:v>
                </c:pt>
                <c:pt idx="2">
                  <c:v>165</c:v>
                </c:pt>
                <c:pt idx="3">
                  <c:v>121</c:v>
                </c:pt>
                <c:pt idx="4">
                  <c:v>113</c:v>
                </c:pt>
                <c:pt idx="5">
                  <c:v>107</c:v>
                </c:pt>
                <c:pt idx="6">
                  <c:v>92</c:v>
                </c:pt>
                <c:pt idx="7">
                  <c:v>52</c:v>
                </c:pt>
                <c:pt idx="8">
                  <c:v>51</c:v>
                </c:pt>
                <c:pt idx="9">
                  <c:v>49</c:v>
                </c:pt>
              </c:numCache>
            </c:numRef>
          </c:val>
          <c:extLst>
            <c:ext xmlns:c16="http://schemas.microsoft.com/office/drawing/2014/chart" uri="{C3380CC4-5D6E-409C-BE32-E72D297353CC}">
              <c16:uniqueId val="{00000000-EC02-4476-9768-CCD7F7954F05}"/>
            </c:ext>
          </c:extLst>
        </c:ser>
        <c:ser>
          <c:idx val="1"/>
          <c:order val="1"/>
          <c:tx>
            <c:strRef>
              <c:f>'visitor demographic'!$W$4</c:f>
              <c:strCache>
                <c:ptCount val="1"/>
                <c:pt idx="0">
                  <c:v>Percentage</c:v>
                </c:pt>
              </c:strCache>
            </c:strRef>
          </c:tx>
          <c:spPr>
            <a:gradFill rotWithShape="1">
              <a:gsLst>
                <a:gs pos="0">
                  <a:schemeClr val="accent1">
                    <a:shade val="76000"/>
                    <a:satMod val="103000"/>
                    <a:lumMod val="102000"/>
                    <a:tint val="94000"/>
                  </a:schemeClr>
                </a:gs>
                <a:gs pos="50000">
                  <a:schemeClr val="accent1">
                    <a:shade val="76000"/>
                    <a:satMod val="110000"/>
                    <a:lumMod val="100000"/>
                    <a:shade val="100000"/>
                  </a:schemeClr>
                </a:gs>
                <a:gs pos="100000">
                  <a:schemeClr val="accent1">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97" b="0" i="0" u="none" strike="noStrike" kern="1200" baseline="0">
                    <a:solidFill>
                      <a:schemeClr val="tx1">
                        <a:lumMod val="75000"/>
                        <a:lumOff val="25000"/>
                      </a:schemeClr>
                    </a:solidFill>
                    <a:latin typeface="NanumBarunGothic" panose="020B0603020101020101" pitchFamily="34" charset="-127"/>
                    <a:ea typeface="NanumBarunGothic" panose="020B0603020101020101" pitchFamily="34" charset="-127"/>
                    <a:cs typeface="+mn-cs"/>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'visitor demographic'!$U$5:$U$14</c:f>
              <c:strCache>
                <c:ptCount val="10"/>
                <c:pt idx="0">
                  <c:v>Pharmaceutical Manufacturing</c:v>
                </c:pt>
                <c:pt idx="1">
                  <c:v>Biotechnology Research</c:v>
                </c:pt>
                <c:pt idx="2">
                  <c:v>Advertising Services</c:v>
                </c:pt>
                <c:pt idx="3">
                  <c:v>Research Services</c:v>
                </c:pt>
                <c:pt idx="4">
                  <c:v>Hospitals and Health Care</c:v>
                </c:pt>
                <c:pt idx="5">
                  <c:v>IT Services and IT Consulting</c:v>
                </c:pt>
                <c:pt idx="6">
                  <c:v>Software Development</c:v>
                </c:pt>
                <c:pt idx="7">
                  <c:v>Higher Education</c:v>
                </c:pt>
                <c:pt idx="8">
                  <c:v>Financial Services</c:v>
                </c:pt>
                <c:pt idx="9">
                  <c:v>Medical Equipment Manufacturing</c:v>
                </c:pt>
              </c:strCache>
            </c:strRef>
          </c:cat>
          <c:val>
            <c:numRef>
              <c:f>'visitor demographic'!$W$5:$W$14</c:f>
              <c:numCache>
                <c:formatCode>0.0%</c:formatCode>
                <c:ptCount val="10"/>
                <c:pt idx="0">
                  <c:v>0.28466031355671689</c:v>
                </c:pt>
                <c:pt idx="1">
                  <c:v>0.27082692898862587</c:v>
                </c:pt>
                <c:pt idx="2">
                  <c:v>5.0722410083000311E-2</c:v>
                </c:pt>
                <c:pt idx="3">
                  <c:v>3.7196434060866895E-2</c:v>
                </c:pt>
                <c:pt idx="4">
                  <c:v>3.4737165693206271E-2</c:v>
                </c:pt>
                <c:pt idx="5">
                  <c:v>3.2892714417460805E-2</c:v>
                </c:pt>
                <c:pt idx="6">
                  <c:v>2.8281586228097143E-2</c:v>
                </c:pt>
                <c:pt idx="7">
                  <c:v>1.5985244389794036E-2</c:v>
                </c:pt>
                <c:pt idx="8">
                  <c:v>1.567783584383646E-2</c:v>
                </c:pt>
                <c:pt idx="9">
                  <c:v>1.5063018751921304E-2</c:v>
                </c:pt>
              </c:numCache>
            </c:numRef>
          </c:val>
          <c:extLst>
            <c:ext xmlns:c16="http://schemas.microsoft.com/office/drawing/2014/chart" uri="{C3380CC4-5D6E-409C-BE32-E72D297353CC}">
              <c16:uniqueId val="{00000001-EC02-4476-9768-CCD7F7954F05}"/>
            </c:ext>
          </c:extLst>
        </c:ser>
        <c:dLbls>
          <c:dLblPos val="outEnd"/>
          <c:showLegendKey val="0"/>
          <c:showVal val="1"/>
          <c:showCatName val="0"/>
          <c:showSerName val="0"/>
          <c:showPercent val="0"/>
          <c:showBubbleSize val="0"/>
        </c:dLbls>
        <c:gapWidth val="150"/>
        <c:axId val="586599584"/>
        <c:axId val="586588704"/>
      </c:barChart>
      <c:catAx>
        <c:axId val="586599584"/>
        <c:scaling>
          <c:orientation val="maxMin"/>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NanumBarunGothic" panose="020B0603020101020101" pitchFamily="34" charset="-127"/>
                <a:ea typeface="NanumBarunGothic" panose="020B0603020101020101" pitchFamily="34" charset="-127"/>
                <a:cs typeface="+mn-cs"/>
              </a:defRPr>
            </a:pPr>
            <a:endParaRPr lang="ko-KR"/>
          </a:p>
        </c:txPr>
        <c:crossAx val="586588704"/>
        <c:crosses val="autoZero"/>
        <c:auto val="1"/>
        <c:lblAlgn val="ctr"/>
        <c:lblOffset val="100"/>
        <c:noMultiLvlLbl val="0"/>
      </c:catAx>
      <c:valAx>
        <c:axId val="586588704"/>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high"/>
        <c:spPr>
          <a:noFill/>
          <a:ln>
            <a:noFill/>
          </a:ln>
          <a:effectLst/>
        </c:spPr>
        <c:txPr>
          <a:bodyPr rot="-60000000" spcFirstLastPara="1" vertOverflow="ellipsis" vert="horz" wrap="square" anchor="ctr" anchorCtr="1"/>
          <a:lstStyle/>
          <a:p>
            <a:pPr>
              <a:defRPr sz="1000" b="1" i="0" u="none" strike="noStrike" kern="1200" baseline="0">
                <a:solidFill>
                  <a:schemeClr val="tx1">
                    <a:lumMod val="50000"/>
                    <a:lumOff val="50000"/>
                  </a:schemeClr>
                </a:solidFill>
                <a:latin typeface="NanumBarunGothic" panose="020B0603020101020101" pitchFamily="34" charset="-127"/>
                <a:ea typeface="NanumBarunGothic" panose="020B0603020101020101" pitchFamily="34" charset="-127"/>
                <a:cs typeface="+mn-cs"/>
              </a:defRPr>
            </a:pPr>
            <a:endParaRPr lang="ko-KR"/>
          </a:p>
        </c:txPr>
        <c:crossAx val="586599584"/>
        <c:crosses val="autoZero"/>
        <c:crossBetween val="between"/>
      </c:valAx>
      <c:spPr>
        <a:noFill/>
        <a:ln>
          <a:noFill/>
        </a:ln>
        <a:effectLst/>
      </c:spPr>
    </c:plotArea>
    <c:plotVisOnly val="1"/>
    <c:dispBlanksAs val="gap"/>
    <c:showDLblsOverMax val="0"/>
  </c:chart>
  <c:spPr>
    <a:solidFill>
      <a:srgbClr val="F5F5F5"/>
    </a:solidFill>
    <a:ln w="9525" cap="flat" cmpd="sng" algn="ctr">
      <a:noFill/>
      <a:round/>
    </a:ln>
    <a:effectLst/>
  </c:spPr>
  <c:txPr>
    <a:bodyPr/>
    <a:lstStyle/>
    <a:p>
      <a:pPr>
        <a:defRPr>
          <a:latin typeface="NanumBarunGothic" panose="020B0603020101020101" pitchFamily="34" charset="-127"/>
          <a:ea typeface="NanumBarunGothic" panose="020B0603020101020101" pitchFamily="34" charset="-127"/>
        </a:defRPr>
      </a:pPr>
      <a:endParaRPr lang="ko-KR"/>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KPI!$J$26</c:f>
              <c:strCache>
                <c:ptCount val="1"/>
                <c:pt idx="0">
                  <c:v>PV</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6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KPI!$J$27:$J$32</c:f>
              <c:numCache>
                <c:formatCode>General</c:formatCode>
                <c:ptCount val="6"/>
                <c:pt idx="0">
                  <c:v>3274</c:v>
                </c:pt>
                <c:pt idx="1">
                  <c:v>4055</c:v>
                </c:pt>
                <c:pt idx="2">
                  <c:v>3492</c:v>
                </c:pt>
                <c:pt idx="3">
                  <c:v>4656</c:v>
                </c:pt>
                <c:pt idx="4">
                  <c:v>2673</c:v>
                </c:pt>
                <c:pt idx="5">
                  <c:v>3298</c:v>
                </c:pt>
              </c:numCache>
            </c:numRef>
          </c:val>
          <c:extLst>
            <c:ext xmlns:c16="http://schemas.microsoft.com/office/drawing/2014/chart" uri="{C3380CC4-5D6E-409C-BE32-E72D297353CC}">
              <c16:uniqueId val="{00000001-5E8B-433D-813F-27C4D11882E4}"/>
            </c:ext>
          </c:extLst>
        </c:ser>
        <c:dLbls>
          <c:dLblPos val="inEnd"/>
          <c:showLegendKey val="0"/>
          <c:showVal val="1"/>
          <c:showCatName val="0"/>
          <c:showSerName val="0"/>
          <c:showPercent val="0"/>
          <c:showBubbleSize val="0"/>
        </c:dLbls>
        <c:gapWidth val="219"/>
        <c:overlap val="-27"/>
        <c:axId val="207470400"/>
        <c:axId val="207468224"/>
      </c:barChart>
      <c:catAx>
        <c:axId val="207470400"/>
        <c:scaling>
          <c:orientation val="minMax"/>
        </c:scaling>
        <c:delete val="1"/>
        <c:axPos val="b"/>
        <c:numFmt formatCode="General" sourceLinked="1"/>
        <c:majorTickMark val="none"/>
        <c:minorTickMark val="none"/>
        <c:tickLblPos val="nextTo"/>
        <c:crossAx val="207468224"/>
        <c:crosses val="autoZero"/>
        <c:auto val="1"/>
        <c:lblAlgn val="ctr"/>
        <c:lblOffset val="100"/>
        <c:noMultiLvlLbl val="0"/>
      </c:catAx>
      <c:valAx>
        <c:axId val="207468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04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KPI!$K$26</c:f>
              <c:strCache>
                <c:ptCount val="1"/>
                <c:pt idx="0">
                  <c:v>CPF</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KPI!$K$27:$K$32</c:f>
              <c:numCache>
                <c:formatCode>0_ </c:formatCode>
                <c:ptCount val="6"/>
                <c:pt idx="0">
                  <c:v>2372</c:v>
                </c:pt>
                <c:pt idx="1">
                  <c:v>1785</c:v>
                </c:pt>
                <c:pt idx="2">
                  <c:v>2190</c:v>
                </c:pt>
                <c:pt idx="3">
                  <c:v>1972</c:v>
                </c:pt>
                <c:pt idx="4">
                  <c:v>1540</c:v>
                </c:pt>
                <c:pt idx="5">
                  <c:v>15796.42136752137</c:v>
                </c:pt>
              </c:numCache>
            </c:numRef>
          </c:val>
          <c:extLst>
            <c:ext xmlns:c16="http://schemas.microsoft.com/office/drawing/2014/chart" uri="{C3380CC4-5D6E-409C-BE32-E72D297353CC}">
              <c16:uniqueId val="{00000001-3C4A-4947-986F-1B8F3325954D}"/>
            </c:ext>
          </c:extLst>
        </c:ser>
        <c:dLbls>
          <c:dLblPos val="outEnd"/>
          <c:showLegendKey val="0"/>
          <c:showVal val="1"/>
          <c:showCatName val="0"/>
          <c:showSerName val="0"/>
          <c:showPercent val="0"/>
          <c:showBubbleSize val="0"/>
        </c:dLbls>
        <c:gapWidth val="219"/>
        <c:overlap val="-27"/>
        <c:axId val="207468768"/>
        <c:axId val="207469856"/>
      </c:barChart>
      <c:catAx>
        <c:axId val="207468768"/>
        <c:scaling>
          <c:orientation val="minMax"/>
        </c:scaling>
        <c:delete val="1"/>
        <c:axPos val="b"/>
        <c:numFmt formatCode="General" sourceLinked="1"/>
        <c:majorTickMark val="none"/>
        <c:minorTickMark val="none"/>
        <c:tickLblPos val="nextTo"/>
        <c:crossAx val="207469856"/>
        <c:crosses val="autoZero"/>
        <c:auto val="1"/>
        <c:lblAlgn val="ctr"/>
        <c:lblOffset val="100"/>
        <c:noMultiLvlLbl val="0"/>
      </c:catAx>
      <c:valAx>
        <c:axId val="207469856"/>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6876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KPI!$L$26</c:f>
              <c:strCache>
                <c:ptCount val="1"/>
                <c:pt idx="0">
                  <c:v>(만원)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ko-KR" altLang="en-US"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KPI!$L$27:$L$32</c:f>
              <c:numCache>
                <c:formatCode>0_ </c:formatCode>
                <c:ptCount val="6"/>
                <c:pt idx="0">
                  <c:v>48</c:v>
                </c:pt>
                <c:pt idx="1">
                  <c:v>32</c:v>
                </c:pt>
                <c:pt idx="2">
                  <c:v>55</c:v>
                </c:pt>
                <c:pt idx="3">
                  <c:v>70</c:v>
                </c:pt>
                <c:pt idx="4">
                  <c:v>66</c:v>
                </c:pt>
                <c:pt idx="5">
                  <c:v>857.42579447923924</c:v>
                </c:pt>
              </c:numCache>
            </c:numRef>
          </c:val>
          <c:extLst>
            <c:ext xmlns:c16="http://schemas.microsoft.com/office/drawing/2014/chart" uri="{C3380CC4-5D6E-409C-BE32-E72D297353CC}">
              <c16:uniqueId val="{00000000-8220-41BE-8D07-DE3D826DC4EE}"/>
            </c:ext>
          </c:extLst>
        </c:ser>
        <c:dLbls>
          <c:dLblPos val="inEnd"/>
          <c:showLegendKey val="0"/>
          <c:showVal val="1"/>
          <c:showCatName val="0"/>
          <c:showSerName val="0"/>
          <c:showPercent val="0"/>
          <c:showBubbleSize val="0"/>
        </c:dLbls>
        <c:gapWidth val="219"/>
        <c:overlap val="-27"/>
        <c:axId val="207471488"/>
        <c:axId val="207473664"/>
      </c:barChart>
      <c:catAx>
        <c:axId val="207471488"/>
        <c:scaling>
          <c:orientation val="minMax"/>
        </c:scaling>
        <c:delete val="1"/>
        <c:axPos val="b"/>
        <c:numFmt formatCode="General" sourceLinked="1"/>
        <c:majorTickMark val="none"/>
        <c:minorTickMark val="none"/>
        <c:tickLblPos val="nextTo"/>
        <c:crossAx val="207473664"/>
        <c:crosses val="autoZero"/>
        <c:auto val="1"/>
        <c:lblAlgn val="ctr"/>
        <c:lblOffset val="100"/>
        <c:noMultiLvlLbl val="0"/>
      </c:catAx>
      <c:valAx>
        <c:axId val="207473664"/>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74714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995280554772673"/>
          <c:y val="8.315078352884725E-2"/>
          <c:w val="0.78004719445227333"/>
          <c:h val="0.8336984329423055"/>
        </c:manualLayout>
      </c:layout>
      <c:barChart>
        <c:barDir val="col"/>
        <c:grouping val="clustered"/>
        <c:varyColors val="0"/>
        <c:ser>
          <c:idx val="0"/>
          <c:order val="0"/>
          <c:tx>
            <c:strRef>
              <c:f>KPI!$M$26</c:f>
              <c:strCache>
                <c:ptCount val="1"/>
                <c:pt idx="0">
                  <c:v>광고비(만원)</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KPI!$I$27:$I$32</c:f>
              <c:strCache>
                <c:ptCount val="6"/>
                <c:pt idx="0">
                  <c:v>1월</c:v>
                </c:pt>
                <c:pt idx="1">
                  <c:v>2월</c:v>
                </c:pt>
                <c:pt idx="2">
                  <c:v>3월</c:v>
                </c:pt>
                <c:pt idx="3">
                  <c:v>4월</c:v>
                </c:pt>
                <c:pt idx="4">
                  <c:v>5월</c:v>
                </c:pt>
                <c:pt idx="5">
                  <c:v>6월</c:v>
                </c:pt>
              </c:strCache>
            </c:strRef>
          </c:cat>
          <c:val>
            <c:numRef>
              <c:f>KPI!$M$27:$M$32</c:f>
              <c:numCache>
                <c:formatCode>0_ </c:formatCode>
                <c:ptCount val="6"/>
                <c:pt idx="0">
                  <c:v>140</c:v>
                </c:pt>
                <c:pt idx="1">
                  <c:v>169</c:v>
                </c:pt>
                <c:pt idx="2">
                  <c:v>250</c:v>
                </c:pt>
                <c:pt idx="3">
                  <c:v>378</c:v>
                </c:pt>
                <c:pt idx="4">
                  <c:v>210</c:v>
                </c:pt>
                <c:pt idx="5">
                  <c:v>369.63626000000005</c:v>
                </c:pt>
              </c:numCache>
            </c:numRef>
          </c:val>
          <c:extLst>
            <c:ext xmlns:c16="http://schemas.microsoft.com/office/drawing/2014/chart" uri="{C3380CC4-5D6E-409C-BE32-E72D297353CC}">
              <c16:uniqueId val="{00000000-3732-485E-996D-E9EB8760551C}"/>
            </c:ext>
          </c:extLst>
        </c:ser>
        <c:dLbls>
          <c:dLblPos val="inEnd"/>
          <c:showLegendKey val="0"/>
          <c:showVal val="1"/>
          <c:showCatName val="0"/>
          <c:showSerName val="0"/>
          <c:showPercent val="0"/>
          <c:showBubbleSize val="0"/>
        </c:dLbls>
        <c:gapWidth val="219"/>
        <c:overlap val="-27"/>
        <c:axId val="2000667712"/>
        <c:axId val="2000662272"/>
      </c:barChart>
      <c:catAx>
        <c:axId val="2000667712"/>
        <c:scaling>
          <c:orientation val="minMax"/>
        </c:scaling>
        <c:delete val="1"/>
        <c:axPos val="b"/>
        <c:numFmt formatCode="General" sourceLinked="1"/>
        <c:majorTickMark val="none"/>
        <c:minorTickMark val="none"/>
        <c:tickLblPos val="nextTo"/>
        <c:crossAx val="2000662272"/>
        <c:crosses val="autoZero"/>
        <c:auto val="1"/>
        <c:lblAlgn val="ctr"/>
        <c:lblOffset val="100"/>
        <c:noMultiLvlLbl val="0"/>
      </c:catAx>
      <c:valAx>
        <c:axId val="2000662272"/>
        <c:scaling>
          <c:orientation val="minMax"/>
        </c:scaling>
        <c:delete val="0"/>
        <c:axPos val="l"/>
        <c:majorGridlines>
          <c:spPr>
            <a:ln w="9525" cap="flat" cmpd="sng" algn="ctr">
              <a:solidFill>
                <a:schemeClr val="tx1">
                  <a:lumMod val="15000"/>
                  <a:lumOff val="85000"/>
                </a:schemeClr>
              </a:solidFill>
              <a:round/>
            </a:ln>
            <a:effectLst/>
          </c:spPr>
        </c:majorGridlines>
        <c:numFmt formatCode="0_ " sourceLinked="1"/>
        <c:majorTickMark val="none"/>
        <c:minorTickMark val="none"/>
        <c:tickLblPos val="nextTo"/>
        <c:spPr>
          <a:noFill/>
          <a:ln>
            <a:no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defRPr>
            </a:pPr>
            <a:endParaRPr lang="ko-KR"/>
          </a:p>
        </c:txPr>
        <c:crossAx val="20006677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ko-K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ko-KR"/>
        </a:p>
      </c:txPr>
    </c:title>
    <c:autoTitleDeleted val="0"/>
    <c:plotArea>
      <c:layout/>
      <c:doughnutChart>
        <c:varyColors val="1"/>
        <c:ser>
          <c:idx val="0"/>
          <c:order val="0"/>
          <c:tx>
            <c:strRef>
              <c:f>KPI!$P$26</c:f>
              <c:strCache>
                <c:ptCount val="1"/>
                <c:pt idx="0">
                  <c:v>팔로워</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96-42A0-AE00-FC72BCCCB9C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96-42A0-AE00-FC72BCCCB9C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FA96-42A0-AE00-FC72BCCCB9C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FA96-42A0-AE00-FC72BCCCB9C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FA96-42A0-AE00-FC72BCCCB9C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FA96-42A0-AE00-FC72BCCCB9C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FA96-42A0-AE00-FC72BCCCB9C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DCD-4C2A-BECC-065C96B4A76F}"/>
              </c:ext>
            </c:extLst>
          </c:dPt>
          <c:cat>
            <c:strRef>
              <c:f>KPI!$O$27:$O$34</c:f>
              <c:strCache>
                <c:ptCount val="8"/>
                <c:pt idx="0">
                  <c:v>2023년</c:v>
                </c:pt>
                <c:pt idx="1">
                  <c:v>1월</c:v>
                </c:pt>
                <c:pt idx="2">
                  <c:v>2월</c:v>
                </c:pt>
                <c:pt idx="3">
                  <c:v>3월</c:v>
                </c:pt>
                <c:pt idx="4">
                  <c:v>4월</c:v>
                </c:pt>
                <c:pt idx="5">
                  <c:v>5월</c:v>
                </c:pt>
                <c:pt idx="6">
                  <c:v>6월</c:v>
                </c:pt>
                <c:pt idx="7">
                  <c:v>잔여KPI</c:v>
                </c:pt>
              </c:strCache>
            </c:strRef>
          </c:cat>
          <c:val>
            <c:numRef>
              <c:f>KPI!$P$27:$P$34</c:f>
              <c:numCache>
                <c:formatCode>General</c:formatCode>
                <c:ptCount val="8"/>
                <c:pt idx="0">
                  <c:v>13640</c:v>
                </c:pt>
                <c:pt idx="1">
                  <c:v>593</c:v>
                </c:pt>
                <c:pt idx="2">
                  <c:v>949</c:v>
                </c:pt>
                <c:pt idx="3">
                  <c:v>1144</c:v>
                </c:pt>
                <c:pt idx="4">
                  <c:v>1919</c:v>
                </c:pt>
                <c:pt idx="5" formatCode="#,##0_ ">
                  <c:v>1365</c:v>
                </c:pt>
                <c:pt idx="6" formatCode="#,##0_ ">
                  <c:v>859</c:v>
                </c:pt>
                <c:pt idx="7" formatCode="#,##0_ ">
                  <c:v>9531</c:v>
                </c:pt>
              </c:numCache>
            </c:numRef>
          </c:val>
          <c:extLst>
            <c:ext xmlns:c16="http://schemas.microsoft.com/office/drawing/2014/chart" uri="{C3380CC4-5D6E-409C-BE32-E72D297353CC}">
              <c16:uniqueId val="{00000000-D181-4105-8441-B3B8D08CA31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ko-K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ko-K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0">
  <cs:axisTitle>
    <cs:lnRef idx="0"/>
    <cs:fillRef idx="0"/>
    <cs:effectRef idx="0"/>
    <cs:fontRef idx="minor">
      <a:schemeClr val="dk1">
        <a:lumMod val="65000"/>
        <a:lumOff val="35000"/>
      </a:schemeClr>
    </cs:fontRef>
    <cs:defRPr sz="1197" kern="1200" cap="all"/>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b="0" kern="1200" spc="20" baseline="0"/>
  </cs:categoryAxis>
  <cs:chartArea mods="allowNoLineOverride">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1197" kern="1200"/>
  </cs:chartArea>
  <cs:dataLabel>
    <cs:lnRef idx="0"/>
    <cs:fillRef idx="0"/>
    <cs:effectRef idx="0"/>
    <cs:fontRef idx="minor">
      <a:schemeClr val="dk1">
        <a:lumMod val="65000"/>
        <a:lumOff val="3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0"/>
    <cs:effectRef idx="0"/>
    <cs:fontRef idx="minor">
      <a:schemeClr val="dk1"/>
    </cs:fontRef>
    <cs:spPr>
      <a:ln w="22225" cap="rnd" cmpd="sng" algn="ctr">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1197" kern="1200"/>
  </cs:dataTable>
  <cs:downBar>
    <cs:lnRef idx="0"/>
    <cs:fillRef idx="0"/>
    <cs:effectRef idx="0"/>
    <cs:fontRef idx="minor">
      <a:schemeClr val="dk1"/>
    </cs:fontRef>
    <cs:spPr>
      <a:solidFill>
        <a:schemeClr val="dk1">
          <a:lumMod val="75000"/>
          <a:lumOff val="25000"/>
        </a:schemeClr>
      </a:solidFill>
      <a:ln w="9525">
        <a:solidFill>
          <a:schemeClr val="dk1">
            <a:lumMod val="65000"/>
            <a:lumOff val="35000"/>
          </a:schemeClr>
        </a:solidFill>
      </a:ln>
    </cs:spPr>
  </cs:downBar>
  <cs:dropLine>
    <cs:lnRef idx="0"/>
    <cs:fillRef idx="0"/>
    <cs:effectRef idx="0"/>
    <cs:fontRef idx="minor">
      <a:schemeClr val="dk1"/>
    </cs:fontRef>
    <cs:spPr>
      <a:ln w="9525" cap="flat" cmpd="sng" algn="ctr">
        <a:solidFill>
          <a:schemeClr val="dk1">
            <a:lumMod val="35000"/>
            <a:lumOff val="65000"/>
            <a:alpha val="33000"/>
          </a:schemeClr>
        </a:solidFill>
        <a:round/>
      </a:ln>
    </cs:spPr>
  </cs:dropLine>
  <cs:errorBar>
    <cs:lnRef idx="0"/>
    <cs:fillRef idx="0"/>
    <cs:effectRef idx="0"/>
    <cs:fontRef idx="minor">
      <a:schemeClr val="dk1"/>
    </cs:fontRef>
    <cs:spPr>
      <a:ln w="9525">
        <a:solidFill>
          <a:schemeClr val="dk1">
            <a:lumMod val="65000"/>
            <a:lumOff val="35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1197" kern="1200"/>
  </cs:legend>
  <cs:plotArea>
    <cs:lnRef idx="0"/>
    <cs:fillRef idx="0"/>
    <cs:effectRef idx="0"/>
    <cs:fontRef idx="minor">
      <a:schemeClr val="dk1"/>
    </cs:fontRef>
    <cs:spPr>
      <a:gradFill>
        <a:gsLst>
          <a:gs pos="100000">
            <a:schemeClr val="lt1">
              <a:lumMod val="95000"/>
            </a:schemeClr>
          </a:gs>
          <a:gs pos="0">
            <a:schemeClr val="lt1"/>
          </a:gs>
        </a:gsLst>
        <a:lin ang="5400000" scaled="0"/>
      </a:gradFill>
    </cs:spPr>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197" kern="1200"/>
  </cs:seriesAxis>
  <cs:seriesLine>
    <cs:lnRef idx="0"/>
    <cs:fillRef idx="0"/>
    <cs:effectRef idx="0"/>
    <cs:fontRef idx="minor">
      <a:schemeClr val="dk1"/>
    </cs:fontRef>
    <cs:spPr>
      <a:ln w="9525">
        <a:solidFill>
          <a:schemeClr val="dk1">
            <a:lumMod val="35000"/>
            <a:lumOff val="65000"/>
          </a:schemeClr>
        </a:solidFill>
        <a:prstDash val="dash"/>
      </a:ln>
    </cs:spPr>
  </cs:seriesLine>
  <cs:title>
    <cs:lnRef idx="0"/>
    <cs:fillRef idx="0"/>
    <cs:effectRef idx="0"/>
    <cs:fontRef idx="minor">
      <a:schemeClr val="dk1">
        <a:lumMod val="50000"/>
        <a:lumOff val="50000"/>
      </a:schemeClr>
    </cs:fontRef>
    <cs:defRPr sz="1862" kern="1200" cap="none" spc="2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65000"/>
        <a:lumOff val="35000"/>
      </a:schemeClr>
    </cs:fontRef>
    <cs:defRPr sz="1197" kern="1200" spc="20" baseline="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1197"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1197"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2128"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33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1197"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330" kern="1200"/>
  </cs:chartArea>
  <cs:dataLabel>
    <cs:lnRef idx="0"/>
    <cs:fillRef idx="0"/>
    <cs:effectRef idx="0"/>
    <cs:fontRef idx="minor">
      <a:schemeClr val="tx1">
        <a:lumMod val="75000"/>
        <a:lumOff val="25000"/>
      </a:schemeClr>
    </cs:fontRef>
    <cs:defRPr sz="1197"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1197"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1197"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1197"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1197"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62"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1197"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1197"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2" Type="http://schemas.openxmlformats.org/officeDocument/2006/relationships/chart" Target="../charts/chart12.xml"/><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chart" Target="../charts/chart13.xml"/><Relationship Id="rId5" Type="http://schemas.openxmlformats.org/officeDocument/2006/relationships/chart" Target="../charts/chart17.xml"/><Relationship Id="rId4" Type="http://schemas.openxmlformats.org/officeDocument/2006/relationships/chart" Target="../charts/chart16.xml"/></Relationships>
</file>

<file path=xl/drawings/drawing1.xml><?xml version="1.0" encoding="utf-8"?>
<xdr:wsDr xmlns:xdr="http://schemas.openxmlformats.org/drawingml/2006/spreadsheetDrawing" xmlns:a="http://schemas.openxmlformats.org/drawingml/2006/main">
  <xdr:twoCellAnchor>
    <xdr:from>
      <xdr:col>3</xdr:col>
      <xdr:colOff>219075</xdr:colOff>
      <xdr:row>3</xdr:row>
      <xdr:rowOff>85724</xdr:rowOff>
    </xdr:from>
    <xdr:to>
      <xdr:col>14</xdr:col>
      <xdr:colOff>371475</xdr:colOff>
      <xdr:row>20</xdr:row>
      <xdr:rowOff>191592</xdr:rowOff>
    </xdr:to>
    <xdr:graphicFrame macro="">
      <xdr:nvGraphicFramePr>
        <xdr:cNvPr id="2" name="차트 1">
          <a:extLst>
            <a:ext uri="{FF2B5EF4-FFF2-40B4-BE49-F238E27FC236}">
              <a16:creationId xmlns:a16="http://schemas.microsoft.com/office/drawing/2014/main" id="{BEF4FD02-893A-B7DB-1FFD-A47B65BD1C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142875</xdr:colOff>
      <xdr:row>4</xdr:row>
      <xdr:rowOff>142875</xdr:rowOff>
    </xdr:from>
    <xdr:to>
      <xdr:col>26</xdr:col>
      <xdr:colOff>87952</xdr:colOff>
      <xdr:row>22</xdr:row>
      <xdr:rowOff>173713</xdr:rowOff>
    </xdr:to>
    <xdr:graphicFrame macro="">
      <xdr:nvGraphicFramePr>
        <xdr:cNvPr id="3" name="차트 2">
          <a:extLst>
            <a:ext uri="{FF2B5EF4-FFF2-40B4-BE49-F238E27FC236}">
              <a16:creationId xmlns:a16="http://schemas.microsoft.com/office/drawing/2014/main" id="{DA29043A-4CAC-F4C4-33A1-F6ED0749984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171450</xdr:colOff>
      <xdr:row>4</xdr:row>
      <xdr:rowOff>47626</xdr:rowOff>
    </xdr:from>
    <xdr:to>
      <xdr:col>20</xdr:col>
      <xdr:colOff>469901</xdr:colOff>
      <xdr:row>22</xdr:row>
      <xdr:rowOff>194392</xdr:rowOff>
    </xdr:to>
    <xdr:graphicFrame macro="">
      <xdr:nvGraphicFramePr>
        <xdr:cNvPr id="3" name="차트 2">
          <a:extLst>
            <a:ext uri="{FF2B5EF4-FFF2-40B4-BE49-F238E27FC236}">
              <a16:creationId xmlns:a16="http://schemas.microsoft.com/office/drawing/2014/main" id="{31CB62C7-C037-6665-B464-29C7C61F2F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47625</xdr:colOff>
      <xdr:row>4</xdr:row>
      <xdr:rowOff>57150</xdr:rowOff>
    </xdr:from>
    <xdr:to>
      <xdr:col>19</xdr:col>
      <xdr:colOff>346074</xdr:colOff>
      <xdr:row>21</xdr:row>
      <xdr:rowOff>116831</xdr:rowOff>
    </xdr:to>
    <xdr:graphicFrame macro="">
      <xdr:nvGraphicFramePr>
        <xdr:cNvPr id="3" name="차트 2">
          <a:extLst>
            <a:ext uri="{FF2B5EF4-FFF2-40B4-BE49-F238E27FC236}">
              <a16:creationId xmlns:a16="http://schemas.microsoft.com/office/drawing/2014/main" id="{127D5D03-077E-D417-41FD-8C111E79DE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7</xdr:col>
      <xdr:colOff>390525</xdr:colOff>
      <xdr:row>9</xdr:row>
      <xdr:rowOff>186274</xdr:rowOff>
    </xdr:from>
    <xdr:to>
      <xdr:col>13</xdr:col>
      <xdr:colOff>895351</xdr:colOff>
      <xdr:row>26</xdr:row>
      <xdr:rowOff>103041</xdr:rowOff>
    </xdr:to>
    <xdr:graphicFrame macro="">
      <xdr:nvGraphicFramePr>
        <xdr:cNvPr id="2" name="차트 1">
          <a:extLst>
            <a:ext uri="{FF2B5EF4-FFF2-40B4-BE49-F238E27FC236}">
              <a16:creationId xmlns:a16="http://schemas.microsoft.com/office/drawing/2014/main" id="{87175FF7-3EF3-4F4B-33AD-0FBBB3139F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890498</xdr:colOff>
      <xdr:row>9</xdr:row>
      <xdr:rowOff>171450</xdr:rowOff>
    </xdr:from>
    <xdr:to>
      <xdr:col>17</xdr:col>
      <xdr:colOff>628474</xdr:colOff>
      <xdr:row>26</xdr:row>
      <xdr:rowOff>175229</xdr:rowOff>
    </xdr:to>
    <xdr:graphicFrame macro="">
      <xdr:nvGraphicFramePr>
        <xdr:cNvPr id="3" name="차트 2">
          <a:extLst>
            <a:ext uri="{FF2B5EF4-FFF2-40B4-BE49-F238E27FC236}">
              <a16:creationId xmlns:a16="http://schemas.microsoft.com/office/drawing/2014/main" id="{FCA59AFC-D60C-51EC-A1B4-91FDEA2795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19</xdr:col>
      <xdr:colOff>0</xdr:colOff>
      <xdr:row>7</xdr:row>
      <xdr:rowOff>33617</xdr:rowOff>
    </xdr:from>
    <xdr:to>
      <xdr:col>34</xdr:col>
      <xdr:colOff>277168</xdr:colOff>
      <xdr:row>25</xdr:row>
      <xdr:rowOff>186300</xdr:rowOff>
    </xdr:to>
    <xdr:graphicFrame macro="">
      <xdr:nvGraphicFramePr>
        <xdr:cNvPr id="3" name="차트 2">
          <a:extLst>
            <a:ext uri="{FF2B5EF4-FFF2-40B4-BE49-F238E27FC236}">
              <a16:creationId xmlns:a16="http://schemas.microsoft.com/office/drawing/2014/main" id="{3E662AC5-F3F9-4A98-8B65-F5874491C85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18</xdr:col>
      <xdr:colOff>244929</xdr:colOff>
      <xdr:row>5</xdr:row>
      <xdr:rowOff>81644</xdr:rowOff>
    </xdr:from>
    <xdr:to>
      <xdr:col>33</xdr:col>
      <xdr:colOff>370802</xdr:colOff>
      <xdr:row>24</xdr:row>
      <xdr:rowOff>14108</xdr:rowOff>
    </xdr:to>
    <xdr:graphicFrame macro="">
      <xdr:nvGraphicFramePr>
        <xdr:cNvPr id="3" name="차트 2">
          <a:extLst>
            <a:ext uri="{FF2B5EF4-FFF2-40B4-BE49-F238E27FC236}">
              <a16:creationId xmlns:a16="http://schemas.microsoft.com/office/drawing/2014/main" id="{E2E977B0-47E1-4916-BE73-1410750CE2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276225</xdr:colOff>
      <xdr:row>1</xdr:row>
      <xdr:rowOff>23812</xdr:rowOff>
    </xdr:from>
    <xdr:to>
      <xdr:col>19</xdr:col>
      <xdr:colOff>416199</xdr:colOff>
      <xdr:row>20</xdr:row>
      <xdr:rowOff>61796</xdr:rowOff>
    </xdr:to>
    <xdr:graphicFrame macro="">
      <xdr:nvGraphicFramePr>
        <xdr:cNvPr id="2" name="차트 1">
          <a:extLst>
            <a:ext uri="{FF2B5EF4-FFF2-40B4-BE49-F238E27FC236}">
              <a16:creationId xmlns:a16="http://schemas.microsoft.com/office/drawing/2014/main" id="{F568C7CD-A668-ED33-B8D8-E86235AF46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4</xdr:col>
      <xdr:colOff>276225</xdr:colOff>
      <xdr:row>1</xdr:row>
      <xdr:rowOff>23812</xdr:rowOff>
    </xdr:from>
    <xdr:to>
      <xdr:col>20</xdr:col>
      <xdr:colOff>416199</xdr:colOff>
      <xdr:row>20</xdr:row>
      <xdr:rowOff>61796</xdr:rowOff>
    </xdr:to>
    <xdr:graphicFrame macro="">
      <xdr:nvGraphicFramePr>
        <xdr:cNvPr id="2" name="차트 1">
          <a:extLst>
            <a:ext uri="{FF2B5EF4-FFF2-40B4-BE49-F238E27FC236}">
              <a16:creationId xmlns:a16="http://schemas.microsoft.com/office/drawing/2014/main" id="{B2053B16-C8FF-45A1-B038-BD8F0DCFAF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c:userShapes xmlns:c="http://schemas.openxmlformats.org/drawingml/2006/chart">
  <cdr:relSizeAnchor xmlns:cdr="http://schemas.openxmlformats.org/drawingml/2006/chartDrawing">
    <cdr:from>
      <cdr:x>0.13411</cdr:x>
      <cdr:y>0.80224</cdr:y>
    </cdr:from>
    <cdr:to>
      <cdr:x>0.15211</cdr:x>
      <cdr:y>0.852</cdr:y>
    </cdr:to>
    <cdr:sp macro="" textlink="">
      <cdr:nvSpPr>
        <cdr:cNvPr id="19" name="직사각형 18"/>
        <cdr:cNvSpPr/>
      </cdr:nvSpPr>
      <cdr:spPr>
        <a:xfrm xmlns:a="http://schemas.openxmlformats.org/drawingml/2006/main">
          <a:off x="1490349"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0.25999</cdr:x>
      <cdr:y>0.80601</cdr:y>
    </cdr:from>
    <cdr:to>
      <cdr:x>0.27799</cdr:x>
      <cdr:y>0.85577</cdr:y>
    </cdr:to>
    <cdr:sp macro="" textlink="">
      <cdr:nvSpPr>
        <cdr:cNvPr id="20" name="직사각형 19"/>
        <cdr:cNvSpPr/>
      </cdr:nvSpPr>
      <cdr:spPr>
        <a:xfrm xmlns:a="http://schemas.openxmlformats.org/drawingml/2006/main">
          <a:off x="2889172" y="3239687"/>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0.50208</cdr:x>
      <cdr:y>0.81029</cdr:y>
    </cdr:from>
    <cdr:to>
      <cdr:x>0.52008</cdr:x>
      <cdr:y>0.86005</cdr:y>
    </cdr:to>
    <cdr:sp macro="" textlink="">
      <cdr:nvSpPr>
        <cdr:cNvPr id="21" name="직사각형 20"/>
        <cdr:cNvSpPr/>
      </cdr:nvSpPr>
      <cdr:spPr>
        <a:xfrm xmlns:a="http://schemas.openxmlformats.org/drawingml/2006/main">
          <a:off x="5579499" y="3256921"/>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0.44043</cdr:x>
      <cdr:y>0.80224</cdr:y>
    </cdr:from>
    <cdr:to>
      <cdr:x>0.45843</cdr:x>
      <cdr:y>0.85201</cdr:y>
    </cdr:to>
    <cdr:sp macro="" textlink="">
      <cdr:nvSpPr>
        <cdr:cNvPr id="22" name="직사각형 21"/>
        <cdr:cNvSpPr/>
      </cdr:nvSpPr>
      <cdr:spPr>
        <a:xfrm xmlns:a="http://schemas.openxmlformats.org/drawingml/2006/main">
          <a:off x="4894397" y="3224535"/>
          <a:ext cx="200030" cy="20004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0.71404</cdr:x>
      <cdr:y>0.79957</cdr:y>
    </cdr:from>
    <cdr:to>
      <cdr:x>0.73204</cdr:x>
      <cdr:y>0.84933</cdr:y>
    </cdr:to>
    <cdr:sp macro="" textlink="">
      <cdr:nvSpPr>
        <cdr:cNvPr id="23" name="직사각형 22"/>
        <cdr:cNvSpPr/>
      </cdr:nvSpPr>
      <cdr:spPr>
        <a:xfrm xmlns:a="http://schemas.openxmlformats.org/drawingml/2006/main">
          <a:off x="7934926"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0.68902</cdr:x>
      <cdr:y>0.81143</cdr:y>
    </cdr:from>
    <cdr:to>
      <cdr:x>0.70702</cdr:x>
      <cdr:y>0.86119</cdr:y>
    </cdr:to>
    <cdr:sp macro="" textlink="">
      <cdr:nvSpPr>
        <cdr:cNvPr id="24" name="직사각형 23"/>
        <cdr:cNvSpPr/>
      </cdr:nvSpPr>
      <cdr:spPr>
        <a:xfrm xmlns:a="http://schemas.openxmlformats.org/drawingml/2006/main">
          <a:off x="7656894" y="326147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0.75104</cdr:x>
      <cdr:y>0.81029</cdr:y>
    </cdr:from>
    <cdr:to>
      <cdr:x>0.76904</cdr:x>
      <cdr:y>0.86005</cdr:y>
    </cdr:to>
    <cdr:sp macro="" textlink="">
      <cdr:nvSpPr>
        <cdr:cNvPr id="25" name="직사각형 24"/>
        <cdr:cNvSpPr/>
      </cdr:nvSpPr>
      <cdr:spPr>
        <a:xfrm xmlns:a="http://schemas.openxmlformats.org/drawingml/2006/main">
          <a:off x="8346170" y="3256903"/>
          <a:ext cx="200025" cy="200025"/>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0.86919</cdr:x>
      <cdr:y>0.8049</cdr:y>
    </cdr:from>
    <cdr:to>
      <cdr:x>0.88719</cdr:x>
      <cdr:y>0.85466</cdr:y>
    </cdr:to>
    <cdr:sp macro="" textlink="">
      <cdr:nvSpPr>
        <cdr:cNvPr id="26" name="직사각형 25"/>
        <cdr:cNvSpPr/>
      </cdr:nvSpPr>
      <cdr:spPr>
        <a:xfrm xmlns:a="http://schemas.openxmlformats.org/drawingml/2006/main">
          <a:off x="9659114" y="32352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0.90375</cdr:x>
      <cdr:y>0.8007</cdr:y>
    </cdr:from>
    <cdr:to>
      <cdr:x>0.92175</cdr:x>
      <cdr:y>0.85046</cdr:y>
    </cdr:to>
    <cdr:sp macro="" textlink="">
      <cdr:nvSpPr>
        <cdr:cNvPr id="27" name="직사각형 26"/>
        <cdr:cNvSpPr/>
      </cdr:nvSpPr>
      <cdr:spPr>
        <a:xfrm xmlns:a="http://schemas.openxmlformats.org/drawingml/2006/main">
          <a:off x="10043143" y="3218358"/>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0.07758</cdr:x>
      <cdr:y>0.80224</cdr:y>
    </cdr:from>
    <cdr:to>
      <cdr:x>0.09558</cdr:x>
      <cdr:y>0.852</cdr:y>
    </cdr:to>
    <cdr:sp macro="" textlink="">
      <cdr:nvSpPr>
        <cdr:cNvPr id="12" name="직사각형 11"/>
        <cdr:cNvSpPr/>
      </cdr:nvSpPr>
      <cdr:spPr>
        <a:xfrm xmlns:a="http://schemas.openxmlformats.org/drawingml/2006/main">
          <a:off x="862145" y="3224555"/>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0.10845</cdr:x>
      <cdr:y>0.79957</cdr:y>
    </cdr:from>
    <cdr:to>
      <cdr:x>0.12645</cdr:x>
      <cdr:y>0.84933</cdr:y>
    </cdr:to>
    <cdr:sp macro="" textlink="">
      <cdr:nvSpPr>
        <cdr:cNvPr id="15" name="직사각형 14"/>
        <cdr:cNvSpPr/>
      </cdr:nvSpPr>
      <cdr:spPr>
        <a:xfrm xmlns:a="http://schemas.openxmlformats.org/drawingml/2006/main">
          <a:off x="1205161" y="321381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0.93351</cdr:x>
      <cdr:y>0.80097</cdr:y>
    </cdr:from>
    <cdr:to>
      <cdr:x>0.95151</cdr:x>
      <cdr:y>0.85073</cdr:y>
    </cdr:to>
    <cdr:sp macro="" textlink="">
      <cdr:nvSpPr>
        <cdr:cNvPr id="16" name="직사각형 15"/>
        <cdr:cNvSpPr/>
      </cdr:nvSpPr>
      <cdr:spPr>
        <a:xfrm xmlns:a="http://schemas.openxmlformats.org/drawingml/2006/main">
          <a:off x="10373883"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dr:relSizeAnchor xmlns:cdr="http://schemas.openxmlformats.org/drawingml/2006/chartDrawing">
    <cdr:from>
      <cdr:x>0.0418</cdr:x>
      <cdr:y>0.80097</cdr:y>
    </cdr:from>
    <cdr:to>
      <cdr:x>0.0598</cdr:x>
      <cdr:y>0.85073</cdr:y>
    </cdr:to>
    <cdr:sp macro="" textlink="">
      <cdr:nvSpPr>
        <cdr:cNvPr id="2" name="직사각형 1">
          <a:extLst xmlns:a="http://schemas.openxmlformats.org/drawingml/2006/main">
            <a:ext uri="{FF2B5EF4-FFF2-40B4-BE49-F238E27FC236}">
              <a16:creationId xmlns:a16="http://schemas.microsoft.com/office/drawing/2014/main" id="{66E53C97-ED1D-7E38-74A5-914C46E543FE}"/>
            </a:ext>
          </a:extLst>
        </cdr:cNvPr>
        <cdr:cNvSpPr/>
      </cdr:nvSpPr>
      <cdr:spPr>
        <a:xfrm xmlns:a="http://schemas.openxmlformats.org/drawingml/2006/main">
          <a:off x="464479" y="3219463"/>
          <a:ext cx="200030" cy="200007"/>
        </a:xfrm>
        <a:prstGeom xmlns:a="http://schemas.openxmlformats.org/drawingml/2006/main" prst="rect">
          <a:avLst/>
        </a:prstGeom>
        <a:solidFill xmlns:a="http://schemas.openxmlformats.org/drawingml/2006/main">
          <a:srgbClr val="FFFFCC">
            <a:alpha val="41000"/>
          </a:srgb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ct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endParaRPr lang="ko-KR" altLang="en-US">
            <a:latin typeface="Pretendard" panose="02000503000000020004" pitchFamily="2" charset="-127"/>
            <a:ea typeface="Pretendard" panose="02000503000000020004" pitchFamily="2" charset="-127"/>
            <a:cs typeface="Pretendard" panose="02000503000000020004" pitchFamily="2" charset="-127"/>
          </a:endParaRPr>
        </a:p>
      </cdr:txBody>
    </cdr:sp>
  </cdr:relSizeAnchor>
</c:userShapes>
</file>

<file path=xl/drawings/drawing11.xml><?xml version="1.0" encoding="utf-8"?>
<xdr:wsDr xmlns:xdr="http://schemas.openxmlformats.org/drawingml/2006/spreadsheetDrawing" xmlns:a="http://schemas.openxmlformats.org/drawingml/2006/main">
  <xdr:twoCellAnchor>
    <xdr:from>
      <xdr:col>8</xdr:col>
      <xdr:colOff>641350</xdr:colOff>
      <xdr:row>16</xdr:row>
      <xdr:rowOff>44450</xdr:rowOff>
    </xdr:from>
    <xdr:to>
      <xdr:col>14</xdr:col>
      <xdr:colOff>613225</xdr:colOff>
      <xdr:row>35</xdr:row>
      <xdr:rowOff>184884</xdr:rowOff>
    </xdr:to>
    <xdr:graphicFrame macro="">
      <xdr:nvGraphicFramePr>
        <xdr:cNvPr id="2" name="차트 1">
          <a:extLst>
            <a:ext uri="{FF2B5EF4-FFF2-40B4-BE49-F238E27FC236}">
              <a16:creationId xmlns:a16="http://schemas.microsoft.com/office/drawing/2014/main" id="{5FCE8A44-E0C3-4036-B367-AF29344AD3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469900</xdr:colOff>
      <xdr:row>16</xdr:row>
      <xdr:rowOff>38100</xdr:rowOff>
    </xdr:from>
    <xdr:to>
      <xdr:col>21</xdr:col>
      <xdr:colOff>816425</xdr:colOff>
      <xdr:row>35</xdr:row>
      <xdr:rowOff>178534</xdr:rowOff>
    </xdr:to>
    <xdr:graphicFrame macro="">
      <xdr:nvGraphicFramePr>
        <xdr:cNvPr id="3" name="차트 2">
          <a:extLst>
            <a:ext uri="{FF2B5EF4-FFF2-40B4-BE49-F238E27FC236}">
              <a16:creationId xmlns:a16="http://schemas.microsoft.com/office/drawing/2014/main" id="{E5F484C0-8594-4B37-8B11-ED900FE5EB4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7</xdr:col>
      <xdr:colOff>219075</xdr:colOff>
      <xdr:row>4</xdr:row>
      <xdr:rowOff>4829</xdr:rowOff>
    </xdr:from>
    <xdr:to>
      <xdr:col>9</xdr:col>
      <xdr:colOff>521227</xdr:colOff>
      <xdr:row>11</xdr:row>
      <xdr:rowOff>146756</xdr:rowOff>
    </xdr:to>
    <xdr:graphicFrame macro="">
      <xdr:nvGraphicFramePr>
        <xdr:cNvPr id="2" name="차트 1">
          <a:extLst>
            <a:ext uri="{FF2B5EF4-FFF2-40B4-BE49-F238E27FC236}">
              <a16:creationId xmlns:a16="http://schemas.microsoft.com/office/drawing/2014/main" id="{7DE48592-010A-B88E-37B7-0CEAA3F9B4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159208</xdr:colOff>
      <xdr:row>4</xdr:row>
      <xdr:rowOff>1942</xdr:rowOff>
    </xdr:from>
    <xdr:to>
      <xdr:col>12</xdr:col>
      <xdr:colOff>461360</xdr:colOff>
      <xdr:row>11</xdr:row>
      <xdr:rowOff>143869</xdr:rowOff>
    </xdr:to>
    <xdr:graphicFrame macro="">
      <xdr:nvGraphicFramePr>
        <xdr:cNvPr id="3" name="차트 2">
          <a:extLst>
            <a:ext uri="{FF2B5EF4-FFF2-40B4-BE49-F238E27FC236}">
              <a16:creationId xmlns:a16="http://schemas.microsoft.com/office/drawing/2014/main" id="{31856F7A-9C94-D255-26DD-C6A531E1556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32304</xdr:colOff>
      <xdr:row>4</xdr:row>
      <xdr:rowOff>0</xdr:rowOff>
    </xdr:from>
    <xdr:to>
      <xdr:col>15</xdr:col>
      <xdr:colOff>334456</xdr:colOff>
      <xdr:row>11</xdr:row>
      <xdr:rowOff>141927</xdr:rowOff>
    </xdr:to>
    <xdr:graphicFrame macro="">
      <xdr:nvGraphicFramePr>
        <xdr:cNvPr id="4" name="차트 3">
          <a:extLst>
            <a:ext uri="{FF2B5EF4-FFF2-40B4-BE49-F238E27FC236}">
              <a16:creationId xmlns:a16="http://schemas.microsoft.com/office/drawing/2014/main" id="{6B68DEB4-4C6F-5D49-8A9F-E1E8190EF5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560175</xdr:colOff>
      <xdr:row>4</xdr:row>
      <xdr:rowOff>9957</xdr:rowOff>
    </xdr:from>
    <xdr:to>
      <xdr:col>18</xdr:col>
      <xdr:colOff>176527</xdr:colOff>
      <xdr:row>11</xdr:row>
      <xdr:rowOff>151884</xdr:rowOff>
    </xdr:to>
    <xdr:graphicFrame macro="">
      <xdr:nvGraphicFramePr>
        <xdr:cNvPr id="5" name="차트 4">
          <a:extLst>
            <a:ext uri="{FF2B5EF4-FFF2-40B4-BE49-F238E27FC236}">
              <a16:creationId xmlns:a16="http://schemas.microsoft.com/office/drawing/2014/main" id="{5C8B72C7-7C6F-AC75-7842-DA2F0180E8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323850</xdr:colOff>
      <xdr:row>2</xdr:row>
      <xdr:rowOff>71437</xdr:rowOff>
    </xdr:from>
    <xdr:to>
      <xdr:col>25</xdr:col>
      <xdr:colOff>95250</xdr:colOff>
      <xdr:row>15</xdr:row>
      <xdr:rowOff>71437</xdr:rowOff>
    </xdr:to>
    <xdr:graphicFrame macro="">
      <xdr:nvGraphicFramePr>
        <xdr:cNvPr id="6" name="차트 5">
          <a:extLst>
            <a:ext uri="{FF2B5EF4-FFF2-40B4-BE49-F238E27FC236}">
              <a16:creationId xmlns:a16="http://schemas.microsoft.com/office/drawing/2014/main" id="{A93BDD9F-B15E-B501-0618-BD069165B1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0.70448</cdr:x>
      <cdr:y>0.55908</cdr:y>
    </cdr:from>
    <cdr:to>
      <cdr:x>0.94918</cdr:x>
      <cdr:y>0.64207</cdr:y>
    </cdr:to>
    <cdr:sp macro="" textlink="">
      <cdr:nvSpPr>
        <cdr:cNvPr id="2" name="TextBox 1"/>
        <cdr:cNvSpPr txBox="1"/>
      </cdr:nvSpPr>
      <cdr:spPr>
        <a:xfrm xmlns:a="http://schemas.openxmlformats.org/drawingml/2006/main">
          <a:off x="1179119" y="899433"/>
          <a:ext cx="409575" cy="13351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altLang="ko-KR" sz="700" dirty="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rPr>
            <a:t> </a:t>
          </a:r>
          <a:endParaRPr lang="ko-KR" altLang="en-US" sz="700">
            <a:solidFill>
              <a:schemeClr val="bg1"/>
            </a:solidFill>
            <a:latin typeface="Pretendard Variable Light" panose="02000003000000020004" pitchFamily="2" charset="-127"/>
            <a:ea typeface="Pretendard Variable Light" panose="02000003000000020004" pitchFamily="2" charset="-127"/>
            <a:cs typeface="Pretendard Variable Light" panose="02000003000000020004" pitchFamily="2" charset="-127"/>
          </a:endParaRPr>
        </a:p>
      </cdr:txBody>
    </cdr:sp>
  </cdr:relSizeAnchor>
</c:userShape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385E-3132-4CF6-BACA-4388061CD8E7}">
  <sheetPr>
    <tabColor theme="9" tint="0.79998168889431442"/>
  </sheetPr>
  <dimension ref="A1:AG78"/>
  <sheetViews>
    <sheetView topLeftCell="C1" workbookViewId="0">
      <selection activeCell="P7" sqref="P7"/>
    </sheetView>
  </sheetViews>
  <sheetFormatPr defaultRowHeight="16.5"/>
  <cols>
    <col min="1" max="1" width="11.125" bestFit="1" customWidth="1"/>
    <col min="6" max="6" width="10.625" bestFit="1" customWidth="1"/>
    <col min="8" max="8" width="11.125" bestFit="1" customWidth="1"/>
    <col min="9" max="10" width="7.125" bestFit="1" customWidth="1"/>
    <col min="17" max="17" width="11.125" bestFit="1" customWidth="1"/>
    <col min="18" max="18" width="11.625" bestFit="1" customWidth="1"/>
    <col min="21" max="22" width="11.125" bestFit="1" customWidth="1"/>
    <col min="23" max="23" width="11.625" bestFit="1" customWidth="1"/>
  </cols>
  <sheetData>
    <row r="1" spans="1:33" ht="17.25" thickBot="1">
      <c r="A1" t="s">
        <v>4</v>
      </c>
      <c r="AC1" t="s">
        <v>9</v>
      </c>
      <c r="AG1">
        <v>12</v>
      </c>
    </row>
    <row r="2" spans="1:33" ht="17.25" thickBot="1">
      <c r="H2" s="29" t="s">
        <v>0</v>
      </c>
      <c r="I2" s="30" t="s">
        <v>1</v>
      </c>
      <c r="J2" s="31" t="s">
        <v>2</v>
      </c>
      <c r="V2" s="35" t="s">
        <v>7</v>
      </c>
      <c r="W2" s="36" t="s">
        <v>5</v>
      </c>
      <c r="AC2" t="s">
        <v>104</v>
      </c>
      <c r="AG2">
        <v>7</v>
      </c>
    </row>
    <row r="3" spans="1:33" ht="17.25" thickBot="1">
      <c r="H3" s="228">
        <f>'일간 팔로워'!$J$1</f>
        <v>45444</v>
      </c>
      <c r="I3" s="274">
        <f>SUM('일간 팔로워'!$C$4:$C$34)</f>
        <v>600</v>
      </c>
      <c r="J3" s="275">
        <f>SUM('일간 팔로워'!$B$4:$B$34)</f>
        <v>259</v>
      </c>
      <c r="V3" s="226">
        <v>45444</v>
      </c>
      <c r="W3" s="227">
        <v>20421</v>
      </c>
      <c r="X3" t="s">
        <v>657</v>
      </c>
      <c r="AC3" t="s">
        <v>613</v>
      </c>
      <c r="AG3">
        <v>5</v>
      </c>
    </row>
    <row r="4" spans="1:33" ht="17.25" thickBot="1">
      <c r="A4" s="12"/>
      <c r="B4" s="13" t="s">
        <v>1</v>
      </c>
      <c r="C4" s="14" t="s">
        <v>3</v>
      </c>
      <c r="Q4" s="12" t="s">
        <v>7</v>
      </c>
      <c r="R4" s="14" t="s">
        <v>5</v>
      </c>
      <c r="AC4" t="s">
        <v>614</v>
      </c>
      <c r="AG4">
        <v>7</v>
      </c>
    </row>
    <row r="5" spans="1:33">
      <c r="A5" s="9">
        <v>44958</v>
      </c>
      <c r="B5" s="10">
        <v>239</v>
      </c>
      <c r="C5" s="11">
        <v>0</v>
      </c>
      <c r="Q5" s="9">
        <v>45261</v>
      </c>
      <c r="R5" s="11">
        <v>10292</v>
      </c>
      <c r="AC5" t="s">
        <v>107</v>
      </c>
      <c r="AG5">
        <v>4</v>
      </c>
    </row>
    <row r="6" spans="1:33">
      <c r="A6" s="3">
        <v>44986</v>
      </c>
      <c r="B6" s="2">
        <v>404</v>
      </c>
      <c r="C6" s="4">
        <v>0</v>
      </c>
      <c r="Q6" s="3">
        <v>45292</v>
      </c>
      <c r="R6" s="4">
        <v>11455</v>
      </c>
      <c r="AC6" t="s">
        <v>612</v>
      </c>
      <c r="AG6">
        <v>4</v>
      </c>
    </row>
    <row r="7" spans="1:33">
      <c r="A7" s="3">
        <v>45017</v>
      </c>
      <c r="B7" s="2">
        <v>390</v>
      </c>
      <c r="C7" s="4">
        <v>0</v>
      </c>
      <c r="Q7" s="3">
        <v>45323</v>
      </c>
      <c r="R7" s="4">
        <v>13180</v>
      </c>
      <c r="AC7" t="s">
        <v>615</v>
      </c>
      <c r="AG7">
        <v>6</v>
      </c>
    </row>
    <row r="8" spans="1:33">
      <c r="A8" s="3">
        <v>45047</v>
      </c>
      <c r="B8" s="2">
        <v>303</v>
      </c>
      <c r="C8" s="4">
        <v>0</v>
      </c>
      <c r="Q8" s="3">
        <v>45352</v>
      </c>
      <c r="R8" s="4">
        <v>15100</v>
      </c>
      <c r="AC8" t="s">
        <v>616</v>
      </c>
      <c r="AG8">
        <v>6</v>
      </c>
    </row>
    <row r="9" spans="1:33">
      <c r="A9" s="3">
        <v>45078</v>
      </c>
      <c r="B9" s="2">
        <v>300</v>
      </c>
      <c r="C9" s="4">
        <v>0</v>
      </c>
      <c r="Q9" s="3">
        <v>45383</v>
      </c>
      <c r="R9" s="4">
        <v>17840</v>
      </c>
      <c r="AC9" t="s">
        <v>653</v>
      </c>
      <c r="AG9">
        <v>6</v>
      </c>
    </row>
    <row r="10" spans="1:33">
      <c r="A10" s="3">
        <v>45108</v>
      </c>
      <c r="B10" s="2">
        <v>401</v>
      </c>
      <c r="C10" s="4">
        <v>374</v>
      </c>
      <c r="Q10" s="3">
        <v>45413</v>
      </c>
      <c r="R10" s="4">
        <v>19610</v>
      </c>
      <c r="AC10" t="s">
        <v>654</v>
      </c>
      <c r="AG10">
        <v>9</v>
      </c>
    </row>
    <row r="11" spans="1:33">
      <c r="A11" s="3">
        <v>45139</v>
      </c>
      <c r="B11" s="2">
        <v>454</v>
      </c>
      <c r="C11" s="4">
        <v>379</v>
      </c>
      <c r="Q11" s="3">
        <v>45444</v>
      </c>
      <c r="R11" s="4">
        <v>20421</v>
      </c>
      <c r="AC11" t="s">
        <v>651</v>
      </c>
    </row>
    <row r="12" spans="1:33">
      <c r="A12" s="3">
        <v>45170</v>
      </c>
      <c r="B12" s="2">
        <v>413</v>
      </c>
      <c r="C12" s="4">
        <v>352</v>
      </c>
      <c r="Q12" s="5"/>
      <c r="R12" s="4"/>
      <c r="AC12" t="s">
        <v>652</v>
      </c>
    </row>
    <row r="13" spans="1:33">
      <c r="A13" s="3">
        <v>45200</v>
      </c>
      <c r="B13" s="2">
        <v>435</v>
      </c>
      <c r="C13" s="4">
        <v>580</v>
      </c>
      <c r="Q13" s="5"/>
      <c r="R13" s="4"/>
      <c r="AC13" t="s">
        <v>666</v>
      </c>
    </row>
    <row r="14" spans="1:33">
      <c r="A14" s="3">
        <v>45231</v>
      </c>
      <c r="B14" s="2">
        <v>494</v>
      </c>
      <c r="C14" s="4">
        <v>489</v>
      </c>
      <c r="Q14" s="5"/>
      <c r="R14" s="4"/>
      <c r="AC14" t="s">
        <v>674</v>
      </c>
    </row>
    <row r="15" spans="1:33">
      <c r="A15" s="3">
        <v>45261</v>
      </c>
      <c r="B15" s="2">
        <v>664</v>
      </c>
      <c r="C15" s="4">
        <v>294</v>
      </c>
      <c r="Q15" s="5"/>
      <c r="R15" s="4"/>
      <c r="AC15" t="s">
        <v>675</v>
      </c>
    </row>
    <row r="16" spans="1:33">
      <c r="A16" s="3">
        <v>45292</v>
      </c>
      <c r="B16" s="2">
        <v>570</v>
      </c>
      <c r="C16" s="4">
        <v>593</v>
      </c>
      <c r="Q16" s="5"/>
      <c r="R16" s="4"/>
      <c r="AC16" t="s">
        <v>676</v>
      </c>
    </row>
    <row r="17" spans="1:29">
      <c r="A17" s="3">
        <v>45323</v>
      </c>
      <c r="B17" s="2">
        <v>776</v>
      </c>
      <c r="C17" s="4">
        <v>949</v>
      </c>
      <c r="Q17" s="5"/>
      <c r="R17" s="4"/>
      <c r="AC17" t="s">
        <v>677</v>
      </c>
    </row>
    <row r="18" spans="1:29">
      <c r="A18" s="3">
        <v>45352</v>
      </c>
      <c r="B18" s="2">
        <v>776</v>
      </c>
      <c r="C18" s="4">
        <v>1144</v>
      </c>
      <c r="Q18" s="5"/>
      <c r="R18" s="4"/>
      <c r="AC18" t="s">
        <v>678</v>
      </c>
    </row>
    <row r="19" spans="1:29">
      <c r="A19" s="3">
        <v>45383</v>
      </c>
      <c r="B19" s="2">
        <v>821</v>
      </c>
      <c r="C19" s="4">
        <v>1919</v>
      </c>
      <c r="Q19" s="5"/>
      <c r="R19" s="4"/>
      <c r="AC19" t="s">
        <v>679</v>
      </c>
    </row>
    <row r="20" spans="1:29">
      <c r="A20" s="3">
        <v>45413</v>
      </c>
      <c r="B20" s="2">
        <v>575</v>
      </c>
      <c r="C20" s="4">
        <v>1365</v>
      </c>
      <c r="Q20" s="5"/>
      <c r="R20" s="4"/>
      <c r="AC20" t="s">
        <v>680</v>
      </c>
    </row>
    <row r="21" spans="1:29">
      <c r="A21" s="3">
        <v>45444</v>
      </c>
      <c r="B21" s="2">
        <v>600</v>
      </c>
      <c r="C21" s="4">
        <v>259</v>
      </c>
      <c r="Q21" s="5"/>
      <c r="R21" s="4"/>
    </row>
    <row r="22" spans="1:29">
      <c r="A22" s="5"/>
      <c r="B22" s="2"/>
      <c r="C22" s="4"/>
      <c r="Q22" s="5"/>
      <c r="R22" s="4"/>
    </row>
    <row r="23" spans="1:29">
      <c r="A23" s="5"/>
      <c r="B23" s="2"/>
      <c r="C23" s="4"/>
      <c r="Q23" s="5"/>
      <c r="R23" s="4"/>
    </row>
    <row r="24" spans="1:29">
      <c r="A24" s="5"/>
      <c r="B24" s="2"/>
      <c r="C24" s="4"/>
      <c r="Q24" s="5"/>
      <c r="R24" s="4"/>
    </row>
    <row r="25" spans="1:29" ht="17.25" thickBot="1">
      <c r="A25" s="5"/>
      <c r="B25" s="2"/>
      <c r="C25" s="4"/>
      <c r="Q25" s="5"/>
      <c r="R25" s="4"/>
    </row>
    <row r="26" spans="1:29" ht="17.25" thickBot="1">
      <c r="A26" s="5"/>
      <c r="B26" s="2"/>
      <c r="C26" s="4"/>
      <c r="Q26" s="5"/>
      <c r="R26" s="4"/>
      <c r="V26" s="35" t="s">
        <v>7</v>
      </c>
      <c r="W26" s="36" t="s">
        <v>5</v>
      </c>
    </row>
    <row r="27" spans="1:29">
      <c r="A27" s="5"/>
      <c r="B27" s="2"/>
      <c r="C27" s="4"/>
      <c r="Q27" s="5"/>
      <c r="R27" s="4"/>
      <c r="U27">
        <v>5</v>
      </c>
      <c r="V27" s="16">
        <f t="shared" ref="V27:V31" si="0">INDEX(Q:Q,COUNTA(Q:Q)+3-$U27)</f>
        <v>45292</v>
      </c>
      <c r="W27" s="24">
        <f t="shared" ref="W27:W31" si="1">INDEX(R:R,COUNTA(R:R)+3-$U27)</f>
        <v>11455</v>
      </c>
    </row>
    <row r="28" spans="1:29">
      <c r="A28" s="5"/>
      <c r="B28" s="2"/>
      <c r="C28" s="4"/>
      <c r="Q28" s="5"/>
      <c r="R28" s="4"/>
      <c r="U28">
        <v>4</v>
      </c>
      <c r="V28" s="16">
        <f t="shared" si="0"/>
        <v>45323</v>
      </c>
      <c r="W28" s="24">
        <f t="shared" si="1"/>
        <v>13180</v>
      </c>
    </row>
    <row r="29" spans="1:29" ht="17.25" thickBot="1">
      <c r="A29" s="5"/>
      <c r="B29" s="2"/>
      <c r="C29" s="4"/>
      <c r="Q29" s="5"/>
      <c r="R29" s="4"/>
      <c r="U29">
        <v>3</v>
      </c>
      <c r="V29" s="16">
        <f t="shared" si="0"/>
        <v>45352</v>
      </c>
      <c r="W29" s="24">
        <f t="shared" si="1"/>
        <v>15100</v>
      </c>
    </row>
    <row r="30" spans="1:29" ht="17.25" thickBot="1">
      <c r="A30" s="5"/>
      <c r="B30" s="2"/>
      <c r="C30" s="4"/>
      <c r="H30" s="29" t="s">
        <v>0</v>
      </c>
      <c r="I30" s="30" t="s">
        <v>1</v>
      </c>
      <c r="J30" s="31" t="s">
        <v>3</v>
      </c>
      <c r="Q30" s="5"/>
      <c r="R30" s="4"/>
      <c r="U30">
        <v>2</v>
      </c>
      <c r="V30" s="16">
        <f t="shared" si="0"/>
        <v>45383</v>
      </c>
      <c r="W30" s="24">
        <f t="shared" si="1"/>
        <v>17840</v>
      </c>
    </row>
    <row r="31" spans="1:29">
      <c r="A31" s="5"/>
      <c r="B31" s="2"/>
      <c r="C31" s="4"/>
      <c r="G31">
        <v>15</v>
      </c>
      <c r="H31" s="15">
        <f>INDEX(A:A,COUNTA(A:A)+3-$G31)</f>
        <v>44986</v>
      </c>
      <c r="I31" s="27">
        <f t="shared" ref="I31:J46" si="2">INDEX(B:B,COUNTA(B:B)+3-$G31)</f>
        <v>404</v>
      </c>
      <c r="J31" s="28">
        <f t="shared" si="2"/>
        <v>0</v>
      </c>
      <c r="Q31" s="5"/>
      <c r="R31" s="4"/>
      <c r="U31">
        <v>1</v>
      </c>
      <c r="V31" s="16">
        <f t="shared" si="0"/>
        <v>45413</v>
      </c>
      <c r="W31" s="24">
        <f t="shared" si="1"/>
        <v>19610</v>
      </c>
    </row>
    <row r="32" spans="1:29" ht="17.25" thickBot="1">
      <c r="A32" s="5"/>
      <c r="B32" s="2"/>
      <c r="C32" s="4"/>
      <c r="G32">
        <v>14</v>
      </c>
      <c r="H32" s="16">
        <f t="shared" ref="H32:H46" si="3">INDEX(A:A,COUNTA(A:A)+3-$G32)</f>
        <v>45017</v>
      </c>
      <c r="I32" s="22">
        <f t="shared" si="2"/>
        <v>390</v>
      </c>
      <c r="J32" s="24">
        <f t="shared" si="2"/>
        <v>0</v>
      </c>
      <c r="Q32" s="5"/>
      <c r="R32" s="4"/>
      <c r="U32">
        <v>0</v>
      </c>
      <c r="V32" s="18">
        <f>INDEX(Q:Q,COUNTA(Q:Q)+3-$U32)</f>
        <v>45444</v>
      </c>
      <c r="W32" s="26">
        <f>INDEX(R:R,COUNTA(R:R)+3-$U32)</f>
        <v>20421</v>
      </c>
      <c r="AB32" s="214"/>
    </row>
    <row r="33" spans="1:18">
      <c r="A33" s="5"/>
      <c r="B33" s="2"/>
      <c r="C33" s="4"/>
      <c r="G33">
        <v>13</v>
      </c>
      <c r="H33" s="16">
        <f t="shared" si="3"/>
        <v>45047</v>
      </c>
      <c r="I33" s="22">
        <f t="shared" si="2"/>
        <v>303</v>
      </c>
      <c r="J33" s="24">
        <f t="shared" si="2"/>
        <v>0</v>
      </c>
      <c r="Q33" s="5"/>
      <c r="R33" s="4"/>
    </row>
    <row r="34" spans="1:18">
      <c r="A34" s="5"/>
      <c r="B34" s="2"/>
      <c r="C34" s="4"/>
      <c r="G34">
        <v>12</v>
      </c>
      <c r="H34" s="16">
        <f t="shared" si="3"/>
        <v>45078</v>
      </c>
      <c r="I34" s="22">
        <f t="shared" si="2"/>
        <v>300</v>
      </c>
      <c r="J34" s="24">
        <f t="shared" si="2"/>
        <v>0</v>
      </c>
      <c r="Q34" s="5"/>
      <c r="R34" s="4"/>
    </row>
    <row r="35" spans="1:18">
      <c r="A35" s="5"/>
      <c r="B35" s="2"/>
      <c r="C35" s="4"/>
      <c r="G35">
        <v>11</v>
      </c>
      <c r="H35" s="16">
        <f t="shared" si="3"/>
        <v>45108</v>
      </c>
      <c r="I35" s="22">
        <f t="shared" si="2"/>
        <v>401</v>
      </c>
      <c r="J35" s="24">
        <f t="shared" si="2"/>
        <v>374</v>
      </c>
      <c r="Q35" s="5"/>
      <c r="R35" s="4"/>
    </row>
    <row r="36" spans="1:18">
      <c r="A36" s="5"/>
      <c r="B36" s="2"/>
      <c r="C36" s="4"/>
      <c r="G36">
        <v>10</v>
      </c>
      <c r="H36" s="16">
        <f t="shared" si="3"/>
        <v>45139</v>
      </c>
      <c r="I36" s="22">
        <f t="shared" si="2"/>
        <v>454</v>
      </c>
      <c r="J36" s="24">
        <f t="shared" si="2"/>
        <v>379</v>
      </c>
      <c r="Q36" s="5"/>
      <c r="R36" s="4"/>
    </row>
    <row r="37" spans="1:18">
      <c r="A37" s="5"/>
      <c r="B37" s="2"/>
      <c r="C37" s="4"/>
      <c r="G37">
        <v>9</v>
      </c>
      <c r="H37" s="16">
        <f t="shared" si="3"/>
        <v>45170</v>
      </c>
      <c r="I37" s="22">
        <f t="shared" si="2"/>
        <v>413</v>
      </c>
      <c r="J37" s="24">
        <f t="shared" si="2"/>
        <v>352</v>
      </c>
      <c r="Q37" s="5"/>
      <c r="R37" s="4"/>
    </row>
    <row r="38" spans="1:18">
      <c r="A38" s="5"/>
      <c r="B38" s="2"/>
      <c r="C38" s="4"/>
      <c r="G38">
        <v>8</v>
      </c>
      <c r="H38" s="16">
        <f t="shared" si="3"/>
        <v>45200</v>
      </c>
      <c r="I38" s="22">
        <f t="shared" si="2"/>
        <v>435</v>
      </c>
      <c r="J38" s="24">
        <f t="shared" si="2"/>
        <v>580</v>
      </c>
      <c r="Q38" s="5"/>
      <c r="R38" s="4"/>
    </row>
    <row r="39" spans="1:18">
      <c r="A39" s="5"/>
      <c r="B39" s="2"/>
      <c r="C39" s="4"/>
      <c r="G39">
        <v>7</v>
      </c>
      <c r="H39" s="16">
        <f t="shared" si="3"/>
        <v>45231</v>
      </c>
      <c r="I39" s="22">
        <f t="shared" si="2"/>
        <v>494</v>
      </c>
      <c r="J39" s="24">
        <f t="shared" si="2"/>
        <v>489</v>
      </c>
      <c r="Q39" s="5"/>
      <c r="R39" s="4"/>
    </row>
    <row r="40" spans="1:18">
      <c r="A40" s="5"/>
      <c r="B40" s="2"/>
      <c r="C40" s="4"/>
      <c r="G40">
        <v>6</v>
      </c>
      <c r="H40" s="16">
        <f t="shared" si="3"/>
        <v>45261</v>
      </c>
      <c r="I40" s="22">
        <f t="shared" si="2"/>
        <v>664</v>
      </c>
      <c r="J40" s="24">
        <f t="shared" si="2"/>
        <v>294</v>
      </c>
      <c r="Q40" s="5"/>
      <c r="R40" s="4"/>
    </row>
    <row r="41" spans="1:18">
      <c r="A41" s="5"/>
      <c r="B41" s="2"/>
      <c r="C41" s="4"/>
      <c r="G41">
        <v>5</v>
      </c>
      <c r="H41" s="16">
        <f t="shared" si="3"/>
        <v>45292</v>
      </c>
      <c r="I41" s="22">
        <f t="shared" si="2"/>
        <v>570</v>
      </c>
      <c r="J41" s="24">
        <f t="shared" si="2"/>
        <v>593</v>
      </c>
      <c r="Q41" s="5"/>
      <c r="R41" s="4"/>
    </row>
    <row r="42" spans="1:18">
      <c r="A42" s="5"/>
      <c r="B42" s="2"/>
      <c r="C42" s="4"/>
      <c r="G42">
        <v>4</v>
      </c>
      <c r="H42" s="16">
        <f t="shared" si="3"/>
        <v>45323</v>
      </c>
      <c r="I42" s="22">
        <f t="shared" si="2"/>
        <v>776</v>
      </c>
      <c r="J42" s="24">
        <f t="shared" si="2"/>
        <v>949</v>
      </c>
      <c r="Q42" s="5"/>
      <c r="R42" s="4"/>
    </row>
    <row r="43" spans="1:18">
      <c r="A43" s="5"/>
      <c r="B43" s="2"/>
      <c r="C43" s="4"/>
      <c r="G43">
        <v>3</v>
      </c>
      <c r="H43" s="16">
        <f t="shared" si="3"/>
        <v>45352</v>
      </c>
      <c r="I43" s="22">
        <f t="shared" si="2"/>
        <v>776</v>
      </c>
      <c r="J43" s="24">
        <f t="shared" si="2"/>
        <v>1144</v>
      </c>
      <c r="Q43" s="5"/>
      <c r="R43" s="4"/>
    </row>
    <row r="44" spans="1:18">
      <c r="A44" s="5"/>
      <c r="B44" s="2"/>
      <c r="C44" s="4"/>
      <c r="G44">
        <v>2</v>
      </c>
      <c r="H44" s="16">
        <f t="shared" si="3"/>
        <v>45383</v>
      </c>
      <c r="I44" s="22">
        <f t="shared" si="2"/>
        <v>821</v>
      </c>
      <c r="J44" s="24">
        <f t="shared" si="2"/>
        <v>1919</v>
      </c>
      <c r="Q44" s="5"/>
      <c r="R44" s="4"/>
    </row>
    <row r="45" spans="1:18">
      <c r="A45" s="5"/>
      <c r="B45" s="2"/>
      <c r="C45" s="4"/>
      <c r="G45">
        <v>1</v>
      </c>
      <c r="H45" s="16">
        <f t="shared" si="3"/>
        <v>45413</v>
      </c>
      <c r="I45" s="22">
        <f t="shared" si="2"/>
        <v>575</v>
      </c>
      <c r="J45" s="24">
        <f t="shared" si="2"/>
        <v>1365</v>
      </c>
      <c r="Q45" s="5"/>
      <c r="R45" s="4"/>
    </row>
    <row r="46" spans="1:18" ht="17.25" thickBot="1">
      <c r="A46" s="5"/>
      <c r="B46" s="2"/>
      <c r="C46" s="4"/>
      <c r="G46">
        <v>0</v>
      </c>
      <c r="H46" s="18">
        <f t="shared" si="3"/>
        <v>45444</v>
      </c>
      <c r="I46" s="25">
        <f t="shared" si="2"/>
        <v>600</v>
      </c>
      <c r="J46" s="26">
        <f t="shared" si="2"/>
        <v>259</v>
      </c>
      <c r="Q46" s="5"/>
      <c r="R46" s="4"/>
    </row>
    <row r="47" spans="1:18">
      <c r="A47" s="5"/>
      <c r="B47" s="2"/>
      <c r="C47" s="4"/>
      <c r="Q47" s="5"/>
      <c r="R47" s="4"/>
    </row>
    <row r="48" spans="1:18">
      <c r="A48" s="5"/>
      <c r="B48" s="2"/>
      <c r="C48" s="4"/>
      <c r="Q48" s="5"/>
      <c r="R48" s="4"/>
    </row>
    <row r="49" spans="1:23">
      <c r="A49" s="5"/>
      <c r="B49" s="2"/>
      <c r="C49" s="4"/>
      <c r="Q49" s="5"/>
      <c r="R49" s="4"/>
    </row>
    <row r="50" spans="1:23">
      <c r="A50" s="5"/>
      <c r="B50" s="2"/>
      <c r="C50" s="4"/>
      <c r="F50" s="1"/>
      <c r="Q50" s="5"/>
      <c r="R50" s="4"/>
    </row>
    <row r="51" spans="1:23">
      <c r="A51" s="5"/>
      <c r="B51" s="2"/>
      <c r="C51" s="4"/>
      <c r="F51" s="365" t="str">
        <f>(MONTH(A20)+1)&amp;"월 1일 기준 팔로워 "&amp;TEXT(W32,"#,###")&amp;"명 달성 (전월 대비 "&amp;TEXT((W32-W31)/W31,"#.00%")&amp;" 증가)"</f>
        <v>6월 1일 기준 팔로워 20,421명 달성 (전월 대비 4.14% 증가)</v>
      </c>
      <c r="G51" s="365"/>
      <c r="J51" s="297" t="s">
        <v>964</v>
      </c>
      <c r="Q51" s="5"/>
      <c r="R51" s="4"/>
      <c r="U51" s="108" t="s">
        <v>8</v>
      </c>
    </row>
    <row r="52" spans="1:23">
      <c r="A52" s="5"/>
      <c r="B52" s="2"/>
      <c r="C52" s="4"/>
      <c r="F52" s="366" t="str">
        <f>"  - 신규 유입 "&amp;TEXT(SUM(I46:J46),"#,###")&amp;"명 (오가닉 "&amp;TEXT(I46,"#,###")&amp;"명 + 광고 "&amp;TEXT(J46,"#,###")&amp;"명)"</f>
        <v xml:space="preserve">  - 신규 유입 859명 (오가닉 600명 + 광고 259명)</v>
      </c>
      <c r="G52" s="366"/>
      <c r="J52" s="108" t="str">
        <f>"  - 페이지 View "&amp;TEXT(ABS(('월간 지표비교'!L33-'월간 지표비교'!L32)/'월간 지표비교'!L32),"0.0%")&amp;IF('월간 지표비교'!L33&gt;'월간 지표비교'!L32," 증가"," 감소")</f>
        <v xml:space="preserve">  - 페이지 View 9.5% 감소</v>
      </c>
      <c r="Q52" s="5"/>
      <c r="R52" s="4"/>
      <c r="U52" s="108" t="str">
        <f>"Impression 약 "&amp;
TEXT(ABS((INDEX('일일 노출,참여'!B:B,COUNTA('일일 노출,참여'!B:B)+4)-INDEX('일일 노출,참여'!B:B,COUNTA('일일 노출,참여'!B:B)+3))/INDEX('일일 노출,참여'!B:B,COUNTA('일일 노출,참여'!B:B)+3)),"0.0%")&amp;
IF(INDEX('일일 노출,참여'!B:B,COUNTA('일일 노출,참여'!B:B)+4)&gt;INDEX('일일 노출,참여'!B:B,COUNTA('일일 노출,참여'!B:B)+3),
" 증가",
" 감소")</f>
        <v>Impression 약 56.0% 감소</v>
      </c>
      <c r="W52" s="108" t="str">
        <f>TEXT(ABS((INDEX('일일 노출,참여(오가닉)'!B:B,COUNTA('일일 노출,참여(오가닉)'!B:B)+4)-INDEX('일일 노출,참여(오가닉)'!B:B,COUNTA('일일 노출,참여(오가닉)'!B:B)+3))/INDEX('일일 노출,참여(오가닉)'!B:B,COUNTA('일일 노출,참여(오가닉)'!B:B)+3)),"0.0%")&amp;
IF(INDEX('일일 노출,참여(오가닉)'!B:B,COUNTA('일일 노출,참여(오가닉)'!B:B)+4)&gt;INDEX('일일 노출,참여(오가닉)'!B:B,COUNTA('일일 노출,참여(오가닉)'!B:B)+3)," 증가"," 감소")</f>
        <v>92.2% 감소</v>
      </c>
    </row>
    <row r="53" spans="1:23">
      <c r="A53" s="5"/>
      <c r="B53" s="2"/>
      <c r="C53" s="4"/>
      <c r="F53" s="365" t="str">
        <f>"총 "&amp;(COUNTA('contents 장표'!C5:C37)-COUNTIF('contents 장표'!C5:C37,""))&amp;"건의 콘텐츠 발행 (프레인 발행 "&amp;(COUNTA('contents 장표'!C5:C37)-COUNTIF('contents 장표'!C5:C37,""))&amp;"건)"</f>
        <v>총 12건의 콘텐츠 발행 (프레인 발행 12건)</v>
      </c>
      <c r="G53" s="365"/>
      <c r="J53" s="108" t="str">
        <f>"  - 페이지 순 방문자 수 "&amp;TEXT(ABS(('월간 지표비교'!M33-'월간 지표비교'!M32)/'월간 지표비교'!M32),"0.0%")&amp;IF('월간 지표비교'!M33&lt;'월간 지표비교'!M32," 감소"," 증가")</f>
        <v xml:space="preserve">  - 페이지 순 방문자 수 1.0% 감소</v>
      </c>
      <c r="Q53" s="5"/>
      <c r="R53" s="4"/>
      <c r="U53" s="108" t="str">
        <f>"Engagement 약 "&amp;TEXT(ABS((INDEX('일일 노출,참여'!C:C,COUNTA('일일 노출,참여'!C:C)+4)-INDEX('일일 노출,참여'!C:C,COUNTA('일일 노출,참여'!C:C)+3))/INDEX('일일 노출,참여'!C:C,COUNTA('일일 노출,참여'!C:C)+3)),"0.0%")&amp;IF(INDEX('일일 노출,참여'!C:C,COUNTA('일일 노출,참여'!C:C)+4)&gt;INDEX('일일 노출,참여'!C:C,COUNTA('일일 노출,참여'!C:C)+3)," 증가"," 감소")</f>
        <v>Engagement 약 54.0% 감소</v>
      </c>
      <c r="W53" s="108" t="str">
        <f>TEXT(ABS((INDEX('일일 노출,참여(오가닉)'!C:C,COUNTA('일일 노출,참여(오가닉)'!C:C)+4)-INDEX('일일 노출,참여(오가닉)'!C:C,COUNTA('일일 노출,참여(오가닉)'!C:C)+3))/INDEX('일일 노출,참여(오가닉)'!C:C,COUNTA('일일 노출,참여(오가닉)'!C:C)+3)),"0.0%")&amp;IF(INDEX('일일 노출,참여(오가닉)'!C:C,COUNTA('일일 노출,참여(오가닉)'!C:C)+4)&gt;INDEX('일일 노출,참여(오가닉)'!C:C,COUNTA('일일 노출,참여(오가닉)'!C:C)+3)," 증가"," 감소")</f>
        <v>73.1% 감소</v>
      </c>
    </row>
    <row r="54" spans="1:23">
      <c r="A54" s="5"/>
      <c r="B54" s="2"/>
      <c r="C54" s="4"/>
      <c r="F54" s="366" t="str">
        <f>"  - Company 카테고리 "&amp;COUNTIF('contents 장표'!G5:G37,"Company")&amp;"건"</f>
        <v xml:space="preserve">  - Company 카테고리 0건</v>
      </c>
      <c r="G54" s="366"/>
      <c r="Q54" s="5"/>
      <c r="R54" s="4"/>
      <c r="U54" s="108" t="str">
        <f>"총 클릭 수 약 "&amp;TEXT(ABS(('contents(daily)'!Y1-'contents(daily)'!Y2)/'contents(daily)'!Y1),"0.0%")&amp;IF('contents(daily)'!Y1&gt;'contents(daily)'!Y2," 감소"," 증가")</f>
        <v>총 클릭 수 약 86.4% 증가</v>
      </c>
      <c r="W54" s="108" t="str">
        <f>TEXT(ABS(('contents(daily)'!Y3-'contents(daily)'!Y4)/'contents(daily)'!Y3),"0.0%")&amp;
IF('contents(daily)'!Y3&gt;'contents(daily)'!Y4," 감소"," 증가")</f>
        <v>14.1% 증가</v>
      </c>
    </row>
    <row r="55" spans="1:23">
      <c r="A55" s="5"/>
      <c r="B55" s="2"/>
      <c r="C55" s="4"/>
      <c r="F55" s="298" t="str">
        <f>"  - Science 카테고리 "&amp;COUNTIF('contents 장표'!G5:G37,"Science")&amp;"건"</f>
        <v xml:space="preserve">  - Science 카테고리 0건</v>
      </c>
      <c r="G55" s="298" t="str">
        <f>"  - Seasonal 카테고리 "&amp;COUNTIF('contents 장표'!G5:G37,"Seasonal")&amp;"건"</f>
        <v xml:space="preserve">  - Seasonal 카테고리 3건</v>
      </c>
      <c r="Q55" s="5"/>
      <c r="R55" s="4"/>
    </row>
    <row r="56" spans="1:23">
      <c r="A56" s="5"/>
      <c r="B56" s="2"/>
      <c r="C56" s="4"/>
      <c r="F56" s="366" t="str">
        <f>"  - People &amp; Culture 카테고리 "&amp;COUNTIF('contents 장표'!G5:G37,"People")&amp;"건"</f>
        <v xml:space="preserve">  - People &amp; Culture 카테고리 0건</v>
      </c>
      <c r="G56" s="366"/>
      <c r="Q56" s="5"/>
      <c r="R56" s="4"/>
    </row>
    <row r="57" spans="1:23">
      <c r="A57" s="5"/>
      <c r="B57" s="2"/>
      <c r="C57" s="4"/>
      <c r="Q57" s="5"/>
      <c r="R57" s="4"/>
    </row>
    <row r="58" spans="1:23" ht="17.25" thickBot="1">
      <c r="A58" s="5"/>
      <c r="B58" s="2"/>
      <c r="C58" s="4"/>
      <c r="Q58" s="6"/>
      <c r="R58" s="8"/>
    </row>
    <row r="59" spans="1:23">
      <c r="A59" s="5"/>
      <c r="B59" s="2"/>
      <c r="C59" s="4"/>
    </row>
    <row r="60" spans="1:23">
      <c r="A60" s="5"/>
      <c r="B60" s="2"/>
      <c r="C60" s="4"/>
    </row>
    <row r="61" spans="1:23">
      <c r="A61" s="5"/>
      <c r="B61" s="2"/>
      <c r="C61" s="4"/>
    </row>
    <row r="62" spans="1:23">
      <c r="A62" s="5"/>
      <c r="B62" s="2"/>
      <c r="C62" s="4"/>
    </row>
    <row r="63" spans="1:23">
      <c r="A63" s="5"/>
      <c r="B63" s="2"/>
      <c r="C63" s="4"/>
    </row>
    <row r="64" spans="1:23">
      <c r="A64" s="5"/>
      <c r="B64" s="2"/>
      <c r="C64" s="4"/>
    </row>
    <row r="65" spans="1:3">
      <c r="A65" s="5"/>
      <c r="B65" s="2"/>
      <c r="C65" s="4"/>
    </row>
    <row r="66" spans="1:3">
      <c r="A66" s="5"/>
      <c r="B66" s="2"/>
      <c r="C66" s="4"/>
    </row>
    <row r="67" spans="1:3">
      <c r="A67" s="5"/>
      <c r="B67" s="2"/>
      <c r="C67" s="4"/>
    </row>
    <row r="68" spans="1:3">
      <c r="A68" s="5"/>
      <c r="B68" s="2"/>
      <c r="C68" s="4"/>
    </row>
    <row r="69" spans="1:3">
      <c r="A69" s="5"/>
      <c r="B69" s="2"/>
      <c r="C69" s="4"/>
    </row>
    <row r="70" spans="1:3">
      <c r="A70" s="5"/>
      <c r="B70" s="2"/>
      <c r="C70" s="4"/>
    </row>
    <row r="71" spans="1:3">
      <c r="A71" s="5"/>
      <c r="B71" s="2"/>
      <c r="C71" s="4"/>
    </row>
    <row r="72" spans="1:3">
      <c r="A72" s="5"/>
      <c r="B72" s="2"/>
      <c r="C72" s="4"/>
    </row>
    <row r="73" spans="1:3">
      <c r="A73" s="5"/>
      <c r="B73" s="2"/>
      <c r="C73" s="4"/>
    </row>
    <row r="74" spans="1:3">
      <c r="A74" s="5"/>
      <c r="B74" s="2"/>
      <c r="C74" s="4"/>
    </row>
    <row r="75" spans="1:3">
      <c r="A75" s="5"/>
      <c r="B75" s="2"/>
      <c r="C75" s="4"/>
    </row>
    <row r="76" spans="1:3">
      <c r="A76" s="5"/>
      <c r="B76" s="2"/>
      <c r="C76" s="4"/>
    </row>
    <row r="77" spans="1:3">
      <c r="A77" s="5"/>
      <c r="B77" s="2"/>
      <c r="C77" s="4"/>
    </row>
    <row r="78" spans="1:3" ht="17.25" thickBot="1">
      <c r="A78" s="6"/>
      <c r="B78" s="7"/>
      <c r="C78" s="8"/>
    </row>
  </sheetData>
  <mergeCells count="5">
    <mergeCell ref="F51:G51"/>
    <mergeCell ref="F52:G52"/>
    <mergeCell ref="F53:G53"/>
    <mergeCell ref="F54:G54"/>
    <mergeCell ref="F56:G56"/>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A461F2-35F1-45F0-8EDC-A43B22DCA4AB}">
  <sheetPr>
    <tabColor theme="9" tint="0.79998168889431442"/>
  </sheetPr>
  <dimension ref="A1:R34"/>
  <sheetViews>
    <sheetView topLeftCell="A4" workbookViewId="0">
      <selection activeCell="N28" sqref="N28"/>
    </sheetView>
  </sheetViews>
  <sheetFormatPr defaultRowHeight="16.5"/>
  <cols>
    <col min="1" max="1" width="11" customWidth="1"/>
    <col min="2" max="4" width="18.25" customWidth="1"/>
    <col min="5" max="5" width="11.125" bestFit="1" customWidth="1"/>
    <col min="10" max="10" width="11.125" bestFit="1" customWidth="1"/>
  </cols>
  <sheetData>
    <row r="1" spans="1:10">
      <c r="A1" t="str">
        <f>MONTH(E4)&amp;"월 신규 팔로워 일자별 유입 지수"</f>
        <v>6월 신규 팔로워 일자별 유입 지수</v>
      </c>
      <c r="I1" s="46" t="s">
        <v>655</v>
      </c>
      <c r="J1" s="224">
        <f>E4</f>
        <v>45444</v>
      </c>
    </row>
    <row r="2" spans="1:10" ht="17.25" thickBot="1">
      <c r="I2" s="47" t="s">
        <v>656</v>
      </c>
      <c r="J2" s="225">
        <f>EOMONTH(E4,0)</f>
        <v>45473</v>
      </c>
    </row>
    <row r="3" spans="1:10">
      <c r="A3" s="215" t="s">
        <v>22</v>
      </c>
      <c r="B3" s="216" t="s">
        <v>659</v>
      </c>
      <c r="C3" s="216" t="s">
        <v>660</v>
      </c>
      <c r="D3" s="217" t="s">
        <v>661</v>
      </c>
    </row>
    <row r="4" spans="1:10">
      <c r="A4" s="218" t="s">
        <v>683</v>
      </c>
      <c r="B4" s="219">
        <v>0</v>
      </c>
      <c r="C4" s="219">
        <v>7</v>
      </c>
      <c r="D4" s="154">
        <v>7</v>
      </c>
      <c r="E4" s="223">
        <f>IFERROR(DATE(RIGHT(A4,4),LEFT(A4,2),MID(A4,4,2)),"")</f>
        <v>45444</v>
      </c>
    </row>
    <row r="5" spans="1:10">
      <c r="A5" s="218" t="s">
        <v>684</v>
      </c>
      <c r="B5" s="219">
        <v>0</v>
      </c>
      <c r="C5" s="219">
        <v>11</v>
      </c>
      <c r="D5" s="154">
        <v>11</v>
      </c>
      <c r="E5" s="223">
        <f t="shared" ref="E5:E34" si="0">IFERROR(DATE(RIGHT(A5,4),LEFT(A5,2),MID(A5,4,2)),"")</f>
        <v>45445</v>
      </c>
    </row>
    <row r="6" spans="1:10">
      <c r="A6" s="218" t="s">
        <v>685</v>
      </c>
      <c r="B6" s="219">
        <v>56</v>
      </c>
      <c r="C6" s="219">
        <v>29</v>
      </c>
      <c r="D6" s="154">
        <v>85</v>
      </c>
      <c r="E6" s="223">
        <f t="shared" si="0"/>
        <v>45446</v>
      </c>
    </row>
    <row r="7" spans="1:10">
      <c r="A7" s="218" t="s">
        <v>686</v>
      </c>
      <c r="B7" s="219">
        <v>0</v>
      </c>
      <c r="C7" s="219">
        <v>22</v>
      </c>
      <c r="D7" s="154">
        <v>22</v>
      </c>
      <c r="E7" s="223">
        <f t="shared" si="0"/>
        <v>45447</v>
      </c>
    </row>
    <row r="8" spans="1:10">
      <c r="A8" s="218" t="s">
        <v>85</v>
      </c>
      <c r="B8" s="219">
        <v>0</v>
      </c>
      <c r="C8" s="219">
        <v>17</v>
      </c>
      <c r="D8" s="154">
        <v>17</v>
      </c>
      <c r="E8" s="223">
        <f t="shared" si="0"/>
        <v>45448</v>
      </c>
    </row>
    <row r="9" spans="1:10">
      <c r="A9" s="218" t="s">
        <v>81</v>
      </c>
      <c r="B9" s="219">
        <v>0</v>
      </c>
      <c r="C9" s="219">
        <v>12</v>
      </c>
      <c r="D9" s="154">
        <v>12</v>
      </c>
      <c r="E9" s="223">
        <f t="shared" si="0"/>
        <v>45449</v>
      </c>
    </row>
    <row r="10" spans="1:10">
      <c r="A10" s="218" t="s">
        <v>687</v>
      </c>
      <c r="B10" s="219">
        <v>0</v>
      </c>
      <c r="C10" s="219">
        <v>11</v>
      </c>
      <c r="D10" s="154">
        <v>11</v>
      </c>
      <c r="E10" s="223">
        <f t="shared" si="0"/>
        <v>45450</v>
      </c>
    </row>
    <row r="11" spans="1:10">
      <c r="A11" s="218" t="s">
        <v>688</v>
      </c>
      <c r="B11" s="219">
        <v>0</v>
      </c>
      <c r="C11" s="219">
        <v>11</v>
      </c>
      <c r="D11" s="154">
        <v>11</v>
      </c>
      <c r="E11" s="223">
        <f t="shared" si="0"/>
        <v>45451</v>
      </c>
    </row>
    <row r="12" spans="1:10">
      <c r="A12" s="218" t="s">
        <v>689</v>
      </c>
      <c r="B12" s="219">
        <v>0</v>
      </c>
      <c r="C12" s="219">
        <v>10</v>
      </c>
      <c r="D12" s="154">
        <v>10</v>
      </c>
      <c r="E12" s="223">
        <f t="shared" si="0"/>
        <v>45452</v>
      </c>
    </row>
    <row r="13" spans="1:10">
      <c r="A13" s="218" t="s">
        <v>690</v>
      </c>
      <c r="B13" s="219">
        <v>0</v>
      </c>
      <c r="C13" s="219">
        <v>11</v>
      </c>
      <c r="D13" s="154">
        <v>11</v>
      </c>
      <c r="E13" s="223">
        <f t="shared" si="0"/>
        <v>45453</v>
      </c>
    </row>
    <row r="14" spans="1:10">
      <c r="A14" s="218" t="s">
        <v>691</v>
      </c>
      <c r="B14" s="219">
        <v>0</v>
      </c>
      <c r="C14" s="219">
        <v>14</v>
      </c>
      <c r="D14" s="154">
        <v>14</v>
      </c>
      <c r="E14" s="223">
        <f t="shared" si="0"/>
        <v>45454</v>
      </c>
    </row>
    <row r="15" spans="1:10">
      <c r="A15" s="218" t="s">
        <v>692</v>
      </c>
      <c r="B15" s="219">
        <v>0</v>
      </c>
      <c r="C15" s="219">
        <v>18</v>
      </c>
      <c r="D15" s="154">
        <v>18</v>
      </c>
      <c r="E15" s="223">
        <f t="shared" si="0"/>
        <v>45455</v>
      </c>
    </row>
    <row r="16" spans="1:10">
      <c r="A16" s="218" t="s">
        <v>693</v>
      </c>
      <c r="B16" s="219">
        <v>43</v>
      </c>
      <c r="C16" s="219">
        <v>33</v>
      </c>
      <c r="D16" s="154">
        <v>76</v>
      </c>
      <c r="E16" s="223">
        <f t="shared" si="0"/>
        <v>45456</v>
      </c>
    </row>
    <row r="17" spans="1:18">
      <c r="A17" s="218" t="s">
        <v>694</v>
      </c>
      <c r="B17" s="219">
        <v>50</v>
      </c>
      <c r="C17" s="219">
        <v>32</v>
      </c>
      <c r="D17" s="154">
        <v>82</v>
      </c>
      <c r="E17" s="223">
        <f t="shared" si="0"/>
        <v>45457</v>
      </c>
    </row>
    <row r="18" spans="1:18">
      <c r="A18" s="218" t="s">
        <v>695</v>
      </c>
      <c r="B18" s="219">
        <v>11</v>
      </c>
      <c r="C18" s="219">
        <v>11</v>
      </c>
      <c r="D18" s="154">
        <v>22</v>
      </c>
      <c r="E18" s="223">
        <f t="shared" si="0"/>
        <v>45458</v>
      </c>
    </row>
    <row r="19" spans="1:18">
      <c r="A19" s="218" t="s">
        <v>696</v>
      </c>
      <c r="B19" s="219">
        <v>12</v>
      </c>
      <c r="C19" s="219">
        <v>11</v>
      </c>
      <c r="D19" s="154">
        <v>23</v>
      </c>
      <c r="E19" s="223">
        <f t="shared" si="0"/>
        <v>45459</v>
      </c>
    </row>
    <row r="20" spans="1:18">
      <c r="A20" s="218" t="s">
        <v>697</v>
      </c>
      <c r="B20" s="219">
        <v>7</v>
      </c>
      <c r="C20" s="219">
        <v>11</v>
      </c>
      <c r="D20" s="154">
        <v>18</v>
      </c>
      <c r="E20" s="223">
        <f t="shared" si="0"/>
        <v>45460</v>
      </c>
    </row>
    <row r="21" spans="1:18">
      <c r="A21" s="218" t="s">
        <v>698</v>
      </c>
      <c r="B21" s="219">
        <v>0</v>
      </c>
      <c r="C21" s="219">
        <v>27</v>
      </c>
      <c r="D21" s="154">
        <v>27</v>
      </c>
      <c r="E21" s="223">
        <f t="shared" si="0"/>
        <v>45461</v>
      </c>
    </row>
    <row r="22" spans="1:18">
      <c r="A22" s="218" t="s">
        <v>699</v>
      </c>
      <c r="B22" s="219">
        <v>0</v>
      </c>
      <c r="C22" s="219">
        <v>12</v>
      </c>
      <c r="D22" s="154">
        <v>12</v>
      </c>
      <c r="E22" s="223">
        <f t="shared" si="0"/>
        <v>45462</v>
      </c>
    </row>
    <row r="23" spans="1:18">
      <c r="A23" s="218" t="s">
        <v>700</v>
      </c>
      <c r="B23" s="219">
        <v>0</v>
      </c>
      <c r="C23" s="219">
        <v>20</v>
      </c>
      <c r="D23" s="154">
        <v>20</v>
      </c>
      <c r="E23" s="223">
        <f t="shared" si="0"/>
        <v>45463</v>
      </c>
    </row>
    <row r="24" spans="1:18">
      <c r="A24" s="218" t="s">
        <v>701</v>
      </c>
      <c r="B24" s="219">
        <v>0</v>
      </c>
      <c r="C24" s="219">
        <v>21</v>
      </c>
      <c r="D24" s="154">
        <v>21</v>
      </c>
      <c r="E24" s="223">
        <f t="shared" si="0"/>
        <v>45464</v>
      </c>
    </row>
    <row r="25" spans="1:18">
      <c r="A25" s="218" t="s">
        <v>702</v>
      </c>
      <c r="B25" s="219">
        <v>0</v>
      </c>
      <c r="C25" s="219">
        <v>7</v>
      </c>
      <c r="D25" s="154">
        <v>7</v>
      </c>
      <c r="E25" s="223">
        <f t="shared" si="0"/>
        <v>45465</v>
      </c>
    </row>
    <row r="26" spans="1:18">
      <c r="A26" s="218" t="s">
        <v>703</v>
      </c>
      <c r="B26" s="219">
        <v>0</v>
      </c>
      <c r="C26" s="219">
        <v>10</v>
      </c>
      <c r="D26" s="154">
        <v>10</v>
      </c>
      <c r="E26" s="223">
        <f t="shared" si="0"/>
        <v>45466</v>
      </c>
      <c r="G26" s="240" t="str">
        <f>"• "&amp;TEXT(J2+1,"yyyy년 m월 d일")&amp;" 기준 총 팔로워 현황 "&amp;TEXT('월간 HL'!W32,"#,###")&amp;"명, 전월 대비 "&amp;TEXT(ABS(('월간 HL'!W32-'월간 HL'!W31)/'월간 HL'!W31),"0.0%")&amp;IF('월간 HL'!W32&lt;'월간 HL'!W31," 감소"," 증가")</f>
        <v>• 2024년 7월 1일 기준 총 팔로워 현황 20,421명, 전월 대비 4.1% 증가</v>
      </c>
    </row>
    <row r="27" spans="1:18">
      <c r="A27" s="218" t="s">
        <v>704</v>
      </c>
      <c r="B27" s="219">
        <v>0</v>
      </c>
      <c r="C27" s="219">
        <v>25</v>
      </c>
      <c r="D27" s="154">
        <v>25</v>
      </c>
      <c r="E27" s="223">
        <f t="shared" si="0"/>
        <v>45467</v>
      </c>
      <c r="G27" s="239" t="str">
        <f>"  - "&amp;MONTH(J1)&amp;"월 총 신규 팔로워 수 "&amp;TEXT(SUM(D4:D34),"#,###")&amp;"명으로, 이 중 광고를 통해 "&amp;TEXT(SUM(B4:B34)/SUM(D4:D34),"0.0%")&amp;", 오가닉으로 "&amp;TEXT(SUM(C4:C34)/SUM(D4:D34),"0.0%")&amp;" 유입"</f>
        <v xml:space="preserve">  - 6월 총 신규 팔로워 수 859명으로, 이 중 광고를 통해 30.2%, 오가닉으로 69.8% 유입</v>
      </c>
    </row>
    <row r="28" spans="1:18">
      <c r="A28" s="218" t="s">
        <v>705</v>
      </c>
      <c r="B28" s="219">
        <v>0</v>
      </c>
      <c r="C28" s="219">
        <v>22</v>
      </c>
      <c r="D28" s="154">
        <v>22</v>
      </c>
      <c r="E28" s="223">
        <f t="shared" si="0"/>
        <v>45468</v>
      </c>
      <c r="G28" s="241" t="str">
        <f>"  - "&amp;MONTH(J1)&amp;"월 신규 팔로워 TOP 3"</f>
        <v xml:space="preserve">  - 6월 신규 팔로워 TOP 3</v>
      </c>
    </row>
    <row r="29" spans="1:18">
      <c r="A29" s="218" t="s">
        <v>706</v>
      </c>
      <c r="B29" s="219">
        <v>20</v>
      </c>
      <c r="C29" s="219">
        <v>17</v>
      </c>
      <c r="D29" s="154">
        <v>37</v>
      </c>
      <c r="E29" s="223">
        <f t="shared" si="0"/>
        <v>45469</v>
      </c>
    </row>
    <row r="30" spans="1:18">
      <c r="A30" s="218" t="s">
        <v>707</v>
      </c>
      <c r="B30" s="219">
        <v>60</v>
      </c>
      <c r="C30" s="219">
        <v>80</v>
      </c>
      <c r="D30" s="154">
        <v>140</v>
      </c>
      <c r="E30" s="223">
        <f t="shared" si="0"/>
        <v>45470</v>
      </c>
    </row>
    <row r="31" spans="1:18">
      <c r="A31" s="218" t="s">
        <v>708</v>
      </c>
      <c r="B31" s="219">
        <v>0</v>
      </c>
      <c r="C31" s="219">
        <v>34</v>
      </c>
      <c r="D31" s="154">
        <v>34</v>
      </c>
      <c r="E31" s="223">
        <f t="shared" si="0"/>
        <v>45471</v>
      </c>
      <c r="R31" s="301"/>
    </row>
    <row r="32" spans="1:18">
      <c r="A32" s="218" t="s">
        <v>709</v>
      </c>
      <c r="B32" s="219">
        <v>0</v>
      </c>
      <c r="C32" s="219">
        <v>29</v>
      </c>
      <c r="D32" s="154">
        <v>29</v>
      </c>
      <c r="E32" s="223">
        <f t="shared" si="0"/>
        <v>45472</v>
      </c>
      <c r="R32" s="302"/>
    </row>
    <row r="33" spans="1:18">
      <c r="A33" s="218" t="s">
        <v>710</v>
      </c>
      <c r="B33" s="219">
        <v>0</v>
      </c>
      <c r="C33" s="219">
        <v>25</v>
      </c>
      <c r="D33" s="154">
        <v>25</v>
      </c>
      <c r="E33" s="223">
        <f t="shared" si="0"/>
        <v>45473</v>
      </c>
      <c r="R33" s="302"/>
    </row>
    <row r="34" spans="1:18" ht="17.25" thickBot="1">
      <c r="A34" s="220"/>
      <c r="B34" s="221"/>
      <c r="C34" s="221"/>
      <c r="D34" s="222"/>
      <c r="E34" s="223" t="str">
        <f t="shared" si="0"/>
        <v/>
      </c>
    </row>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F2883-1B9D-483C-9241-6D65932C78C5}">
  <sheetPr>
    <tabColor theme="7" tint="0.79998168889431442"/>
  </sheetPr>
  <dimension ref="A1:Y32"/>
  <sheetViews>
    <sheetView tabSelected="1" workbookViewId="0">
      <selection activeCell="V1" sqref="V1"/>
    </sheetView>
  </sheetViews>
  <sheetFormatPr defaultRowHeight="16.5"/>
  <sheetData>
    <row r="1" spans="1:25">
      <c r="A1" s="107" t="s">
        <v>88</v>
      </c>
      <c r="B1" s="107" t="s">
        <v>1003</v>
      </c>
      <c r="C1" s="107" t="s">
        <v>617</v>
      </c>
      <c r="D1" s="107" t="s">
        <v>618</v>
      </c>
      <c r="E1" s="107" t="s">
        <v>619</v>
      </c>
      <c r="F1" s="107" t="s">
        <v>620</v>
      </c>
      <c r="G1" s="107" t="s">
        <v>621</v>
      </c>
      <c r="H1" s="107" t="s">
        <v>622</v>
      </c>
      <c r="I1" s="107" t="s">
        <v>623</v>
      </c>
      <c r="J1" s="107" t="s">
        <v>624</v>
      </c>
      <c r="K1" s="107" t="s">
        <v>625</v>
      </c>
      <c r="L1" s="107" t="s">
        <v>626</v>
      </c>
      <c r="M1" s="107" t="s">
        <v>627</v>
      </c>
      <c r="N1" s="107" t="s">
        <v>628</v>
      </c>
      <c r="O1" s="107" t="s">
        <v>629</v>
      </c>
      <c r="P1" s="107" t="s">
        <v>630</v>
      </c>
      <c r="Q1" s="107" t="s">
        <v>631</v>
      </c>
      <c r="R1" s="107" t="s">
        <v>632</v>
      </c>
      <c r="S1" s="107" t="s">
        <v>633</v>
      </c>
      <c r="T1" s="107" t="s">
        <v>1004</v>
      </c>
      <c r="U1" s="107" t="s">
        <v>16</v>
      </c>
      <c r="V1" s="107" t="s">
        <v>634</v>
      </c>
      <c r="W1" s="107" t="s">
        <v>635</v>
      </c>
      <c r="X1" s="107" t="s">
        <v>636</v>
      </c>
      <c r="Y1" s="107" t="s">
        <v>637</v>
      </c>
    </row>
    <row r="2" spans="1:25">
      <c r="A2" s="38" t="s">
        <v>973</v>
      </c>
      <c r="B2" s="38">
        <v>39</v>
      </c>
      <c r="C2" s="38">
        <v>49</v>
      </c>
      <c r="D2" s="38">
        <v>88</v>
      </c>
      <c r="E2" s="38">
        <v>18</v>
      </c>
      <c r="F2" s="38">
        <v>20</v>
      </c>
      <c r="G2" s="38">
        <v>37</v>
      </c>
      <c r="H2" s="38">
        <v>0</v>
      </c>
      <c r="I2" s="38">
        <v>0</v>
      </c>
      <c r="J2" s="38">
        <v>0</v>
      </c>
      <c r="K2" s="38">
        <v>0</v>
      </c>
      <c r="L2" s="38">
        <v>0</v>
      </c>
      <c r="M2" s="38">
        <v>0</v>
      </c>
      <c r="N2" s="38">
        <v>3</v>
      </c>
      <c r="O2" s="38">
        <v>5</v>
      </c>
      <c r="P2" s="38">
        <v>8</v>
      </c>
      <c r="Q2" s="38">
        <v>3</v>
      </c>
      <c r="R2" s="38">
        <v>3</v>
      </c>
      <c r="S2" s="38">
        <v>6</v>
      </c>
      <c r="T2" s="38">
        <v>52</v>
      </c>
      <c r="U2" s="38">
        <v>60</v>
      </c>
      <c r="V2" s="38">
        <v>112</v>
      </c>
      <c r="W2" s="38">
        <v>21</v>
      </c>
      <c r="X2" s="38">
        <v>20</v>
      </c>
      <c r="Y2" s="38">
        <v>40</v>
      </c>
    </row>
    <row r="3" spans="1:25">
      <c r="A3" s="38" t="s">
        <v>974</v>
      </c>
      <c r="B3" s="38">
        <v>48</v>
      </c>
      <c r="C3" s="38">
        <v>40</v>
      </c>
      <c r="D3" s="38">
        <v>88</v>
      </c>
      <c r="E3" s="38">
        <v>23</v>
      </c>
      <c r="F3" s="38">
        <v>20</v>
      </c>
      <c r="G3" s="38">
        <v>42</v>
      </c>
      <c r="H3" s="38">
        <v>2</v>
      </c>
      <c r="I3" s="38">
        <v>0</v>
      </c>
      <c r="J3" s="38">
        <v>2</v>
      </c>
      <c r="K3" s="38">
        <v>2</v>
      </c>
      <c r="L3" s="38">
        <v>0</v>
      </c>
      <c r="M3" s="38">
        <v>2</v>
      </c>
      <c r="N3" s="38">
        <v>5</v>
      </c>
      <c r="O3" s="38">
        <v>10</v>
      </c>
      <c r="P3" s="38">
        <v>15</v>
      </c>
      <c r="Q3" s="38">
        <v>4</v>
      </c>
      <c r="R3" s="38">
        <v>7</v>
      </c>
      <c r="S3" s="38">
        <v>10</v>
      </c>
      <c r="T3" s="38">
        <v>85</v>
      </c>
      <c r="U3" s="38">
        <v>56</v>
      </c>
      <c r="V3" s="38">
        <v>141</v>
      </c>
      <c r="W3" s="38">
        <v>23</v>
      </c>
      <c r="X3" s="38">
        <v>20</v>
      </c>
      <c r="Y3" s="38">
        <v>42</v>
      </c>
    </row>
    <row r="4" spans="1:25">
      <c r="A4" s="38" t="s">
        <v>975</v>
      </c>
      <c r="B4" s="38">
        <v>21</v>
      </c>
      <c r="C4" s="38">
        <v>50</v>
      </c>
      <c r="D4" s="38">
        <v>71</v>
      </c>
      <c r="E4" s="38">
        <v>14</v>
      </c>
      <c r="F4" s="38">
        <v>24</v>
      </c>
      <c r="G4" s="38">
        <v>38</v>
      </c>
      <c r="H4" s="38">
        <v>0</v>
      </c>
      <c r="I4" s="38">
        <v>0</v>
      </c>
      <c r="J4" s="38">
        <v>0</v>
      </c>
      <c r="K4" s="38">
        <v>0</v>
      </c>
      <c r="L4" s="38">
        <v>0</v>
      </c>
      <c r="M4" s="38">
        <v>0</v>
      </c>
      <c r="N4" s="38">
        <v>4</v>
      </c>
      <c r="O4" s="38">
        <v>9</v>
      </c>
      <c r="P4" s="38">
        <v>13</v>
      </c>
      <c r="Q4" s="38">
        <v>4</v>
      </c>
      <c r="R4" s="38">
        <v>7</v>
      </c>
      <c r="S4" s="38">
        <v>11</v>
      </c>
      <c r="T4" s="38">
        <v>33</v>
      </c>
      <c r="U4" s="38">
        <v>70</v>
      </c>
      <c r="V4" s="38">
        <v>103</v>
      </c>
      <c r="W4" s="38">
        <v>15</v>
      </c>
      <c r="X4" s="38">
        <v>24</v>
      </c>
      <c r="Y4" s="38">
        <v>39</v>
      </c>
    </row>
    <row r="5" spans="1:25">
      <c r="A5" s="38" t="s">
        <v>976</v>
      </c>
      <c r="B5" s="38">
        <v>31</v>
      </c>
      <c r="C5" s="38">
        <v>45</v>
      </c>
      <c r="D5" s="38">
        <v>76</v>
      </c>
      <c r="E5" s="38">
        <v>20</v>
      </c>
      <c r="F5" s="38">
        <v>20</v>
      </c>
      <c r="G5" s="38">
        <v>40</v>
      </c>
      <c r="H5" s="38">
        <v>4</v>
      </c>
      <c r="I5" s="38">
        <v>0</v>
      </c>
      <c r="J5" s="38">
        <v>4</v>
      </c>
      <c r="K5" s="38">
        <v>2</v>
      </c>
      <c r="L5" s="38">
        <v>0</v>
      </c>
      <c r="M5" s="38">
        <v>2</v>
      </c>
      <c r="N5" s="38">
        <v>6</v>
      </c>
      <c r="O5" s="38">
        <v>8</v>
      </c>
      <c r="P5" s="38">
        <v>14</v>
      </c>
      <c r="Q5" s="38">
        <v>4</v>
      </c>
      <c r="R5" s="38">
        <v>6</v>
      </c>
      <c r="S5" s="38">
        <v>10</v>
      </c>
      <c r="T5" s="38">
        <v>53</v>
      </c>
      <c r="U5" s="38">
        <v>57</v>
      </c>
      <c r="V5" s="38">
        <v>110</v>
      </c>
      <c r="W5" s="38">
        <v>20</v>
      </c>
      <c r="X5" s="38">
        <v>20</v>
      </c>
      <c r="Y5" s="38">
        <v>40</v>
      </c>
    </row>
    <row r="6" spans="1:25">
      <c r="A6" s="38" t="s">
        <v>977</v>
      </c>
      <c r="B6" s="38">
        <v>33</v>
      </c>
      <c r="C6" s="38">
        <v>79</v>
      </c>
      <c r="D6" s="38">
        <v>112</v>
      </c>
      <c r="E6" s="38">
        <v>19</v>
      </c>
      <c r="F6" s="38">
        <v>31</v>
      </c>
      <c r="G6" s="38">
        <v>50</v>
      </c>
      <c r="H6" s="38">
        <v>1</v>
      </c>
      <c r="I6" s="38">
        <v>2</v>
      </c>
      <c r="J6" s="38">
        <v>3</v>
      </c>
      <c r="K6" s="38">
        <v>1</v>
      </c>
      <c r="L6" s="38">
        <v>2</v>
      </c>
      <c r="M6" s="38">
        <v>3</v>
      </c>
      <c r="N6" s="38">
        <v>2</v>
      </c>
      <c r="O6" s="38">
        <v>14</v>
      </c>
      <c r="P6" s="38">
        <v>16</v>
      </c>
      <c r="Q6" s="38">
        <v>2</v>
      </c>
      <c r="R6" s="38">
        <v>11</v>
      </c>
      <c r="S6" s="38">
        <v>13</v>
      </c>
      <c r="T6" s="38">
        <v>56</v>
      </c>
      <c r="U6" s="38">
        <v>109</v>
      </c>
      <c r="V6" s="38">
        <v>165</v>
      </c>
      <c r="W6" s="38">
        <v>19</v>
      </c>
      <c r="X6" s="38">
        <v>34</v>
      </c>
      <c r="Y6" s="38">
        <v>53</v>
      </c>
    </row>
    <row r="7" spans="1:25">
      <c r="A7" s="38" t="s">
        <v>978</v>
      </c>
      <c r="B7" s="38">
        <v>7</v>
      </c>
      <c r="C7" s="38">
        <v>37</v>
      </c>
      <c r="D7" s="38">
        <v>44</v>
      </c>
      <c r="E7" s="38">
        <v>3</v>
      </c>
      <c r="F7" s="38">
        <v>15</v>
      </c>
      <c r="G7" s="38">
        <v>18</v>
      </c>
      <c r="H7" s="38">
        <v>1</v>
      </c>
      <c r="I7" s="38">
        <v>1</v>
      </c>
      <c r="J7" s="38">
        <v>2</v>
      </c>
      <c r="K7" s="38">
        <v>1</v>
      </c>
      <c r="L7" s="38">
        <v>1</v>
      </c>
      <c r="M7" s="38">
        <v>2</v>
      </c>
      <c r="N7" s="38">
        <v>3</v>
      </c>
      <c r="O7" s="38">
        <v>4</v>
      </c>
      <c r="P7" s="38">
        <v>7</v>
      </c>
      <c r="Q7" s="38">
        <v>2</v>
      </c>
      <c r="R7" s="38">
        <v>4</v>
      </c>
      <c r="S7" s="38">
        <v>6</v>
      </c>
      <c r="T7" s="38">
        <v>13</v>
      </c>
      <c r="U7" s="38">
        <v>59</v>
      </c>
      <c r="V7" s="38">
        <v>72</v>
      </c>
      <c r="W7" s="38">
        <v>3</v>
      </c>
      <c r="X7" s="38">
        <v>15</v>
      </c>
      <c r="Y7" s="38">
        <v>18</v>
      </c>
    </row>
    <row r="8" spans="1:25">
      <c r="A8" s="38" t="s">
        <v>979</v>
      </c>
      <c r="B8" s="38">
        <v>7</v>
      </c>
      <c r="C8" s="38">
        <v>35</v>
      </c>
      <c r="D8" s="38">
        <v>42</v>
      </c>
      <c r="E8" s="38">
        <v>4</v>
      </c>
      <c r="F8" s="38">
        <v>18</v>
      </c>
      <c r="G8" s="38">
        <v>22</v>
      </c>
      <c r="H8" s="38">
        <v>0</v>
      </c>
      <c r="I8" s="38">
        <v>0</v>
      </c>
      <c r="J8" s="38">
        <v>0</v>
      </c>
      <c r="K8" s="38">
        <v>0</v>
      </c>
      <c r="L8" s="38">
        <v>0</v>
      </c>
      <c r="M8" s="38">
        <v>0</v>
      </c>
      <c r="N8" s="38">
        <v>3</v>
      </c>
      <c r="O8" s="38">
        <v>4</v>
      </c>
      <c r="P8" s="38">
        <v>7</v>
      </c>
      <c r="Q8" s="38">
        <v>2</v>
      </c>
      <c r="R8" s="38">
        <v>3</v>
      </c>
      <c r="S8" s="38">
        <v>5</v>
      </c>
      <c r="T8" s="38">
        <v>10</v>
      </c>
      <c r="U8" s="38">
        <v>54</v>
      </c>
      <c r="V8" s="38">
        <v>64</v>
      </c>
      <c r="W8" s="38">
        <v>4</v>
      </c>
      <c r="X8" s="38">
        <v>18</v>
      </c>
      <c r="Y8" s="38">
        <v>22</v>
      </c>
    </row>
    <row r="9" spans="1:25">
      <c r="A9" s="38" t="s">
        <v>980</v>
      </c>
      <c r="B9" s="38">
        <v>56</v>
      </c>
      <c r="C9" s="38">
        <v>41</v>
      </c>
      <c r="D9" s="38">
        <v>97</v>
      </c>
      <c r="E9" s="38">
        <v>26</v>
      </c>
      <c r="F9" s="38">
        <v>14</v>
      </c>
      <c r="G9" s="38">
        <v>40</v>
      </c>
      <c r="H9" s="38">
        <v>0</v>
      </c>
      <c r="I9" s="38">
        <v>2</v>
      </c>
      <c r="J9" s="38">
        <v>2</v>
      </c>
      <c r="K9" s="38">
        <v>0</v>
      </c>
      <c r="L9" s="38">
        <v>2</v>
      </c>
      <c r="M9" s="38">
        <v>2</v>
      </c>
      <c r="N9" s="38">
        <v>4</v>
      </c>
      <c r="O9" s="38">
        <v>10</v>
      </c>
      <c r="P9" s="38">
        <v>14</v>
      </c>
      <c r="Q9" s="38">
        <v>4</v>
      </c>
      <c r="R9" s="38">
        <v>6</v>
      </c>
      <c r="S9" s="38">
        <v>10</v>
      </c>
      <c r="T9" s="38">
        <v>69</v>
      </c>
      <c r="U9" s="38">
        <v>61</v>
      </c>
      <c r="V9" s="38">
        <v>130</v>
      </c>
      <c r="W9" s="38">
        <v>26</v>
      </c>
      <c r="X9" s="38">
        <v>14</v>
      </c>
      <c r="Y9" s="38">
        <v>40</v>
      </c>
    </row>
    <row r="10" spans="1:25">
      <c r="A10" s="38" t="s">
        <v>981</v>
      </c>
      <c r="B10" s="38">
        <v>86</v>
      </c>
      <c r="C10" s="38">
        <v>392</v>
      </c>
      <c r="D10" s="38">
        <v>478</v>
      </c>
      <c r="E10" s="38">
        <v>51</v>
      </c>
      <c r="F10" s="38">
        <v>187</v>
      </c>
      <c r="G10" s="38">
        <v>238</v>
      </c>
      <c r="H10" s="38">
        <v>2</v>
      </c>
      <c r="I10" s="38">
        <v>2</v>
      </c>
      <c r="J10" s="38">
        <v>4</v>
      </c>
      <c r="K10" s="38">
        <v>1</v>
      </c>
      <c r="L10" s="38">
        <v>2</v>
      </c>
      <c r="M10" s="38">
        <v>3</v>
      </c>
      <c r="N10" s="38">
        <v>12</v>
      </c>
      <c r="O10" s="38">
        <v>37</v>
      </c>
      <c r="P10" s="38">
        <v>49</v>
      </c>
      <c r="Q10" s="38">
        <v>9</v>
      </c>
      <c r="R10" s="38">
        <v>35</v>
      </c>
      <c r="S10" s="38">
        <v>44</v>
      </c>
      <c r="T10" s="38">
        <v>120</v>
      </c>
      <c r="U10" s="38">
        <v>472</v>
      </c>
      <c r="V10" s="38">
        <v>592</v>
      </c>
      <c r="W10" s="38">
        <v>51</v>
      </c>
      <c r="X10" s="38">
        <v>188</v>
      </c>
      <c r="Y10" s="38">
        <v>239</v>
      </c>
    </row>
    <row r="11" spans="1:25">
      <c r="A11" s="38" t="s">
        <v>982</v>
      </c>
      <c r="B11" s="38">
        <v>37</v>
      </c>
      <c r="C11" s="38">
        <v>25</v>
      </c>
      <c r="D11" s="38">
        <v>62</v>
      </c>
      <c r="E11" s="38">
        <v>13</v>
      </c>
      <c r="F11" s="38">
        <v>17</v>
      </c>
      <c r="G11" s="38">
        <v>30</v>
      </c>
      <c r="H11" s="38">
        <v>0</v>
      </c>
      <c r="I11" s="38">
        <v>3</v>
      </c>
      <c r="J11" s="38">
        <v>3</v>
      </c>
      <c r="K11" s="38">
        <v>0</v>
      </c>
      <c r="L11" s="38">
        <v>2</v>
      </c>
      <c r="M11" s="38">
        <v>2</v>
      </c>
      <c r="N11" s="38">
        <v>7</v>
      </c>
      <c r="O11" s="38">
        <v>4</v>
      </c>
      <c r="P11" s="38">
        <v>11</v>
      </c>
      <c r="Q11" s="38">
        <v>3</v>
      </c>
      <c r="R11" s="38">
        <v>4</v>
      </c>
      <c r="S11" s="38">
        <v>7</v>
      </c>
      <c r="T11" s="38">
        <v>64</v>
      </c>
      <c r="U11" s="38">
        <v>43</v>
      </c>
      <c r="V11" s="38">
        <v>107</v>
      </c>
      <c r="W11" s="38">
        <v>14</v>
      </c>
      <c r="X11" s="38">
        <v>18</v>
      </c>
      <c r="Y11" s="38">
        <v>32</v>
      </c>
    </row>
    <row r="12" spans="1:25">
      <c r="A12" s="38" t="s">
        <v>983</v>
      </c>
      <c r="B12" s="38">
        <v>40</v>
      </c>
      <c r="C12" s="38">
        <v>32</v>
      </c>
      <c r="D12" s="38">
        <v>72</v>
      </c>
      <c r="E12" s="38">
        <v>22</v>
      </c>
      <c r="F12" s="38">
        <v>11</v>
      </c>
      <c r="G12" s="38">
        <v>31</v>
      </c>
      <c r="H12" s="38">
        <v>2</v>
      </c>
      <c r="I12" s="38">
        <v>3</v>
      </c>
      <c r="J12" s="38">
        <v>5</v>
      </c>
      <c r="K12" s="38">
        <v>2</v>
      </c>
      <c r="L12" s="38">
        <v>1</v>
      </c>
      <c r="M12" s="38">
        <v>3</v>
      </c>
      <c r="N12" s="38">
        <v>3</v>
      </c>
      <c r="O12" s="38">
        <v>8</v>
      </c>
      <c r="P12" s="38">
        <v>11</v>
      </c>
      <c r="Q12" s="38">
        <v>3</v>
      </c>
      <c r="R12" s="38">
        <v>4</v>
      </c>
      <c r="S12" s="38">
        <v>7</v>
      </c>
      <c r="T12" s="38">
        <v>51</v>
      </c>
      <c r="U12" s="38">
        <v>54</v>
      </c>
      <c r="V12" s="38">
        <v>105</v>
      </c>
      <c r="W12" s="38">
        <v>22</v>
      </c>
      <c r="X12" s="38">
        <v>13</v>
      </c>
      <c r="Y12" s="38">
        <v>33</v>
      </c>
    </row>
    <row r="13" spans="1:25">
      <c r="A13" s="38" t="s">
        <v>984</v>
      </c>
      <c r="B13" s="38">
        <v>41</v>
      </c>
      <c r="C13" s="38">
        <v>135</v>
      </c>
      <c r="D13" s="38">
        <v>176</v>
      </c>
      <c r="E13" s="38">
        <v>28</v>
      </c>
      <c r="F13" s="38">
        <v>72</v>
      </c>
      <c r="G13" s="38">
        <v>100</v>
      </c>
      <c r="H13" s="38">
        <v>0</v>
      </c>
      <c r="I13" s="38">
        <v>2</v>
      </c>
      <c r="J13" s="38">
        <v>2</v>
      </c>
      <c r="K13" s="38">
        <v>0</v>
      </c>
      <c r="L13" s="38">
        <v>2</v>
      </c>
      <c r="M13" s="38">
        <v>2</v>
      </c>
      <c r="N13" s="38">
        <v>7</v>
      </c>
      <c r="O13" s="38">
        <v>10</v>
      </c>
      <c r="P13" s="38">
        <v>17</v>
      </c>
      <c r="Q13" s="38">
        <v>6</v>
      </c>
      <c r="R13" s="38">
        <v>9</v>
      </c>
      <c r="S13" s="38">
        <v>15</v>
      </c>
      <c r="T13" s="38">
        <v>63</v>
      </c>
      <c r="U13" s="38">
        <v>164</v>
      </c>
      <c r="V13" s="38">
        <v>227</v>
      </c>
      <c r="W13" s="38">
        <v>28</v>
      </c>
      <c r="X13" s="38">
        <v>73</v>
      </c>
      <c r="Y13" s="38">
        <v>101</v>
      </c>
    </row>
    <row r="14" spans="1:25">
      <c r="A14" s="38" t="s">
        <v>985</v>
      </c>
      <c r="B14" s="38">
        <v>4</v>
      </c>
      <c r="C14" s="38">
        <v>37</v>
      </c>
      <c r="D14" s="38">
        <v>41</v>
      </c>
      <c r="E14" s="38">
        <v>3</v>
      </c>
      <c r="F14" s="38">
        <v>15</v>
      </c>
      <c r="G14" s="38">
        <v>18</v>
      </c>
      <c r="H14" s="38">
        <v>0</v>
      </c>
      <c r="I14" s="38">
        <v>0</v>
      </c>
      <c r="J14" s="38">
        <v>0</v>
      </c>
      <c r="K14" s="38">
        <v>0</v>
      </c>
      <c r="L14" s="38">
        <v>0</v>
      </c>
      <c r="M14" s="38">
        <v>0</v>
      </c>
      <c r="N14" s="38">
        <v>0</v>
      </c>
      <c r="O14" s="38">
        <v>2</v>
      </c>
      <c r="P14" s="38">
        <v>2</v>
      </c>
      <c r="Q14" s="38">
        <v>0</v>
      </c>
      <c r="R14" s="38">
        <v>2</v>
      </c>
      <c r="S14" s="38">
        <v>2</v>
      </c>
      <c r="T14" s="38">
        <v>7</v>
      </c>
      <c r="U14" s="38">
        <v>40</v>
      </c>
      <c r="V14" s="38">
        <v>47</v>
      </c>
      <c r="W14" s="38">
        <v>3</v>
      </c>
      <c r="X14" s="38">
        <v>15</v>
      </c>
      <c r="Y14" s="38">
        <v>18</v>
      </c>
    </row>
    <row r="15" spans="1:25">
      <c r="A15" s="38" t="s">
        <v>986</v>
      </c>
      <c r="B15" s="38">
        <v>10</v>
      </c>
      <c r="C15" s="38">
        <v>37</v>
      </c>
      <c r="D15" s="38">
        <v>47</v>
      </c>
      <c r="E15" s="38">
        <v>8</v>
      </c>
      <c r="F15" s="38">
        <v>21</v>
      </c>
      <c r="G15" s="38">
        <v>29</v>
      </c>
      <c r="H15" s="38">
        <v>0</v>
      </c>
      <c r="I15" s="38">
        <v>0</v>
      </c>
      <c r="J15" s="38">
        <v>0</v>
      </c>
      <c r="K15" s="38">
        <v>0</v>
      </c>
      <c r="L15" s="38">
        <v>0</v>
      </c>
      <c r="M15" s="38">
        <v>0</v>
      </c>
      <c r="N15" s="38">
        <v>4</v>
      </c>
      <c r="O15" s="38">
        <v>9</v>
      </c>
      <c r="P15" s="38">
        <v>13</v>
      </c>
      <c r="Q15" s="38">
        <v>3</v>
      </c>
      <c r="R15" s="38">
        <v>7</v>
      </c>
      <c r="S15" s="38">
        <v>10</v>
      </c>
      <c r="T15" s="38">
        <v>25</v>
      </c>
      <c r="U15" s="38">
        <v>47</v>
      </c>
      <c r="V15" s="38">
        <v>72</v>
      </c>
      <c r="W15" s="38">
        <v>8</v>
      </c>
      <c r="X15" s="38">
        <v>21</v>
      </c>
      <c r="Y15" s="38">
        <v>29</v>
      </c>
    </row>
    <row r="16" spans="1:25">
      <c r="A16" s="38" t="s">
        <v>987</v>
      </c>
      <c r="B16" s="38">
        <v>26</v>
      </c>
      <c r="C16" s="38">
        <v>25</v>
      </c>
      <c r="D16" s="38">
        <v>51</v>
      </c>
      <c r="E16" s="38">
        <v>16</v>
      </c>
      <c r="F16" s="38">
        <v>17</v>
      </c>
      <c r="G16" s="38">
        <v>33</v>
      </c>
      <c r="H16" s="38">
        <v>0</v>
      </c>
      <c r="I16" s="38">
        <v>2</v>
      </c>
      <c r="J16" s="38">
        <v>2</v>
      </c>
      <c r="K16" s="38">
        <v>0</v>
      </c>
      <c r="L16" s="38">
        <v>2</v>
      </c>
      <c r="M16" s="38">
        <v>2</v>
      </c>
      <c r="N16" s="38">
        <v>5</v>
      </c>
      <c r="O16" s="38">
        <v>3</v>
      </c>
      <c r="P16" s="38">
        <v>8</v>
      </c>
      <c r="Q16" s="38">
        <v>3</v>
      </c>
      <c r="R16" s="38">
        <v>3</v>
      </c>
      <c r="S16" s="38">
        <v>6</v>
      </c>
      <c r="T16" s="38">
        <v>33</v>
      </c>
      <c r="U16" s="38">
        <v>31</v>
      </c>
      <c r="V16" s="38">
        <v>64</v>
      </c>
      <c r="W16" s="38">
        <v>16</v>
      </c>
      <c r="X16" s="38">
        <v>17</v>
      </c>
      <c r="Y16" s="38">
        <v>33</v>
      </c>
    </row>
    <row r="17" spans="1:25">
      <c r="A17" s="38" t="s">
        <v>988</v>
      </c>
      <c r="B17" s="38">
        <v>35</v>
      </c>
      <c r="C17" s="38">
        <v>81</v>
      </c>
      <c r="D17" s="38">
        <v>116</v>
      </c>
      <c r="E17" s="38">
        <v>22</v>
      </c>
      <c r="F17" s="38">
        <v>45</v>
      </c>
      <c r="G17" s="38">
        <v>66</v>
      </c>
      <c r="H17" s="38">
        <v>0</v>
      </c>
      <c r="I17" s="38">
        <v>3</v>
      </c>
      <c r="J17" s="38">
        <v>3</v>
      </c>
      <c r="K17" s="38">
        <v>0</v>
      </c>
      <c r="L17" s="38">
        <v>2</v>
      </c>
      <c r="M17" s="38">
        <v>2</v>
      </c>
      <c r="N17" s="38">
        <v>2</v>
      </c>
      <c r="O17" s="38">
        <v>18</v>
      </c>
      <c r="P17" s="38">
        <v>20</v>
      </c>
      <c r="Q17" s="38">
        <v>2</v>
      </c>
      <c r="R17" s="38">
        <v>13</v>
      </c>
      <c r="S17" s="38">
        <v>15</v>
      </c>
      <c r="T17" s="38">
        <v>49</v>
      </c>
      <c r="U17" s="38">
        <v>109</v>
      </c>
      <c r="V17" s="38">
        <v>158</v>
      </c>
      <c r="W17" s="38">
        <v>22</v>
      </c>
      <c r="X17" s="38">
        <v>45</v>
      </c>
      <c r="Y17" s="38">
        <v>66</v>
      </c>
    </row>
    <row r="18" spans="1:25">
      <c r="A18" s="38" t="s">
        <v>989</v>
      </c>
      <c r="B18" s="38">
        <v>59</v>
      </c>
      <c r="C18" s="38">
        <v>39</v>
      </c>
      <c r="D18" s="38">
        <v>98</v>
      </c>
      <c r="E18" s="38">
        <v>27</v>
      </c>
      <c r="F18" s="38">
        <v>18</v>
      </c>
      <c r="G18" s="38">
        <v>44</v>
      </c>
      <c r="H18" s="38">
        <v>6</v>
      </c>
      <c r="I18" s="38">
        <v>4</v>
      </c>
      <c r="J18" s="38">
        <v>10</v>
      </c>
      <c r="K18" s="38">
        <v>1</v>
      </c>
      <c r="L18" s="38">
        <v>1</v>
      </c>
      <c r="M18" s="38">
        <v>2</v>
      </c>
      <c r="N18" s="38">
        <v>10</v>
      </c>
      <c r="O18" s="38">
        <v>11</v>
      </c>
      <c r="P18" s="38">
        <v>21</v>
      </c>
      <c r="Q18" s="38">
        <v>5</v>
      </c>
      <c r="R18" s="38">
        <v>5</v>
      </c>
      <c r="S18" s="38">
        <v>10</v>
      </c>
      <c r="T18" s="38">
        <v>98</v>
      </c>
      <c r="U18" s="38">
        <v>71</v>
      </c>
      <c r="V18" s="38">
        <v>169</v>
      </c>
      <c r="W18" s="38">
        <v>27</v>
      </c>
      <c r="X18" s="38">
        <v>20</v>
      </c>
      <c r="Y18" s="38">
        <v>46</v>
      </c>
    </row>
    <row r="19" spans="1:25">
      <c r="A19" s="38" t="s">
        <v>990</v>
      </c>
      <c r="B19" s="38">
        <v>40</v>
      </c>
      <c r="C19" s="38">
        <v>112</v>
      </c>
      <c r="D19" s="38">
        <v>152</v>
      </c>
      <c r="E19" s="38">
        <v>21</v>
      </c>
      <c r="F19" s="38">
        <v>30</v>
      </c>
      <c r="G19" s="38">
        <v>51</v>
      </c>
      <c r="H19" s="38">
        <v>2</v>
      </c>
      <c r="I19" s="38">
        <v>1</v>
      </c>
      <c r="J19" s="38">
        <v>3</v>
      </c>
      <c r="K19" s="38">
        <v>1</v>
      </c>
      <c r="L19" s="38">
        <v>1</v>
      </c>
      <c r="M19" s="38">
        <v>2</v>
      </c>
      <c r="N19" s="38">
        <v>2</v>
      </c>
      <c r="O19" s="38">
        <v>8</v>
      </c>
      <c r="P19" s="38">
        <v>10</v>
      </c>
      <c r="Q19" s="38">
        <v>2</v>
      </c>
      <c r="R19" s="38">
        <v>5</v>
      </c>
      <c r="S19" s="38">
        <v>7</v>
      </c>
      <c r="T19" s="38">
        <v>47</v>
      </c>
      <c r="U19" s="38">
        <v>135</v>
      </c>
      <c r="V19" s="38">
        <v>182</v>
      </c>
      <c r="W19" s="38">
        <v>21</v>
      </c>
      <c r="X19" s="38">
        <v>30</v>
      </c>
      <c r="Y19" s="38">
        <v>51</v>
      </c>
    </row>
    <row r="20" spans="1:25">
      <c r="A20" s="38" t="s">
        <v>991</v>
      </c>
      <c r="B20" s="38">
        <v>21</v>
      </c>
      <c r="C20" s="38">
        <v>53</v>
      </c>
      <c r="D20" s="38">
        <v>74</v>
      </c>
      <c r="E20" s="38">
        <v>16</v>
      </c>
      <c r="F20" s="38">
        <v>24</v>
      </c>
      <c r="G20" s="38">
        <v>39</v>
      </c>
      <c r="H20" s="38">
        <v>1</v>
      </c>
      <c r="I20" s="38">
        <v>1</v>
      </c>
      <c r="J20" s="38">
        <v>2</v>
      </c>
      <c r="K20" s="38">
        <v>1</v>
      </c>
      <c r="L20" s="38">
        <v>1</v>
      </c>
      <c r="M20" s="38">
        <v>2</v>
      </c>
      <c r="N20" s="38">
        <v>2</v>
      </c>
      <c r="O20" s="38">
        <v>9</v>
      </c>
      <c r="P20" s="38">
        <v>11</v>
      </c>
      <c r="Q20" s="38">
        <v>2</v>
      </c>
      <c r="R20" s="38">
        <v>6</v>
      </c>
      <c r="S20" s="38">
        <v>8</v>
      </c>
      <c r="T20" s="38">
        <v>30</v>
      </c>
      <c r="U20" s="38">
        <v>73</v>
      </c>
      <c r="V20" s="38">
        <v>103</v>
      </c>
      <c r="W20" s="38">
        <v>16</v>
      </c>
      <c r="X20" s="38">
        <v>24</v>
      </c>
      <c r="Y20" s="38">
        <v>39</v>
      </c>
    </row>
    <row r="21" spans="1:25">
      <c r="A21" s="38" t="s">
        <v>992</v>
      </c>
      <c r="B21" s="38">
        <v>4</v>
      </c>
      <c r="C21" s="38">
        <v>43</v>
      </c>
      <c r="D21" s="38">
        <v>47</v>
      </c>
      <c r="E21" s="38">
        <v>2</v>
      </c>
      <c r="F21" s="38">
        <v>18</v>
      </c>
      <c r="G21" s="38">
        <v>20</v>
      </c>
      <c r="H21" s="38">
        <v>0</v>
      </c>
      <c r="I21" s="38">
        <v>1</v>
      </c>
      <c r="J21" s="38">
        <v>1</v>
      </c>
      <c r="K21" s="38">
        <v>0</v>
      </c>
      <c r="L21" s="38">
        <v>1</v>
      </c>
      <c r="M21" s="38">
        <v>1</v>
      </c>
      <c r="N21" s="38">
        <v>0</v>
      </c>
      <c r="O21" s="38">
        <v>9</v>
      </c>
      <c r="P21" s="38">
        <v>9</v>
      </c>
      <c r="Q21" s="38">
        <v>0</v>
      </c>
      <c r="R21" s="38">
        <v>7</v>
      </c>
      <c r="S21" s="38">
        <v>7</v>
      </c>
      <c r="T21" s="38">
        <v>7</v>
      </c>
      <c r="U21" s="38">
        <v>57</v>
      </c>
      <c r="V21" s="38">
        <v>64</v>
      </c>
      <c r="W21" s="38">
        <v>3</v>
      </c>
      <c r="X21" s="38">
        <v>19</v>
      </c>
      <c r="Y21" s="38">
        <v>22</v>
      </c>
    </row>
    <row r="22" spans="1:25">
      <c r="A22" s="38" t="s">
        <v>993</v>
      </c>
      <c r="B22" s="38">
        <v>6</v>
      </c>
      <c r="C22" s="38">
        <v>30</v>
      </c>
      <c r="D22" s="38">
        <v>36</v>
      </c>
      <c r="E22" s="38">
        <v>3</v>
      </c>
      <c r="F22" s="38">
        <v>14</v>
      </c>
      <c r="G22" s="38">
        <v>17</v>
      </c>
      <c r="H22" s="38">
        <v>0</v>
      </c>
      <c r="I22" s="38">
        <v>0</v>
      </c>
      <c r="J22" s="38">
        <v>0</v>
      </c>
      <c r="K22" s="38">
        <v>0</v>
      </c>
      <c r="L22" s="38">
        <v>0</v>
      </c>
      <c r="M22" s="38">
        <v>0</v>
      </c>
      <c r="N22" s="38">
        <v>1</v>
      </c>
      <c r="O22" s="38">
        <v>5</v>
      </c>
      <c r="P22" s="38">
        <v>6</v>
      </c>
      <c r="Q22" s="38">
        <v>1</v>
      </c>
      <c r="R22" s="38">
        <v>3</v>
      </c>
      <c r="S22" s="38">
        <v>4</v>
      </c>
      <c r="T22" s="38">
        <v>7</v>
      </c>
      <c r="U22" s="38">
        <v>43</v>
      </c>
      <c r="V22" s="38">
        <v>50</v>
      </c>
      <c r="W22" s="38">
        <v>3</v>
      </c>
      <c r="X22" s="38">
        <v>14</v>
      </c>
      <c r="Y22" s="38">
        <v>17</v>
      </c>
    </row>
    <row r="23" spans="1:25">
      <c r="A23" s="38" t="s">
        <v>994</v>
      </c>
      <c r="B23" s="38">
        <v>46</v>
      </c>
      <c r="C23" s="38">
        <v>39</v>
      </c>
      <c r="D23" s="38">
        <v>85</v>
      </c>
      <c r="E23" s="38">
        <v>17</v>
      </c>
      <c r="F23" s="38">
        <v>22</v>
      </c>
      <c r="G23" s="38">
        <v>39</v>
      </c>
      <c r="H23" s="38">
        <v>1</v>
      </c>
      <c r="I23" s="38">
        <v>2</v>
      </c>
      <c r="J23" s="38">
        <v>3</v>
      </c>
      <c r="K23" s="38">
        <v>1</v>
      </c>
      <c r="L23" s="38">
        <v>2</v>
      </c>
      <c r="M23" s="38">
        <v>3</v>
      </c>
      <c r="N23" s="38">
        <v>4</v>
      </c>
      <c r="O23" s="38">
        <v>9</v>
      </c>
      <c r="P23" s="38">
        <v>13</v>
      </c>
      <c r="Q23" s="38">
        <v>2</v>
      </c>
      <c r="R23" s="38">
        <v>8</v>
      </c>
      <c r="S23" s="38">
        <v>10</v>
      </c>
      <c r="T23" s="38">
        <v>59</v>
      </c>
      <c r="U23" s="38">
        <v>63</v>
      </c>
      <c r="V23" s="38">
        <v>122</v>
      </c>
      <c r="W23" s="38">
        <v>17</v>
      </c>
      <c r="X23" s="38">
        <v>23</v>
      </c>
      <c r="Y23" s="38">
        <v>40</v>
      </c>
    </row>
    <row r="24" spans="1:25">
      <c r="A24" s="38" t="s">
        <v>995</v>
      </c>
      <c r="B24" s="38">
        <v>59</v>
      </c>
      <c r="C24" s="38">
        <v>309</v>
      </c>
      <c r="D24" s="38">
        <v>368</v>
      </c>
      <c r="E24" s="38">
        <v>43</v>
      </c>
      <c r="F24" s="38">
        <v>181</v>
      </c>
      <c r="G24" s="38">
        <v>223</v>
      </c>
      <c r="H24" s="38">
        <v>0</v>
      </c>
      <c r="I24" s="38">
        <v>2</v>
      </c>
      <c r="J24" s="38">
        <v>2</v>
      </c>
      <c r="K24" s="38">
        <v>0</v>
      </c>
      <c r="L24" s="38">
        <v>2</v>
      </c>
      <c r="M24" s="38">
        <v>2</v>
      </c>
      <c r="N24" s="38">
        <v>6</v>
      </c>
      <c r="O24" s="38">
        <v>51</v>
      </c>
      <c r="P24" s="38">
        <v>57</v>
      </c>
      <c r="Q24" s="38">
        <v>5</v>
      </c>
      <c r="R24" s="38">
        <v>40</v>
      </c>
      <c r="S24" s="38">
        <v>45</v>
      </c>
      <c r="T24" s="38">
        <v>76</v>
      </c>
      <c r="U24" s="38">
        <v>395</v>
      </c>
      <c r="V24" s="38">
        <v>471</v>
      </c>
      <c r="W24" s="38">
        <v>43</v>
      </c>
      <c r="X24" s="38">
        <v>182</v>
      </c>
      <c r="Y24" s="38">
        <v>224</v>
      </c>
    </row>
    <row r="25" spans="1:25">
      <c r="A25" s="38" t="s">
        <v>996</v>
      </c>
      <c r="B25" s="38">
        <v>95</v>
      </c>
      <c r="C25" s="38">
        <v>390</v>
      </c>
      <c r="D25" s="38">
        <v>485</v>
      </c>
      <c r="E25" s="38">
        <v>59</v>
      </c>
      <c r="F25" s="38">
        <v>192</v>
      </c>
      <c r="G25" s="38">
        <v>250</v>
      </c>
      <c r="H25" s="38">
        <v>1</v>
      </c>
      <c r="I25" s="38">
        <v>1</v>
      </c>
      <c r="J25" s="38">
        <v>2</v>
      </c>
      <c r="K25" s="38">
        <v>1</v>
      </c>
      <c r="L25" s="38">
        <v>1</v>
      </c>
      <c r="M25" s="38">
        <v>2</v>
      </c>
      <c r="N25" s="38">
        <v>9</v>
      </c>
      <c r="O25" s="38">
        <v>37</v>
      </c>
      <c r="P25" s="38">
        <v>46</v>
      </c>
      <c r="Q25" s="38">
        <v>7</v>
      </c>
      <c r="R25" s="38">
        <v>29</v>
      </c>
      <c r="S25" s="38">
        <v>36</v>
      </c>
      <c r="T25" s="38">
        <v>123</v>
      </c>
      <c r="U25" s="38">
        <v>467</v>
      </c>
      <c r="V25" s="38">
        <v>590</v>
      </c>
      <c r="W25" s="38">
        <v>60</v>
      </c>
      <c r="X25" s="38">
        <v>192</v>
      </c>
      <c r="Y25" s="38">
        <v>251</v>
      </c>
    </row>
    <row r="26" spans="1:25">
      <c r="A26" s="38" t="s">
        <v>997</v>
      </c>
      <c r="B26" s="38">
        <v>60</v>
      </c>
      <c r="C26" s="38">
        <v>116</v>
      </c>
      <c r="D26" s="38">
        <v>176</v>
      </c>
      <c r="E26" s="38">
        <v>29</v>
      </c>
      <c r="F26" s="38">
        <v>48</v>
      </c>
      <c r="G26" s="38">
        <v>76</v>
      </c>
      <c r="H26" s="38">
        <v>2</v>
      </c>
      <c r="I26" s="38">
        <v>1</v>
      </c>
      <c r="J26" s="38">
        <v>3</v>
      </c>
      <c r="K26" s="38">
        <v>2</v>
      </c>
      <c r="L26" s="38">
        <v>1</v>
      </c>
      <c r="M26" s="38">
        <v>3</v>
      </c>
      <c r="N26" s="38">
        <v>0</v>
      </c>
      <c r="O26" s="38">
        <v>12</v>
      </c>
      <c r="P26" s="38">
        <v>12</v>
      </c>
      <c r="Q26" s="38">
        <v>0</v>
      </c>
      <c r="R26" s="38">
        <v>10</v>
      </c>
      <c r="S26" s="38">
        <v>10</v>
      </c>
      <c r="T26" s="38">
        <v>75</v>
      </c>
      <c r="U26" s="38">
        <v>152</v>
      </c>
      <c r="V26" s="38">
        <v>227</v>
      </c>
      <c r="W26" s="38">
        <v>30</v>
      </c>
      <c r="X26" s="38">
        <v>49</v>
      </c>
      <c r="Y26" s="38">
        <v>78</v>
      </c>
    </row>
    <row r="27" spans="1:25">
      <c r="A27" s="38" t="s">
        <v>998</v>
      </c>
      <c r="B27" s="38">
        <v>25</v>
      </c>
      <c r="C27" s="38">
        <v>44</v>
      </c>
      <c r="D27" s="38">
        <v>69</v>
      </c>
      <c r="E27" s="38">
        <v>15</v>
      </c>
      <c r="F27" s="38">
        <v>22</v>
      </c>
      <c r="G27" s="38">
        <v>37</v>
      </c>
      <c r="H27" s="38">
        <v>0</v>
      </c>
      <c r="I27" s="38">
        <v>2</v>
      </c>
      <c r="J27" s="38">
        <v>2</v>
      </c>
      <c r="K27" s="38">
        <v>0</v>
      </c>
      <c r="L27" s="38">
        <v>1</v>
      </c>
      <c r="M27" s="38">
        <v>1</v>
      </c>
      <c r="N27" s="38">
        <v>2</v>
      </c>
      <c r="O27" s="38">
        <v>15</v>
      </c>
      <c r="P27" s="38">
        <v>17</v>
      </c>
      <c r="Q27" s="38">
        <v>2</v>
      </c>
      <c r="R27" s="38">
        <v>8</v>
      </c>
      <c r="S27" s="38">
        <v>10</v>
      </c>
      <c r="T27" s="38">
        <v>33</v>
      </c>
      <c r="U27" s="38">
        <v>72</v>
      </c>
      <c r="V27" s="38">
        <v>105</v>
      </c>
      <c r="W27" s="38">
        <v>16</v>
      </c>
      <c r="X27" s="38">
        <v>22</v>
      </c>
      <c r="Y27" s="38">
        <v>38</v>
      </c>
    </row>
    <row r="28" spans="1:25">
      <c r="A28" s="38" t="s">
        <v>999</v>
      </c>
      <c r="B28" s="38">
        <v>3</v>
      </c>
      <c r="C28" s="38">
        <v>30</v>
      </c>
      <c r="D28" s="38">
        <v>33</v>
      </c>
      <c r="E28" s="38">
        <v>3</v>
      </c>
      <c r="F28" s="38">
        <v>15</v>
      </c>
      <c r="G28" s="38">
        <v>18</v>
      </c>
      <c r="H28" s="38">
        <v>0</v>
      </c>
      <c r="I28" s="38">
        <v>4</v>
      </c>
      <c r="J28" s="38">
        <v>4</v>
      </c>
      <c r="K28" s="38">
        <v>0</v>
      </c>
      <c r="L28" s="38">
        <v>3</v>
      </c>
      <c r="M28" s="38">
        <v>3</v>
      </c>
      <c r="N28" s="38">
        <v>1</v>
      </c>
      <c r="O28" s="38">
        <v>13</v>
      </c>
      <c r="P28" s="38">
        <v>14</v>
      </c>
      <c r="Q28" s="38">
        <v>1</v>
      </c>
      <c r="R28" s="38">
        <v>6</v>
      </c>
      <c r="S28" s="38">
        <v>7</v>
      </c>
      <c r="T28" s="38">
        <v>4</v>
      </c>
      <c r="U28" s="38">
        <v>63</v>
      </c>
      <c r="V28" s="38">
        <v>67</v>
      </c>
      <c r="W28" s="38">
        <v>3</v>
      </c>
      <c r="X28" s="38">
        <v>15</v>
      </c>
      <c r="Y28" s="38">
        <v>18</v>
      </c>
    </row>
    <row r="29" spans="1:25">
      <c r="A29" s="38" t="s">
        <v>1000</v>
      </c>
      <c r="B29" s="38">
        <v>4</v>
      </c>
      <c r="C29" s="38">
        <v>33</v>
      </c>
      <c r="D29" s="38">
        <v>37</v>
      </c>
      <c r="E29" s="38">
        <v>3</v>
      </c>
      <c r="F29" s="38">
        <v>17</v>
      </c>
      <c r="G29" s="38">
        <v>20</v>
      </c>
      <c r="H29" s="38">
        <v>0</v>
      </c>
      <c r="I29" s="38">
        <v>1</v>
      </c>
      <c r="J29" s="38">
        <v>1</v>
      </c>
      <c r="K29" s="38">
        <v>0</v>
      </c>
      <c r="L29" s="38">
        <v>1</v>
      </c>
      <c r="M29" s="38">
        <v>1</v>
      </c>
      <c r="N29" s="38">
        <v>1</v>
      </c>
      <c r="O29" s="38">
        <v>7</v>
      </c>
      <c r="P29" s="38">
        <v>8</v>
      </c>
      <c r="Q29" s="38">
        <v>1</v>
      </c>
      <c r="R29" s="38">
        <v>5</v>
      </c>
      <c r="S29" s="38">
        <v>6</v>
      </c>
      <c r="T29" s="38">
        <v>5</v>
      </c>
      <c r="U29" s="38">
        <v>46</v>
      </c>
      <c r="V29" s="38">
        <v>51</v>
      </c>
      <c r="W29" s="38">
        <v>3</v>
      </c>
      <c r="X29" s="38">
        <v>19</v>
      </c>
      <c r="Y29" s="38">
        <v>22</v>
      </c>
    </row>
    <row r="30" spans="1:25">
      <c r="A30" s="38" t="s">
        <v>1001</v>
      </c>
      <c r="B30" s="38">
        <v>17</v>
      </c>
      <c r="C30" s="38">
        <v>33</v>
      </c>
      <c r="D30" s="38">
        <v>50</v>
      </c>
      <c r="E30" s="38">
        <v>13</v>
      </c>
      <c r="F30" s="38">
        <v>22</v>
      </c>
      <c r="G30" s="38">
        <v>34</v>
      </c>
      <c r="H30" s="38">
        <v>0</v>
      </c>
      <c r="I30" s="38">
        <v>0</v>
      </c>
      <c r="J30" s="38">
        <v>0</v>
      </c>
      <c r="K30" s="38">
        <v>0</v>
      </c>
      <c r="L30" s="38">
        <v>0</v>
      </c>
      <c r="M30" s="38">
        <v>0</v>
      </c>
      <c r="N30" s="38">
        <v>2</v>
      </c>
      <c r="O30" s="38">
        <v>6</v>
      </c>
      <c r="P30" s="38">
        <v>8</v>
      </c>
      <c r="Q30" s="38">
        <v>2</v>
      </c>
      <c r="R30" s="38">
        <v>3</v>
      </c>
      <c r="S30" s="38">
        <v>5</v>
      </c>
      <c r="T30" s="38">
        <v>24</v>
      </c>
      <c r="U30" s="38">
        <v>47</v>
      </c>
      <c r="V30" s="38">
        <v>71</v>
      </c>
      <c r="W30" s="38">
        <v>14</v>
      </c>
      <c r="X30" s="38">
        <v>22</v>
      </c>
      <c r="Y30" s="38">
        <v>35</v>
      </c>
    </row>
    <row r="31" spans="1:25">
      <c r="A31" s="38" t="s">
        <v>1002</v>
      </c>
      <c r="B31" s="38">
        <v>44</v>
      </c>
      <c r="C31" s="38">
        <v>29</v>
      </c>
      <c r="D31" s="38">
        <v>73</v>
      </c>
      <c r="E31" s="38">
        <v>20</v>
      </c>
      <c r="F31" s="38">
        <v>14</v>
      </c>
      <c r="G31" s="38">
        <v>34</v>
      </c>
      <c r="H31" s="38">
        <v>1</v>
      </c>
      <c r="I31" s="38">
        <v>0</v>
      </c>
      <c r="J31" s="38">
        <v>1</v>
      </c>
      <c r="K31" s="38">
        <v>1</v>
      </c>
      <c r="L31" s="38">
        <v>0</v>
      </c>
      <c r="M31" s="38">
        <v>1</v>
      </c>
      <c r="N31" s="38">
        <v>2</v>
      </c>
      <c r="O31" s="38">
        <v>4</v>
      </c>
      <c r="P31" s="38">
        <v>6</v>
      </c>
      <c r="Q31" s="38">
        <v>2</v>
      </c>
      <c r="R31" s="38">
        <v>3</v>
      </c>
      <c r="S31" s="38">
        <v>5</v>
      </c>
      <c r="T31" s="38">
        <v>74</v>
      </c>
      <c r="U31" s="38">
        <v>41</v>
      </c>
      <c r="V31" s="38">
        <v>115</v>
      </c>
      <c r="W31" s="38">
        <v>20</v>
      </c>
      <c r="X31" s="38">
        <v>14</v>
      </c>
      <c r="Y31" s="38">
        <v>34</v>
      </c>
    </row>
    <row r="32" spans="1:25">
      <c r="A32" s="38"/>
      <c r="B32" s="38"/>
      <c r="C32" s="38"/>
      <c r="D32" s="38"/>
      <c r="E32" s="38"/>
      <c r="F32" s="38"/>
      <c r="G32" s="38"/>
      <c r="H32" s="38"/>
      <c r="I32" s="38"/>
      <c r="J32" s="38"/>
      <c r="K32" s="38"/>
      <c r="L32" s="38"/>
      <c r="M32" s="38"/>
      <c r="N32" s="38"/>
      <c r="O32" s="38"/>
      <c r="P32" s="38"/>
      <c r="Q32" s="38"/>
      <c r="R32" s="38"/>
      <c r="S32" s="38"/>
      <c r="T32" s="38"/>
      <c r="U32" s="38"/>
      <c r="V32" s="38"/>
      <c r="W32" s="38"/>
      <c r="X32" s="38"/>
      <c r="Y32" s="38"/>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D51B7-3FFE-4F2A-B7F4-0DB6E56E71F6}">
  <sheetPr>
    <tabColor theme="9" tint="0.79998168889431442"/>
  </sheetPr>
  <dimension ref="A2:F34"/>
  <sheetViews>
    <sheetView topLeftCell="A3" workbookViewId="0">
      <selection activeCell="E33" sqref="E33"/>
    </sheetView>
  </sheetViews>
  <sheetFormatPr defaultRowHeight="16.5"/>
  <cols>
    <col min="1" max="1" width="9.5" bestFit="1" customWidth="1"/>
    <col min="2" max="2" width="14.375" bestFit="1" customWidth="1"/>
    <col min="3" max="3" width="17.875" bestFit="1" customWidth="1"/>
    <col min="21" max="21" width="7.125" bestFit="1" customWidth="1"/>
    <col min="22" max="23" width="10.375" customWidth="1"/>
  </cols>
  <sheetData>
    <row r="2" spans="1:3" ht="17.25" thickBot="1"/>
    <row r="3" spans="1:3">
      <c r="A3" s="39" t="s">
        <v>10</v>
      </c>
      <c r="B3" s="40" t="s">
        <v>41</v>
      </c>
      <c r="C3" s="41" t="s">
        <v>658</v>
      </c>
    </row>
    <row r="4" spans="1:3">
      <c r="A4" s="126">
        <f>IFERROR(DATE(RIGHT(visitors!A2,4),LEFT(visitors!A2,2),MID(visitors!A2,4,2)),"")</f>
        <v>45383</v>
      </c>
      <c r="B4" s="21">
        <f>INDEX(visitors!$A$1:$Y$32,ROW()-2,MATCH('일간 PV'!B$3,visitors!$A$1:$Y$1,0))</f>
        <v>52</v>
      </c>
      <c r="C4" s="42">
        <f>INDEX(visitors!$A$1:$Y$32,ROW()-2,MATCH('일간 PV'!C$3,visitors!$A$1:$Y$1,0))</f>
        <v>60</v>
      </c>
    </row>
    <row r="5" spans="1:3">
      <c r="A5" s="126">
        <f>IFERROR(DATE(RIGHT(visitors!A3,4),LEFT(visitors!A3,2),MID(visitors!A3,4,2)),"")</f>
        <v>45384</v>
      </c>
      <c r="B5" s="21">
        <f>INDEX(visitors!$A$1:$Y$32,ROW()-2,MATCH('일간 PV'!B$3,visitors!$A$1:$Y$1,0))</f>
        <v>85</v>
      </c>
      <c r="C5" s="42">
        <f>INDEX(visitors!$A$1:$Y$32,ROW()-2,MATCH('일간 PV'!C$3,visitors!$A$1:$Y$1,0))</f>
        <v>56</v>
      </c>
    </row>
    <row r="6" spans="1:3">
      <c r="A6" s="126">
        <f>IFERROR(DATE(RIGHT(visitors!A4,4),LEFT(visitors!A4,2),MID(visitors!A4,4,2)),"")</f>
        <v>45385</v>
      </c>
      <c r="B6" s="21">
        <f>INDEX(visitors!$A$1:$Y$32,ROW()-2,MATCH('일간 PV'!B$3,visitors!$A$1:$Y$1,0))</f>
        <v>33</v>
      </c>
      <c r="C6" s="42">
        <f>INDEX(visitors!$A$1:$Y$32,ROW()-2,MATCH('일간 PV'!C$3,visitors!$A$1:$Y$1,0))</f>
        <v>70</v>
      </c>
    </row>
    <row r="7" spans="1:3">
      <c r="A7" s="126">
        <f>IFERROR(DATE(RIGHT(visitors!A5,4),LEFT(visitors!A5,2),MID(visitors!A5,4,2)),"")</f>
        <v>45386</v>
      </c>
      <c r="B7" s="21">
        <f>INDEX(visitors!$A$1:$Y$32,ROW()-2,MATCH('일간 PV'!B$3,visitors!$A$1:$Y$1,0))</f>
        <v>53</v>
      </c>
      <c r="C7" s="42">
        <f>INDEX(visitors!$A$1:$Y$32,ROW()-2,MATCH('일간 PV'!C$3,visitors!$A$1:$Y$1,0))</f>
        <v>57</v>
      </c>
    </row>
    <row r="8" spans="1:3">
      <c r="A8" s="126">
        <f>IFERROR(DATE(RIGHT(visitors!A6,4),LEFT(visitors!A6,2),MID(visitors!A6,4,2)),"")</f>
        <v>45387</v>
      </c>
      <c r="B8" s="21">
        <f>INDEX(visitors!$A$1:$Y$32,ROW()-2,MATCH('일간 PV'!B$3,visitors!$A$1:$Y$1,0))</f>
        <v>56</v>
      </c>
      <c r="C8" s="42">
        <f>INDEX(visitors!$A$1:$Y$32,ROW()-2,MATCH('일간 PV'!C$3,visitors!$A$1:$Y$1,0))</f>
        <v>109</v>
      </c>
    </row>
    <row r="9" spans="1:3">
      <c r="A9" s="126">
        <f>IFERROR(DATE(RIGHT(visitors!A7,4),LEFT(visitors!A7,2),MID(visitors!A7,4,2)),"")</f>
        <v>45388</v>
      </c>
      <c r="B9" s="21">
        <f>INDEX(visitors!$A$1:$Y$32,ROW()-2,MATCH('일간 PV'!B$3,visitors!$A$1:$Y$1,0))</f>
        <v>13</v>
      </c>
      <c r="C9" s="42">
        <f>INDEX(visitors!$A$1:$Y$32,ROW()-2,MATCH('일간 PV'!C$3,visitors!$A$1:$Y$1,0))</f>
        <v>59</v>
      </c>
    </row>
    <row r="10" spans="1:3">
      <c r="A10" s="126">
        <f>IFERROR(DATE(RIGHT(visitors!A8,4),LEFT(visitors!A8,2),MID(visitors!A8,4,2)),"")</f>
        <v>45389</v>
      </c>
      <c r="B10" s="21">
        <f>INDEX(visitors!$A$1:$Y$32,ROW()-2,MATCH('일간 PV'!B$3,visitors!$A$1:$Y$1,0))</f>
        <v>10</v>
      </c>
      <c r="C10" s="42">
        <f>INDEX(visitors!$A$1:$Y$32,ROW()-2,MATCH('일간 PV'!C$3,visitors!$A$1:$Y$1,0))</f>
        <v>54</v>
      </c>
    </row>
    <row r="11" spans="1:3">
      <c r="A11" s="126">
        <f>IFERROR(DATE(RIGHT(visitors!A9,4),LEFT(visitors!A9,2),MID(visitors!A9,4,2)),"")</f>
        <v>45390</v>
      </c>
      <c r="B11" s="21">
        <f>INDEX(visitors!$A$1:$Y$32,ROW()-2,MATCH('일간 PV'!B$3,visitors!$A$1:$Y$1,0))</f>
        <v>69</v>
      </c>
      <c r="C11" s="42">
        <f>INDEX(visitors!$A$1:$Y$32,ROW()-2,MATCH('일간 PV'!C$3,visitors!$A$1:$Y$1,0))</f>
        <v>61</v>
      </c>
    </row>
    <row r="12" spans="1:3">
      <c r="A12" s="126">
        <f>IFERROR(DATE(RIGHT(visitors!A10,4),LEFT(visitors!A10,2),MID(visitors!A10,4,2)),"")</f>
        <v>45391</v>
      </c>
      <c r="B12" s="21">
        <f>INDEX(visitors!$A$1:$Y$32,ROW()-2,MATCH('일간 PV'!B$3,visitors!$A$1:$Y$1,0))</f>
        <v>120</v>
      </c>
      <c r="C12" s="42">
        <f>INDEX(visitors!$A$1:$Y$32,ROW()-2,MATCH('일간 PV'!C$3,visitors!$A$1:$Y$1,0))</f>
        <v>472</v>
      </c>
    </row>
    <row r="13" spans="1:3">
      <c r="A13" s="126">
        <f>IFERROR(DATE(RIGHT(visitors!A11,4),LEFT(visitors!A11,2),MID(visitors!A11,4,2)),"")</f>
        <v>45392</v>
      </c>
      <c r="B13" s="21">
        <f>INDEX(visitors!$A$1:$Y$32,ROW()-2,MATCH('일간 PV'!B$3,visitors!$A$1:$Y$1,0))</f>
        <v>64</v>
      </c>
      <c r="C13" s="42">
        <f>INDEX(visitors!$A$1:$Y$32,ROW()-2,MATCH('일간 PV'!C$3,visitors!$A$1:$Y$1,0))</f>
        <v>43</v>
      </c>
    </row>
    <row r="14" spans="1:3">
      <c r="A14" s="126">
        <f>IFERROR(DATE(RIGHT(visitors!A12,4),LEFT(visitors!A12,2),MID(visitors!A12,4,2)),"")</f>
        <v>45393</v>
      </c>
      <c r="B14" s="21">
        <f>INDEX(visitors!$A$1:$Y$32,ROW()-2,MATCH('일간 PV'!B$3,visitors!$A$1:$Y$1,0))</f>
        <v>51</v>
      </c>
      <c r="C14" s="42">
        <f>INDEX(visitors!$A$1:$Y$32,ROW()-2,MATCH('일간 PV'!C$3,visitors!$A$1:$Y$1,0))</f>
        <v>54</v>
      </c>
    </row>
    <row r="15" spans="1:3">
      <c r="A15" s="126">
        <f>IFERROR(DATE(RIGHT(visitors!A13,4),LEFT(visitors!A13,2),MID(visitors!A13,4,2)),"")</f>
        <v>45394</v>
      </c>
      <c r="B15" s="21">
        <f>INDEX(visitors!$A$1:$Y$32,ROW()-2,MATCH('일간 PV'!B$3,visitors!$A$1:$Y$1,0))</f>
        <v>63</v>
      </c>
      <c r="C15" s="42">
        <f>INDEX(visitors!$A$1:$Y$32,ROW()-2,MATCH('일간 PV'!C$3,visitors!$A$1:$Y$1,0))</f>
        <v>164</v>
      </c>
    </row>
    <row r="16" spans="1:3">
      <c r="A16" s="126">
        <f>IFERROR(DATE(RIGHT(visitors!A14,4),LEFT(visitors!A14,2),MID(visitors!A14,4,2)),"")</f>
        <v>45395</v>
      </c>
      <c r="B16" s="21">
        <f>INDEX(visitors!$A$1:$Y$32,ROW()-2,MATCH('일간 PV'!B$3,visitors!$A$1:$Y$1,0))</f>
        <v>7</v>
      </c>
      <c r="C16" s="42">
        <f>INDEX(visitors!$A$1:$Y$32,ROW()-2,MATCH('일간 PV'!C$3,visitors!$A$1:$Y$1,0))</f>
        <v>40</v>
      </c>
    </row>
    <row r="17" spans="1:6">
      <c r="A17" s="126">
        <f>IFERROR(DATE(RIGHT(visitors!A15,4),LEFT(visitors!A15,2),MID(visitors!A15,4,2)),"")</f>
        <v>45396</v>
      </c>
      <c r="B17" s="21">
        <f>INDEX(visitors!$A$1:$Y$32,ROW()-2,MATCH('일간 PV'!B$3,visitors!$A$1:$Y$1,0))</f>
        <v>25</v>
      </c>
      <c r="C17" s="42">
        <f>INDEX(visitors!$A$1:$Y$32,ROW()-2,MATCH('일간 PV'!C$3,visitors!$A$1:$Y$1,0))</f>
        <v>47</v>
      </c>
    </row>
    <row r="18" spans="1:6">
      <c r="A18" s="126">
        <f>IFERROR(DATE(RIGHT(visitors!A16,4),LEFT(visitors!A16,2),MID(visitors!A16,4,2)),"")</f>
        <v>45397</v>
      </c>
      <c r="B18" s="21">
        <f>INDEX(visitors!$A$1:$Y$32,ROW()-2,MATCH('일간 PV'!B$3,visitors!$A$1:$Y$1,0))</f>
        <v>33</v>
      </c>
      <c r="C18" s="42">
        <f>INDEX(visitors!$A$1:$Y$32,ROW()-2,MATCH('일간 PV'!C$3,visitors!$A$1:$Y$1,0))</f>
        <v>31</v>
      </c>
    </row>
    <row r="19" spans="1:6">
      <c r="A19" s="126">
        <f>IFERROR(DATE(RIGHT(visitors!A17,4),LEFT(visitors!A17,2),MID(visitors!A17,4,2)),"")</f>
        <v>45398</v>
      </c>
      <c r="B19" s="21">
        <f>INDEX(visitors!$A$1:$Y$32,ROW()-2,MATCH('일간 PV'!B$3,visitors!$A$1:$Y$1,0))</f>
        <v>49</v>
      </c>
      <c r="C19" s="42">
        <f>INDEX(visitors!$A$1:$Y$32,ROW()-2,MATCH('일간 PV'!C$3,visitors!$A$1:$Y$1,0))</f>
        <v>109</v>
      </c>
    </row>
    <row r="20" spans="1:6">
      <c r="A20" s="126">
        <f>IFERROR(DATE(RIGHT(visitors!A18,4),LEFT(visitors!A18,2),MID(visitors!A18,4,2)),"")</f>
        <v>45399</v>
      </c>
      <c r="B20" s="21">
        <f>INDEX(visitors!$A$1:$Y$32,ROW()-2,MATCH('일간 PV'!B$3,visitors!$A$1:$Y$1,0))</f>
        <v>98</v>
      </c>
      <c r="C20" s="42">
        <f>INDEX(visitors!$A$1:$Y$32,ROW()-2,MATCH('일간 PV'!C$3,visitors!$A$1:$Y$1,0))</f>
        <v>71</v>
      </c>
    </row>
    <row r="21" spans="1:6">
      <c r="A21" s="126">
        <f>IFERROR(DATE(RIGHT(visitors!A19,4),LEFT(visitors!A19,2),MID(visitors!A19,4,2)),"")</f>
        <v>45400</v>
      </c>
      <c r="B21" s="21">
        <f>INDEX(visitors!$A$1:$Y$32,ROW()-2,MATCH('일간 PV'!B$3,visitors!$A$1:$Y$1,0))</f>
        <v>47</v>
      </c>
      <c r="C21" s="42">
        <f>INDEX(visitors!$A$1:$Y$32,ROW()-2,MATCH('일간 PV'!C$3,visitors!$A$1:$Y$1,0))</f>
        <v>135</v>
      </c>
    </row>
    <row r="22" spans="1:6">
      <c r="A22" s="126">
        <f>IFERROR(DATE(RIGHT(visitors!A20,4),LEFT(visitors!A20,2),MID(visitors!A20,4,2)),"")</f>
        <v>45401</v>
      </c>
      <c r="B22" s="21">
        <f>INDEX(visitors!$A$1:$Y$32,ROW()-2,MATCH('일간 PV'!B$3,visitors!$A$1:$Y$1,0))</f>
        <v>30</v>
      </c>
      <c r="C22" s="42">
        <f>INDEX(visitors!$A$1:$Y$32,ROW()-2,MATCH('일간 PV'!C$3,visitors!$A$1:$Y$1,0))</f>
        <v>73</v>
      </c>
    </row>
    <row r="23" spans="1:6">
      <c r="A23" s="126">
        <f>IFERROR(DATE(RIGHT(visitors!A21,4),LEFT(visitors!A21,2),MID(visitors!A21,4,2)),"")</f>
        <v>45402</v>
      </c>
      <c r="B23" s="21">
        <f>INDEX(visitors!$A$1:$Y$32,ROW()-2,MATCH('일간 PV'!B$3,visitors!$A$1:$Y$1,0))</f>
        <v>7</v>
      </c>
      <c r="C23" s="42">
        <f>INDEX(visitors!$A$1:$Y$32,ROW()-2,MATCH('일간 PV'!C$3,visitors!$A$1:$Y$1,0))</f>
        <v>57</v>
      </c>
    </row>
    <row r="24" spans="1:6">
      <c r="A24" s="126">
        <f>IFERROR(DATE(RIGHT(visitors!A22,4),LEFT(visitors!A22,2),MID(visitors!A22,4,2)),"")</f>
        <v>45403</v>
      </c>
      <c r="B24" s="21">
        <f>INDEX(visitors!$A$1:$Y$32,ROW()-2,MATCH('일간 PV'!B$3,visitors!$A$1:$Y$1,0))</f>
        <v>7</v>
      </c>
      <c r="C24" s="42">
        <f>INDEX(visitors!$A$1:$Y$32,ROW()-2,MATCH('일간 PV'!C$3,visitors!$A$1:$Y$1,0))</f>
        <v>43</v>
      </c>
    </row>
    <row r="25" spans="1:6">
      <c r="A25" s="126">
        <f>IFERROR(DATE(RIGHT(visitors!A23,4),LEFT(visitors!A23,2),MID(visitors!A23,4,2)),"")</f>
        <v>45404</v>
      </c>
      <c r="B25" s="21">
        <f>INDEX(visitors!$A$1:$Y$32,ROW()-2,MATCH('일간 PV'!B$3,visitors!$A$1:$Y$1,0))</f>
        <v>59</v>
      </c>
      <c r="C25" s="42">
        <f>INDEX(visitors!$A$1:$Y$32,ROW()-2,MATCH('일간 PV'!C$3,visitors!$A$1:$Y$1,0))</f>
        <v>63</v>
      </c>
      <c r="F25" s="108" t="str">
        <f>"총 "&amp;(COUNTA('contents 장표'!C5:C37)-COUNTIF('contents 장표'!C5:C37,""))&amp;"건의 콘텐츠 발행, 총 페이지 View "&amp;TEXT('월간 지표비교'!L33,"#,###")&amp;"회 기록 (전월 대비 "&amp;TEXT(ABS(('월간 지표비교'!L33-'월간 지표비교'!L32)/'월간 지표비교'!L32),"0.0%")&amp;IF('월간 지표비교'!L33&gt;'월간 지표비교'!L32," 증가)"," 감소)")</f>
        <v>총 12건의 콘텐츠 발행, 총 페이지 View 3,298회 기록 (전월 대비 9.5% 감소)</v>
      </c>
    </row>
    <row r="26" spans="1:6">
      <c r="A26" s="126">
        <f>IFERROR(DATE(RIGHT(visitors!A24,4),LEFT(visitors!A24,2),MID(visitors!A24,4,2)),"")</f>
        <v>45405</v>
      </c>
      <c r="B26" s="21">
        <f>INDEX(visitors!$A$1:$Y$32,ROW()-2,MATCH('일간 PV'!B$3,visitors!$A$1:$Y$1,0))</f>
        <v>76</v>
      </c>
      <c r="C26" s="42">
        <f>INDEX(visitors!$A$1:$Y$32,ROW()-2,MATCH('일간 PV'!C$3,visitors!$A$1:$Y$1,0))</f>
        <v>395</v>
      </c>
      <c r="F26" s="239" t="str">
        <f>"PC "&amp;TEXT('월간 지표비교'!J33,"#,###")&amp;"회 (전월 대비 "&amp;TEXT(ABS(('월간 지표비교'!J32-'월간 지표비교'!J33)/'월간 지표비교'!J32),"0.0%")&amp;IF('월간 지표비교'!J33&lt;'월간 지표비교'!J32," 감소)"," 증가)")&amp;" / Mobile "&amp;TEXT('월간 지표비교'!K33,"#,###")&amp;"회 기록 (전월대비 "&amp;TEXT(ABS(('월간 지표비교'!K33-'월간 지표비교'!K32)/'월간 지표비교'!K32),"0.0%")&amp;IF('월간 지표비교'!K33&lt;'월간 지표비교'!K32," 감소)"," 증가)")</f>
        <v>PC 1,558회 (전월 대비 22.5% 증가) / Mobile 1,740회 기록 (전월대비 26.6% 감소)</v>
      </c>
    </row>
    <row r="27" spans="1:6">
      <c r="A27" s="126">
        <f>IFERROR(DATE(RIGHT(visitors!A25,4),LEFT(visitors!A25,2),MID(visitors!A25,4,2)),"")</f>
        <v>45406</v>
      </c>
      <c r="B27" s="21">
        <f>INDEX(visitors!$A$1:$Y$32,ROW()-2,MATCH('일간 PV'!B$3,visitors!$A$1:$Y$1,0))</f>
        <v>123</v>
      </c>
      <c r="C27" s="42">
        <f>INDEX(visitors!$A$1:$Y$32,ROW()-2,MATCH('일간 PV'!C$3,visitors!$A$1:$Y$1,0))</f>
        <v>467</v>
      </c>
      <c r="F27" s="238"/>
    </row>
    <row r="28" spans="1:6">
      <c r="A28" s="126">
        <f>IFERROR(DATE(RIGHT(visitors!A26,4),LEFT(visitors!A26,2),MID(visitors!A26,4,2)),"")</f>
        <v>45407</v>
      </c>
      <c r="B28" s="21">
        <f>INDEX(visitors!$A$1:$Y$32,ROW()-2,MATCH('일간 PV'!B$3,visitors!$A$1:$Y$1,0))</f>
        <v>75</v>
      </c>
      <c r="C28" s="42">
        <f>INDEX(visitors!$A$1:$Y$32,ROW()-2,MATCH('일간 PV'!C$3,visitors!$A$1:$Y$1,0))</f>
        <v>152</v>
      </c>
      <c r="F28" s="45"/>
    </row>
    <row r="29" spans="1:6">
      <c r="A29" s="126">
        <f>IFERROR(DATE(RIGHT(visitors!A27,4),LEFT(visitors!A27,2),MID(visitors!A27,4,2)),"")</f>
        <v>45408</v>
      </c>
      <c r="B29" s="21">
        <f>INDEX(visitors!$A$1:$Y$32,ROW()-2,MATCH('일간 PV'!B$3,visitors!$A$1:$Y$1,0))</f>
        <v>33</v>
      </c>
      <c r="C29" s="42">
        <f>INDEX(visitors!$A$1:$Y$32,ROW()-2,MATCH('일간 PV'!C$3,visitors!$A$1:$Y$1,0))</f>
        <v>72</v>
      </c>
    </row>
    <row r="30" spans="1:6">
      <c r="A30" s="126">
        <f>IFERROR(DATE(RIGHT(visitors!A28,4),LEFT(visitors!A28,2),MID(visitors!A28,4,2)),"")</f>
        <v>45409</v>
      </c>
      <c r="B30" s="21">
        <f>INDEX(visitors!$A$1:$Y$32,ROW()-2,MATCH('일간 PV'!B$3,visitors!$A$1:$Y$1,0))</f>
        <v>4</v>
      </c>
      <c r="C30" s="42">
        <f>INDEX(visitors!$A$1:$Y$32,ROW()-2,MATCH('일간 PV'!C$3,visitors!$A$1:$Y$1,0))</f>
        <v>63</v>
      </c>
    </row>
    <row r="31" spans="1:6">
      <c r="A31" s="126">
        <f>IFERROR(DATE(RIGHT(visitors!A29,4),LEFT(visitors!A29,2),MID(visitors!A29,4,2)),"")</f>
        <v>45410</v>
      </c>
      <c r="B31" s="21">
        <f>INDEX(visitors!$A$1:$Y$32,ROW()-2,MATCH('일간 PV'!B$3,visitors!$A$1:$Y$1,0))</f>
        <v>5</v>
      </c>
      <c r="C31" s="42">
        <f>INDEX(visitors!$A$1:$Y$32,ROW()-2,MATCH('일간 PV'!C$3,visitors!$A$1:$Y$1,0))</f>
        <v>46</v>
      </c>
    </row>
    <row r="32" spans="1:6">
      <c r="A32" s="126">
        <f>IFERROR(DATE(RIGHT(visitors!A30,4),LEFT(visitors!A30,2),MID(visitors!A30,4,2)),"")</f>
        <v>45411</v>
      </c>
      <c r="B32" s="21">
        <f>INDEX(visitors!$A$1:$Y$32,ROW()-2,MATCH('일간 PV'!B$3,visitors!$A$1:$Y$1,0))</f>
        <v>24</v>
      </c>
      <c r="C32" s="42">
        <f>INDEX(visitors!$A$1:$Y$32,ROW()-2,MATCH('일간 PV'!C$3,visitors!$A$1:$Y$1,0))</f>
        <v>47</v>
      </c>
    </row>
    <row r="33" spans="1:3">
      <c r="A33" s="126">
        <f>IFERROR(DATE(RIGHT(visitors!A31,4),LEFT(visitors!A31,2),MID(visitors!A31,4,2)),"")</f>
        <v>45412</v>
      </c>
      <c r="B33" s="21">
        <f>INDEX(visitors!$A$1:$Y$32,ROW()-2,MATCH('일간 PV'!B$3,visitors!$A$1:$Y$1,0))</f>
        <v>74</v>
      </c>
      <c r="C33" s="42">
        <f>INDEX(visitors!$A$1:$Y$32,ROW()-2,MATCH('일간 PV'!C$3,visitors!$A$1:$Y$1,0))</f>
        <v>41</v>
      </c>
    </row>
    <row r="34" spans="1:3" ht="17.25" thickBot="1">
      <c r="A34" s="126" t="str">
        <f>IFERROR(DATE(RIGHT(visitors!A32,4),LEFT(visitors!A32,2),MID(visitors!A32,4,2)),"")</f>
        <v/>
      </c>
      <c r="B34" s="43">
        <f>INDEX(visitors!$A$1:$Y$32,ROW()-2,MATCH('일간 PV'!B$3,visitors!$A$1:$Y$1,0))</f>
        <v>0</v>
      </c>
      <c r="C34" s="44">
        <f>INDEX(visitors!$A$1:$Y$32,ROW()-2,MATCH('일간 PV'!C$3,visitors!$A$1:$Y$1,0))</f>
        <v>0</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27A54-35DD-44DF-BC4A-071EEDBF61AC}">
  <sheetPr>
    <tabColor theme="9" tint="0.79998168889431442"/>
  </sheetPr>
  <dimension ref="A1:N99"/>
  <sheetViews>
    <sheetView workbookViewId="0">
      <selection activeCell="G18" sqref="G18"/>
    </sheetView>
  </sheetViews>
  <sheetFormatPr defaultRowHeight="16.5"/>
  <cols>
    <col min="1" max="1" width="18.75" bestFit="1" customWidth="1"/>
    <col min="2" max="4" width="9.875" bestFit="1" customWidth="1"/>
    <col min="10" max="10" width="14.75" bestFit="1" customWidth="1"/>
    <col min="11" max="11" width="18.75" bestFit="1" customWidth="1"/>
    <col min="12" max="12" width="16.75" bestFit="1" customWidth="1"/>
    <col min="13" max="13" width="18.125" bestFit="1" customWidth="1"/>
    <col min="14" max="14" width="17.25" bestFit="1" customWidth="1"/>
  </cols>
  <sheetData>
    <row r="1" spans="1:14">
      <c r="G1" t="str">
        <f>MONTH(I31)&amp;"〮"&amp;MONTH(I32)&amp;"〮"&amp;MONTH(I33)&amp;" 월 페이지 지표 비교"</f>
        <v>4〮5〮6 월 페이지 지표 비교</v>
      </c>
    </row>
    <row r="2" spans="1:14" ht="17.25" thickBot="1"/>
    <row r="3" spans="1:14" ht="17.25" thickBot="1">
      <c r="A3" s="72" t="s">
        <v>7</v>
      </c>
      <c r="B3" s="73" t="s">
        <v>11</v>
      </c>
      <c r="C3" s="73" t="s">
        <v>12</v>
      </c>
      <c r="D3" s="73" t="s">
        <v>13</v>
      </c>
      <c r="E3" s="73" t="s">
        <v>14</v>
      </c>
      <c r="F3" s="74" t="s">
        <v>15</v>
      </c>
      <c r="G3" s="48"/>
      <c r="I3" s="49"/>
      <c r="J3" s="50" t="s">
        <v>11</v>
      </c>
      <c r="K3" s="50" t="s">
        <v>12</v>
      </c>
      <c r="L3" s="50" t="s">
        <v>13</v>
      </c>
      <c r="M3" s="50" t="s">
        <v>14</v>
      </c>
      <c r="N3" s="51" t="s">
        <v>15</v>
      </c>
    </row>
    <row r="4" spans="1:14" ht="17.25" thickBot="1">
      <c r="A4" s="67">
        <v>45352</v>
      </c>
      <c r="B4" s="68">
        <v>1260</v>
      </c>
      <c r="C4" s="69">
        <v>2232</v>
      </c>
      <c r="D4" s="69">
        <v>3492</v>
      </c>
      <c r="E4" s="70">
        <v>1550</v>
      </c>
      <c r="F4" s="71">
        <v>14</v>
      </c>
      <c r="G4" s="60"/>
      <c r="I4" s="242">
        <f>'일간 팔로워'!J1</f>
        <v>45444</v>
      </c>
      <c r="J4" s="243">
        <f>SUM('일간 PV'!B4:B34)</f>
        <v>1445</v>
      </c>
      <c r="K4" s="243">
        <f>SUM('일간 PV'!C4:C34)</f>
        <v>3211</v>
      </c>
      <c r="L4" s="244">
        <f>SUM(J4:K4)</f>
        <v>4656</v>
      </c>
      <c r="M4" s="245">
        <f>SUM(visitors!Y2:Y32)</f>
        <v>1760</v>
      </c>
      <c r="N4" s="246">
        <f>COUNTA('contents 장표'!F5:F37)-COUNTIF('contents 장표'!F5:F37,"")</f>
        <v>12</v>
      </c>
    </row>
    <row r="5" spans="1:14">
      <c r="A5" s="55">
        <v>45383</v>
      </c>
      <c r="B5" s="56">
        <v>1445</v>
      </c>
      <c r="C5" s="57">
        <v>3211</v>
      </c>
      <c r="D5" s="57">
        <v>4656</v>
      </c>
      <c r="E5" s="58">
        <v>1760</v>
      </c>
      <c r="F5" s="59">
        <v>11</v>
      </c>
      <c r="G5" s="60"/>
    </row>
    <row r="6" spans="1:14">
      <c r="A6" s="55">
        <v>45413</v>
      </c>
      <c r="B6" s="56">
        <v>1272</v>
      </c>
      <c r="C6" s="57">
        <v>2371</v>
      </c>
      <c r="D6" s="57">
        <v>3643</v>
      </c>
      <c r="E6" s="58">
        <v>1367</v>
      </c>
      <c r="F6" s="59">
        <v>13</v>
      </c>
      <c r="G6" s="60"/>
    </row>
    <row r="7" spans="1:14">
      <c r="A7" s="55">
        <v>45444</v>
      </c>
      <c r="B7" s="56">
        <v>1558</v>
      </c>
      <c r="C7" s="56">
        <v>1740</v>
      </c>
      <c r="D7" s="57">
        <v>3298</v>
      </c>
      <c r="E7" s="58">
        <v>1353</v>
      </c>
      <c r="F7" s="59">
        <v>12</v>
      </c>
      <c r="G7" s="60"/>
    </row>
    <row r="8" spans="1:14">
      <c r="A8" s="55"/>
      <c r="B8" s="56"/>
      <c r="C8" s="56"/>
      <c r="D8" s="57"/>
      <c r="E8" s="58"/>
      <c r="F8" s="59"/>
      <c r="G8" s="60"/>
    </row>
    <row r="9" spans="1:14">
      <c r="A9" s="55"/>
      <c r="B9" s="56"/>
      <c r="C9" s="56"/>
      <c r="D9" s="57"/>
      <c r="E9" s="58"/>
      <c r="F9" s="59"/>
      <c r="G9" s="60"/>
    </row>
    <row r="10" spans="1:14">
      <c r="A10" s="55"/>
      <c r="B10" s="56"/>
      <c r="C10" s="56"/>
      <c r="D10" s="57"/>
      <c r="E10" s="58"/>
      <c r="F10" s="59"/>
      <c r="G10" s="60"/>
    </row>
    <row r="11" spans="1:14">
      <c r="A11" s="55"/>
      <c r="B11" s="56"/>
      <c r="C11" s="56"/>
      <c r="D11" s="57"/>
      <c r="E11" s="58"/>
      <c r="F11" s="59"/>
      <c r="G11" s="60"/>
    </row>
    <row r="12" spans="1:14">
      <c r="A12" s="55"/>
      <c r="B12" s="56"/>
      <c r="C12" s="56"/>
      <c r="D12" s="57"/>
      <c r="E12" s="58"/>
      <c r="F12" s="59"/>
      <c r="G12" s="60"/>
    </row>
    <row r="13" spans="1:14">
      <c r="A13" s="55"/>
      <c r="B13" s="56"/>
      <c r="C13" s="56"/>
      <c r="D13" s="57"/>
      <c r="E13" s="58"/>
      <c r="F13" s="59"/>
      <c r="G13" s="60"/>
    </row>
    <row r="14" spans="1:14">
      <c r="A14" s="55"/>
      <c r="B14" s="56"/>
      <c r="C14" s="56"/>
      <c r="D14" s="57"/>
      <c r="E14" s="58"/>
      <c r="F14" s="59"/>
      <c r="G14" s="60"/>
    </row>
    <row r="15" spans="1:14">
      <c r="A15" s="55"/>
      <c r="B15" s="56"/>
      <c r="C15" s="56"/>
      <c r="D15" s="57"/>
      <c r="E15" s="58"/>
      <c r="F15" s="59"/>
      <c r="G15" s="60"/>
    </row>
    <row r="16" spans="1:14">
      <c r="A16" s="55"/>
      <c r="B16" s="56"/>
      <c r="C16" s="56"/>
      <c r="D16" s="57"/>
      <c r="E16" s="58"/>
      <c r="F16" s="59"/>
      <c r="G16" s="60"/>
    </row>
    <row r="17" spans="1:14">
      <c r="A17" s="55"/>
      <c r="B17" s="56"/>
      <c r="C17" s="56"/>
      <c r="D17" s="57"/>
      <c r="E17" s="58"/>
      <c r="F17" s="59"/>
      <c r="G17" s="60"/>
    </row>
    <row r="18" spans="1:14">
      <c r="A18" s="55"/>
      <c r="B18" s="56"/>
      <c r="C18" s="56"/>
      <c r="D18" s="57"/>
      <c r="E18" s="58"/>
      <c r="F18" s="59"/>
      <c r="G18" s="60"/>
    </row>
    <row r="19" spans="1:14">
      <c r="A19" s="55"/>
      <c r="B19" s="56"/>
      <c r="C19" s="56"/>
      <c r="D19" s="57"/>
      <c r="E19" s="58"/>
      <c r="F19" s="59"/>
      <c r="G19" s="60"/>
    </row>
    <row r="20" spans="1:14">
      <c r="A20" s="55"/>
      <c r="B20" s="56"/>
      <c r="C20" s="56"/>
      <c r="D20" s="57"/>
      <c r="E20" s="58"/>
      <c r="F20" s="59"/>
      <c r="G20" s="60"/>
    </row>
    <row r="21" spans="1:14">
      <c r="A21" s="55"/>
      <c r="B21" s="56"/>
      <c r="C21" s="56"/>
      <c r="D21" s="57"/>
      <c r="E21" s="58"/>
      <c r="F21" s="59"/>
      <c r="G21" s="60"/>
    </row>
    <row r="22" spans="1:14">
      <c r="A22" s="55"/>
      <c r="B22" s="56"/>
      <c r="C22" s="56"/>
      <c r="D22" s="57"/>
      <c r="E22" s="58"/>
      <c r="F22" s="59"/>
      <c r="G22" s="60"/>
    </row>
    <row r="23" spans="1:14">
      <c r="A23" s="55"/>
      <c r="B23" s="56"/>
      <c r="C23" s="56"/>
      <c r="D23" s="57"/>
      <c r="E23" s="58"/>
      <c r="F23" s="59"/>
      <c r="G23" s="60"/>
    </row>
    <row r="24" spans="1:14">
      <c r="A24" s="55"/>
      <c r="B24" s="56"/>
      <c r="C24" s="56"/>
      <c r="D24" s="57"/>
      <c r="E24" s="58"/>
      <c r="F24" s="59"/>
      <c r="G24" s="60"/>
    </row>
    <row r="25" spans="1:14">
      <c r="A25" s="55"/>
      <c r="B25" s="56"/>
      <c r="C25" s="56"/>
      <c r="D25" s="57"/>
      <c r="E25" s="58"/>
      <c r="F25" s="59"/>
      <c r="G25" s="60"/>
    </row>
    <row r="26" spans="1:14">
      <c r="A26" s="55"/>
      <c r="B26" s="56"/>
      <c r="C26" s="56"/>
      <c r="D26" s="57"/>
      <c r="E26" s="58"/>
      <c r="F26" s="59"/>
      <c r="G26" s="60"/>
    </row>
    <row r="27" spans="1:14">
      <c r="A27" s="5"/>
      <c r="B27" s="2"/>
      <c r="C27" s="2"/>
      <c r="D27" s="2"/>
      <c r="E27" s="2"/>
      <c r="F27" s="4"/>
    </row>
    <row r="28" spans="1:14">
      <c r="A28" s="5"/>
      <c r="B28" s="2"/>
      <c r="C28" s="2"/>
      <c r="D28" s="2"/>
      <c r="E28" s="2"/>
      <c r="F28" s="4"/>
    </row>
    <row r="29" spans="1:14" ht="17.25" thickBot="1">
      <c r="A29" s="5"/>
      <c r="B29" s="2"/>
      <c r="C29" s="2"/>
      <c r="D29" s="2"/>
      <c r="E29" s="2"/>
      <c r="F29" s="4"/>
    </row>
    <row r="30" spans="1:14" ht="17.25" thickBot="1">
      <c r="A30" s="5"/>
      <c r="B30" s="2"/>
      <c r="C30" s="2"/>
      <c r="D30" s="2"/>
      <c r="E30" s="2"/>
      <c r="F30" s="4"/>
      <c r="I30" s="49"/>
      <c r="J30" s="50" t="s">
        <v>11</v>
      </c>
      <c r="K30" s="50" t="s">
        <v>12</v>
      </c>
      <c r="L30" s="50" t="s">
        <v>13</v>
      </c>
      <c r="M30" s="50" t="s">
        <v>14</v>
      </c>
      <c r="N30" s="51" t="s">
        <v>15</v>
      </c>
    </row>
    <row r="31" spans="1:14">
      <c r="A31" s="5"/>
      <c r="B31" s="2"/>
      <c r="C31" s="2"/>
      <c r="D31" s="2"/>
      <c r="E31" s="2"/>
      <c r="F31" s="4"/>
      <c r="H31">
        <v>2</v>
      </c>
      <c r="I31" s="52">
        <f t="shared" ref="I31:J33" si="0">INDEX(A:A,COUNTA(A:A)+2-$H31)</f>
        <v>45383</v>
      </c>
      <c r="J31" s="65">
        <f t="shared" si="0"/>
        <v>1445</v>
      </c>
      <c r="K31" s="65">
        <f t="shared" ref="K31:N33" si="1">INDEX(C:C,COUNTA(C:C)+2-$H31)</f>
        <v>3211</v>
      </c>
      <c r="L31" s="65">
        <f t="shared" si="1"/>
        <v>4656</v>
      </c>
      <c r="M31" s="65">
        <f t="shared" si="1"/>
        <v>1760</v>
      </c>
      <c r="N31" s="66">
        <f t="shared" si="1"/>
        <v>11</v>
      </c>
    </row>
    <row r="32" spans="1:14">
      <c r="A32" s="5"/>
      <c r="B32" s="2"/>
      <c r="C32" s="2"/>
      <c r="D32" s="2"/>
      <c r="E32" s="2"/>
      <c r="F32" s="4"/>
      <c r="H32">
        <v>1</v>
      </c>
      <c r="I32" s="53">
        <f t="shared" si="0"/>
        <v>45413</v>
      </c>
      <c r="J32" s="61">
        <f t="shared" si="0"/>
        <v>1272</v>
      </c>
      <c r="K32" s="61">
        <f t="shared" si="1"/>
        <v>2371</v>
      </c>
      <c r="L32" s="61">
        <f t="shared" si="1"/>
        <v>3643</v>
      </c>
      <c r="M32" s="61">
        <f t="shared" si="1"/>
        <v>1367</v>
      </c>
      <c r="N32" s="62">
        <f t="shared" si="1"/>
        <v>13</v>
      </c>
    </row>
    <row r="33" spans="1:14" ht="17.25" thickBot="1">
      <c r="A33" s="5"/>
      <c r="B33" s="2"/>
      <c r="C33" s="2"/>
      <c r="D33" s="2"/>
      <c r="E33" s="2"/>
      <c r="F33" s="4"/>
      <c r="H33">
        <v>0</v>
      </c>
      <c r="I33" s="54">
        <f t="shared" si="0"/>
        <v>45444</v>
      </c>
      <c r="J33" s="63">
        <f t="shared" si="0"/>
        <v>1558</v>
      </c>
      <c r="K33" s="63">
        <f t="shared" si="1"/>
        <v>1740</v>
      </c>
      <c r="L33" s="63">
        <f t="shared" si="1"/>
        <v>3298</v>
      </c>
      <c r="M33" s="63">
        <f t="shared" si="1"/>
        <v>1353</v>
      </c>
      <c r="N33" s="64">
        <f t="shared" si="1"/>
        <v>12</v>
      </c>
    </row>
    <row r="34" spans="1:14">
      <c r="A34" s="5"/>
      <c r="B34" s="2"/>
      <c r="C34" s="2"/>
      <c r="D34" s="2"/>
      <c r="E34" s="2"/>
      <c r="F34" s="4"/>
      <c r="I34" s="48"/>
      <c r="J34" s="48"/>
      <c r="K34" s="48"/>
      <c r="L34" s="48"/>
      <c r="M34" s="48"/>
    </row>
    <row r="35" spans="1:14">
      <c r="A35" s="5"/>
      <c r="B35" s="2"/>
      <c r="C35" s="2"/>
      <c r="D35" s="2"/>
      <c r="E35" s="2"/>
      <c r="F35" s="4"/>
    </row>
    <row r="36" spans="1:14">
      <c r="A36" s="5"/>
      <c r="B36" s="2"/>
      <c r="C36" s="2"/>
      <c r="D36" s="2"/>
      <c r="E36" s="2"/>
      <c r="F36" s="4"/>
    </row>
    <row r="37" spans="1:14">
      <c r="A37" s="5"/>
      <c r="B37" s="2"/>
      <c r="C37" s="2"/>
      <c r="D37" s="2"/>
      <c r="E37" s="2"/>
      <c r="F37" s="4"/>
    </row>
    <row r="38" spans="1:14">
      <c r="A38" s="5"/>
      <c r="B38" s="2"/>
      <c r="C38" s="2"/>
      <c r="D38" s="2"/>
      <c r="E38" s="2"/>
      <c r="F38" s="4"/>
    </row>
    <row r="39" spans="1:14">
      <c r="A39" s="5"/>
      <c r="B39" s="2"/>
      <c r="C39" s="2"/>
      <c r="D39" s="2"/>
      <c r="E39" s="2"/>
      <c r="F39" s="4"/>
    </row>
    <row r="40" spans="1:14">
      <c r="A40" s="5"/>
      <c r="B40" s="2"/>
      <c r="C40" s="2"/>
      <c r="D40" s="2"/>
      <c r="E40" s="2"/>
      <c r="F40" s="4"/>
    </row>
    <row r="41" spans="1:14">
      <c r="A41" s="5"/>
      <c r="B41" s="2"/>
      <c r="C41" s="2"/>
      <c r="D41" s="2"/>
      <c r="E41" s="2"/>
      <c r="F41" s="4"/>
    </row>
    <row r="42" spans="1:14">
      <c r="A42" s="5"/>
      <c r="B42" s="2"/>
      <c r="C42" s="2"/>
      <c r="D42" s="2"/>
      <c r="E42" s="2"/>
      <c r="F42" s="4"/>
    </row>
    <row r="43" spans="1:14">
      <c r="A43" s="5"/>
      <c r="B43" s="2"/>
      <c r="C43" s="2"/>
      <c r="D43" s="2"/>
      <c r="E43" s="2"/>
      <c r="F43" s="4"/>
    </row>
    <row r="44" spans="1:14">
      <c r="A44" s="5"/>
      <c r="B44" s="2"/>
      <c r="C44" s="2"/>
      <c r="D44" s="2"/>
      <c r="E44" s="2"/>
      <c r="F44" s="4"/>
    </row>
    <row r="45" spans="1:14">
      <c r="A45" s="5"/>
      <c r="B45" s="2"/>
      <c r="C45" s="2"/>
      <c r="D45" s="2"/>
      <c r="E45" s="2"/>
      <c r="F45" s="4"/>
    </row>
    <row r="46" spans="1:14">
      <c r="A46" s="5"/>
      <c r="B46" s="2"/>
      <c r="C46" s="2"/>
      <c r="D46" s="2"/>
      <c r="E46" s="2"/>
      <c r="F46" s="4"/>
    </row>
    <row r="47" spans="1:14">
      <c r="A47" s="5"/>
      <c r="B47" s="2"/>
      <c r="C47" s="2"/>
      <c r="D47" s="2"/>
      <c r="E47" s="2"/>
      <c r="F47" s="4"/>
    </row>
    <row r="48" spans="1:14">
      <c r="A48" s="5"/>
      <c r="B48" s="2"/>
      <c r="C48" s="2"/>
      <c r="D48" s="2"/>
      <c r="E48" s="2"/>
      <c r="F48" s="4"/>
    </row>
    <row r="49" spans="1:6">
      <c r="A49" s="5"/>
      <c r="B49" s="2"/>
      <c r="C49" s="2"/>
      <c r="D49" s="2"/>
      <c r="E49" s="2"/>
      <c r="F49" s="4"/>
    </row>
    <row r="50" spans="1:6">
      <c r="A50" s="5"/>
      <c r="B50" s="2"/>
      <c r="C50" s="2"/>
      <c r="D50" s="2"/>
      <c r="E50" s="2"/>
      <c r="F50" s="4"/>
    </row>
    <row r="51" spans="1:6">
      <c r="A51" s="5"/>
      <c r="B51" s="2"/>
      <c r="C51" s="2"/>
      <c r="D51" s="2"/>
      <c r="E51" s="2"/>
      <c r="F51" s="4"/>
    </row>
    <row r="52" spans="1:6">
      <c r="A52" s="5"/>
      <c r="B52" s="2"/>
      <c r="C52" s="2"/>
      <c r="D52" s="2"/>
      <c r="E52" s="2"/>
      <c r="F52" s="4"/>
    </row>
    <row r="53" spans="1:6">
      <c r="A53" s="5"/>
      <c r="B53" s="2"/>
      <c r="C53" s="2"/>
      <c r="D53" s="2"/>
      <c r="E53" s="2"/>
      <c r="F53" s="4"/>
    </row>
    <row r="54" spans="1:6">
      <c r="A54" s="5"/>
      <c r="B54" s="2"/>
      <c r="C54" s="2"/>
      <c r="D54" s="2"/>
      <c r="E54" s="2"/>
      <c r="F54" s="4"/>
    </row>
    <row r="55" spans="1:6">
      <c r="A55" s="5"/>
      <c r="B55" s="2"/>
      <c r="C55" s="2"/>
      <c r="D55" s="2"/>
      <c r="E55" s="2"/>
      <c r="F55" s="4"/>
    </row>
    <row r="56" spans="1:6">
      <c r="A56" s="5"/>
      <c r="B56" s="2"/>
      <c r="C56" s="2"/>
      <c r="D56" s="2"/>
      <c r="E56" s="2"/>
      <c r="F56" s="4"/>
    </row>
    <row r="57" spans="1:6">
      <c r="A57" s="5"/>
      <c r="B57" s="2"/>
      <c r="C57" s="2"/>
      <c r="D57" s="2"/>
      <c r="E57" s="2"/>
      <c r="F57" s="4"/>
    </row>
    <row r="58" spans="1:6">
      <c r="A58" s="5"/>
      <c r="B58" s="2"/>
      <c r="C58" s="2"/>
      <c r="D58" s="2"/>
      <c r="E58" s="2"/>
      <c r="F58" s="4"/>
    </row>
    <row r="59" spans="1:6">
      <c r="A59" s="5"/>
      <c r="B59" s="2"/>
      <c r="C59" s="2"/>
      <c r="D59" s="2"/>
      <c r="E59" s="2"/>
      <c r="F59" s="4"/>
    </row>
    <row r="60" spans="1:6">
      <c r="A60" s="5"/>
      <c r="B60" s="2"/>
      <c r="C60" s="2"/>
      <c r="D60" s="2"/>
      <c r="E60" s="2"/>
      <c r="F60" s="4"/>
    </row>
    <row r="61" spans="1:6">
      <c r="A61" s="5"/>
      <c r="B61" s="2"/>
      <c r="C61" s="2"/>
      <c r="D61" s="2"/>
      <c r="E61" s="2"/>
      <c r="F61" s="4"/>
    </row>
    <row r="62" spans="1:6">
      <c r="A62" s="5"/>
      <c r="B62" s="2"/>
      <c r="C62" s="2"/>
      <c r="D62" s="2"/>
      <c r="E62" s="2"/>
      <c r="F62" s="4"/>
    </row>
    <row r="63" spans="1:6">
      <c r="A63" s="5"/>
      <c r="B63" s="2"/>
      <c r="C63" s="2"/>
      <c r="D63" s="2"/>
      <c r="E63" s="2"/>
      <c r="F63" s="4"/>
    </row>
    <row r="64" spans="1:6">
      <c r="A64" s="5"/>
      <c r="B64" s="2"/>
      <c r="C64" s="2"/>
      <c r="D64" s="2"/>
      <c r="E64" s="2"/>
      <c r="F64" s="4"/>
    </row>
    <row r="65" spans="1:6">
      <c r="A65" s="5"/>
      <c r="B65" s="2"/>
      <c r="C65" s="2"/>
      <c r="D65" s="2"/>
      <c r="E65" s="2"/>
      <c r="F65" s="4"/>
    </row>
    <row r="66" spans="1:6">
      <c r="A66" s="5"/>
      <c r="B66" s="2"/>
      <c r="C66" s="2"/>
      <c r="D66" s="2"/>
      <c r="E66" s="2"/>
      <c r="F66" s="4"/>
    </row>
    <row r="67" spans="1:6">
      <c r="A67" s="5"/>
      <c r="B67" s="2"/>
      <c r="C67" s="2"/>
      <c r="D67" s="2"/>
      <c r="E67" s="2"/>
      <c r="F67" s="4"/>
    </row>
    <row r="68" spans="1:6">
      <c r="A68" s="5"/>
      <c r="B68" s="2"/>
      <c r="C68" s="2"/>
      <c r="D68" s="2"/>
      <c r="E68" s="2"/>
      <c r="F68" s="4"/>
    </row>
    <row r="69" spans="1:6">
      <c r="A69" s="5"/>
      <c r="B69" s="2"/>
      <c r="C69" s="2"/>
      <c r="D69" s="2"/>
      <c r="E69" s="2"/>
      <c r="F69" s="4"/>
    </row>
    <row r="70" spans="1:6">
      <c r="A70" s="5"/>
      <c r="B70" s="2"/>
      <c r="C70" s="2"/>
      <c r="D70" s="2"/>
      <c r="E70" s="2"/>
      <c r="F70" s="4"/>
    </row>
    <row r="71" spans="1:6">
      <c r="A71" s="5"/>
      <c r="B71" s="2"/>
      <c r="C71" s="2"/>
      <c r="D71" s="2"/>
      <c r="E71" s="2"/>
      <c r="F71" s="4"/>
    </row>
    <row r="72" spans="1:6">
      <c r="A72" s="5"/>
      <c r="B72" s="2"/>
      <c r="C72" s="2"/>
      <c r="D72" s="2"/>
      <c r="E72" s="2"/>
      <c r="F72" s="4"/>
    </row>
    <row r="73" spans="1:6">
      <c r="A73" s="5"/>
      <c r="B73" s="2"/>
      <c r="C73" s="2"/>
      <c r="D73" s="2"/>
      <c r="E73" s="2"/>
      <c r="F73" s="4"/>
    </row>
    <row r="74" spans="1:6">
      <c r="A74" s="5"/>
      <c r="B74" s="2"/>
      <c r="C74" s="2"/>
      <c r="D74" s="2"/>
      <c r="E74" s="2"/>
      <c r="F74" s="4"/>
    </row>
    <row r="75" spans="1:6">
      <c r="A75" s="5"/>
      <c r="B75" s="2"/>
      <c r="C75" s="2"/>
      <c r="D75" s="2"/>
      <c r="E75" s="2"/>
      <c r="F75" s="4"/>
    </row>
    <row r="76" spans="1:6">
      <c r="A76" s="5"/>
      <c r="B76" s="2"/>
      <c r="C76" s="2"/>
      <c r="D76" s="2"/>
      <c r="E76" s="2"/>
      <c r="F76" s="4"/>
    </row>
    <row r="77" spans="1:6">
      <c r="A77" s="5"/>
      <c r="B77" s="2"/>
      <c r="C77" s="2"/>
      <c r="D77" s="2"/>
      <c r="E77" s="2"/>
      <c r="F77" s="4"/>
    </row>
    <row r="78" spans="1:6">
      <c r="A78" s="5"/>
      <c r="B78" s="2"/>
      <c r="C78" s="2"/>
      <c r="D78" s="2"/>
      <c r="E78" s="2"/>
      <c r="F78" s="4"/>
    </row>
    <row r="79" spans="1:6">
      <c r="A79" s="5"/>
      <c r="B79" s="2"/>
      <c r="C79" s="2"/>
      <c r="D79" s="2"/>
      <c r="E79" s="2"/>
      <c r="F79" s="4"/>
    </row>
    <row r="80" spans="1:6">
      <c r="A80" s="5"/>
      <c r="B80" s="2"/>
      <c r="C80" s="2"/>
      <c r="D80" s="2"/>
      <c r="E80" s="2"/>
      <c r="F80" s="4"/>
    </row>
    <row r="81" spans="1:6">
      <c r="A81" s="5"/>
      <c r="B81" s="2"/>
      <c r="C81" s="2"/>
      <c r="D81" s="2"/>
      <c r="E81" s="2"/>
      <c r="F81" s="4"/>
    </row>
    <row r="82" spans="1:6">
      <c r="A82" s="5"/>
      <c r="B82" s="2"/>
      <c r="C82" s="2"/>
      <c r="D82" s="2"/>
      <c r="E82" s="2"/>
      <c r="F82" s="4"/>
    </row>
    <row r="83" spans="1:6">
      <c r="A83" s="5"/>
      <c r="B83" s="2"/>
      <c r="C83" s="2"/>
      <c r="D83" s="2"/>
      <c r="E83" s="2"/>
      <c r="F83" s="4"/>
    </row>
    <row r="84" spans="1:6">
      <c r="A84" s="5"/>
      <c r="B84" s="2"/>
      <c r="C84" s="2"/>
      <c r="D84" s="2"/>
      <c r="E84" s="2"/>
      <c r="F84" s="4"/>
    </row>
    <row r="85" spans="1:6">
      <c r="A85" s="5"/>
      <c r="B85" s="2"/>
      <c r="C85" s="2"/>
      <c r="D85" s="2"/>
      <c r="E85" s="2"/>
      <c r="F85" s="4"/>
    </row>
    <row r="86" spans="1:6">
      <c r="A86" s="5"/>
      <c r="B86" s="2"/>
      <c r="C86" s="2"/>
      <c r="D86" s="2"/>
      <c r="E86" s="2"/>
      <c r="F86" s="4"/>
    </row>
    <row r="87" spans="1:6">
      <c r="A87" s="5"/>
      <c r="B87" s="2"/>
      <c r="C87" s="2"/>
      <c r="D87" s="2"/>
      <c r="E87" s="2"/>
      <c r="F87" s="4"/>
    </row>
    <row r="88" spans="1:6">
      <c r="A88" s="5"/>
      <c r="B88" s="2"/>
      <c r="C88" s="2"/>
      <c r="D88" s="2"/>
      <c r="E88" s="2"/>
      <c r="F88" s="4"/>
    </row>
    <row r="89" spans="1:6">
      <c r="A89" s="5"/>
      <c r="B89" s="2"/>
      <c r="C89" s="2"/>
      <c r="D89" s="2"/>
      <c r="E89" s="2"/>
      <c r="F89" s="4"/>
    </row>
    <row r="90" spans="1:6">
      <c r="A90" s="5"/>
      <c r="B90" s="2"/>
      <c r="C90" s="2"/>
      <c r="D90" s="2"/>
      <c r="E90" s="2"/>
      <c r="F90" s="4"/>
    </row>
    <row r="91" spans="1:6">
      <c r="A91" s="5"/>
      <c r="B91" s="2"/>
      <c r="C91" s="2"/>
      <c r="D91" s="2"/>
      <c r="E91" s="2"/>
      <c r="F91" s="4"/>
    </row>
    <row r="92" spans="1:6">
      <c r="A92" s="5"/>
      <c r="B92" s="2"/>
      <c r="C92" s="2"/>
      <c r="D92" s="2"/>
      <c r="E92" s="2"/>
      <c r="F92" s="4"/>
    </row>
    <row r="93" spans="1:6">
      <c r="A93" s="5"/>
      <c r="B93" s="2"/>
      <c r="C93" s="2"/>
      <c r="D93" s="2"/>
      <c r="E93" s="2"/>
      <c r="F93" s="4"/>
    </row>
    <row r="94" spans="1:6">
      <c r="A94" s="5"/>
      <c r="B94" s="2"/>
      <c r="C94" s="2"/>
      <c r="D94" s="2"/>
      <c r="E94" s="2"/>
      <c r="F94" s="4"/>
    </row>
    <row r="95" spans="1:6">
      <c r="A95" s="5"/>
      <c r="B95" s="2"/>
      <c r="C95" s="2"/>
      <c r="D95" s="2"/>
      <c r="E95" s="2"/>
      <c r="F95" s="4"/>
    </row>
    <row r="96" spans="1:6">
      <c r="A96" s="5"/>
      <c r="B96" s="2"/>
      <c r="C96" s="2"/>
      <c r="D96" s="2"/>
      <c r="E96" s="2"/>
      <c r="F96" s="4"/>
    </row>
    <row r="97" spans="1:6">
      <c r="A97" s="5"/>
      <c r="B97" s="2"/>
      <c r="C97" s="2"/>
      <c r="D97" s="2"/>
      <c r="E97" s="2"/>
      <c r="F97" s="4"/>
    </row>
    <row r="98" spans="1:6">
      <c r="A98" s="5"/>
      <c r="B98" s="2"/>
      <c r="C98" s="2"/>
      <c r="D98" s="2"/>
      <c r="E98" s="2"/>
      <c r="F98" s="4"/>
    </row>
    <row r="99" spans="1:6" ht="17.25" thickBot="1">
      <c r="A99" s="6"/>
      <c r="B99" s="7"/>
      <c r="C99" s="7"/>
      <c r="D99" s="7"/>
      <c r="E99" s="7"/>
      <c r="F99" s="8"/>
    </row>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38987-5D69-4C38-9435-B2A595B317F3}">
  <sheetPr>
    <tabColor theme="9" tint="0.79998168889431442"/>
  </sheetPr>
  <dimension ref="A1:AB48"/>
  <sheetViews>
    <sheetView topLeftCell="I1" zoomScale="85" zoomScaleNormal="85" workbookViewId="0">
      <selection activeCell="U3" sqref="U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0.625" customWidth="1"/>
    <col min="19" max="19" width="10.75" bestFit="1" customWidth="1"/>
    <col min="20" max="20" width="10.75" customWidth="1"/>
    <col min="23" max="23" width="10.75" bestFit="1" customWidth="1"/>
    <col min="27" max="27" width="10.75" bestFit="1" customWidth="1"/>
  </cols>
  <sheetData>
    <row r="1" spans="1:28">
      <c r="A1" s="75"/>
    </row>
    <row r="2" spans="1:28" ht="17.25" thickBot="1">
      <c r="A2" s="75"/>
      <c r="N2" t="s">
        <v>41</v>
      </c>
    </row>
    <row r="3" spans="1:28" ht="17.25" thickBot="1">
      <c r="A3" s="77"/>
      <c r="B3" s="78"/>
      <c r="C3" s="367" t="s">
        <v>681</v>
      </c>
      <c r="D3" s="368"/>
      <c r="E3" s="369"/>
      <c r="F3" s="367" t="s">
        <v>682</v>
      </c>
      <c r="G3" s="368"/>
      <c r="H3" s="369"/>
      <c r="I3" s="370" t="s">
        <v>807</v>
      </c>
      <c r="J3" s="371"/>
      <c r="K3" s="372"/>
      <c r="N3" s="373" t="s">
        <v>17</v>
      </c>
      <c r="O3" s="374"/>
      <c r="P3" s="375"/>
    </row>
    <row r="4" spans="1:28" ht="17.25" thickBot="1">
      <c r="A4" s="79" t="s">
        <v>18</v>
      </c>
      <c r="B4" s="80" t="s">
        <v>19</v>
      </c>
      <c r="C4" s="81" t="s">
        <v>10</v>
      </c>
      <c r="D4" s="82" t="s">
        <v>20</v>
      </c>
      <c r="E4" s="83" t="s">
        <v>21</v>
      </c>
      <c r="F4" s="81" t="s">
        <v>10</v>
      </c>
      <c r="G4" s="82" t="s">
        <v>20</v>
      </c>
      <c r="H4" s="84" t="s">
        <v>21</v>
      </c>
      <c r="I4" s="81" t="s">
        <v>10</v>
      </c>
      <c r="J4" s="82" t="s">
        <v>20</v>
      </c>
      <c r="K4" s="84" t="s">
        <v>21</v>
      </c>
      <c r="M4" s="76"/>
      <c r="N4" s="85" t="s">
        <v>22</v>
      </c>
      <c r="O4" s="232" t="s">
        <v>19</v>
      </c>
      <c r="P4" s="233" t="s">
        <v>23</v>
      </c>
    </row>
    <row r="5" spans="1:28">
      <c r="A5" s="376"/>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28">
      <c r="A6" s="376"/>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28">
      <c r="A7" s="376"/>
      <c r="B7" s="89" t="s">
        <v>26</v>
      </c>
      <c r="C7" s="9" t="s">
        <v>39</v>
      </c>
      <c r="D7" s="87" t="s">
        <v>39</v>
      </c>
      <c r="E7" s="88" t="e">
        <v>#N/A</v>
      </c>
      <c r="F7" s="9" t="s">
        <v>39</v>
      </c>
      <c r="G7" s="87" t="s">
        <v>39</v>
      </c>
      <c r="H7" s="88" t="e">
        <v>#N/A</v>
      </c>
      <c r="I7" s="9">
        <v>45444</v>
      </c>
      <c r="J7" s="87">
        <v>45444</v>
      </c>
      <c r="K7" s="88">
        <v>8</v>
      </c>
      <c r="N7" s="230">
        <f>IF(N6&lt;&gt;"",N6+1,IF(TEXT('일간 팔로워'!$J$1,"aaa")=$B7,'일간 팔로워'!$J$1,""))</f>
        <v>45444</v>
      </c>
      <c r="O7" s="235">
        <f>IF(O6&lt;&gt;"",O6+1,IF(TEXT('일간 팔로워'!$J$1,"aaa")=$B7,'일간 팔로워'!$J$1,""))</f>
        <v>45444</v>
      </c>
      <c r="P7" s="42">
        <f>IFERROR(INDEX(visitors!$A$1:$Y$32,DAY(N7)+1,MATCH($N$2,visitors!$1:$1,0)),NA())</f>
        <v>52</v>
      </c>
    </row>
    <row r="8" spans="1:28" ht="17.25" thickBot="1">
      <c r="A8" s="376"/>
      <c r="B8" s="90" t="s">
        <v>27</v>
      </c>
      <c r="C8" s="91" t="s">
        <v>39</v>
      </c>
      <c r="D8" s="92" t="s">
        <v>39</v>
      </c>
      <c r="E8" s="93" t="e">
        <v>#N/A</v>
      </c>
      <c r="F8" s="91" t="s">
        <v>39</v>
      </c>
      <c r="G8" s="92" t="s">
        <v>39</v>
      </c>
      <c r="H8" s="93" t="e">
        <v>#N/A</v>
      </c>
      <c r="I8" s="91">
        <v>45445</v>
      </c>
      <c r="J8" s="92">
        <v>45445</v>
      </c>
      <c r="K8" s="93">
        <v>12</v>
      </c>
      <c r="N8" s="231">
        <f>IF(N7&lt;&gt;"",N7+1,IF(TEXT('일간 팔로워'!$J$1,"aaa")=$B8,'일간 팔로워'!$J$1,""))</f>
        <v>45445</v>
      </c>
      <c r="O8" s="236">
        <f>IF(O7&lt;&gt;"",O7+1,IF(TEXT('일간 팔로워'!$J$1,"aaa")=$B8,'일간 팔로워'!$J$1,""))</f>
        <v>45445</v>
      </c>
      <c r="P8" s="233">
        <f>IFERROR(INDEX(visitors!$A$1:$Y$32,DAY(N8)+1,MATCH($N$2,visitors!$1:$1,0)),NA())</f>
        <v>85</v>
      </c>
    </row>
    <row r="9" spans="1:28">
      <c r="A9" s="377" t="s">
        <v>28</v>
      </c>
      <c r="B9" s="94" t="s">
        <v>6</v>
      </c>
      <c r="C9" s="95">
        <v>45383</v>
      </c>
      <c r="D9" s="96">
        <v>45383</v>
      </c>
      <c r="E9" s="33">
        <v>52</v>
      </c>
      <c r="F9" s="95" t="s">
        <v>39</v>
      </c>
      <c r="G9" s="96" t="s">
        <v>39</v>
      </c>
      <c r="H9" s="33" t="e">
        <v>#N/A</v>
      </c>
      <c r="I9" s="95">
        <v>45446</v>
      </c>
      <c r="J9" s="96">
        <v>45446</v>
      </c>
      <c r="K9" s="33">
        <v>77</v>
      </c>
      <c r="N9" s="229">
        <f>IF(N8&lt;&gt;"",N8+1,IF(TEXT('일간 팔로워'!$J$1,"aaa")=$B9,'일간 팔로워'!$J$1,""))</f>
        <v>45446</v>
      </c>
      <c r="O9" s="234">
        <f>IF(O8&lt;&gt;"",O8+1,IF(TEXT('일간 팔로워'!$J$1,"aaa")=$B9,'일간 팔로워'!$J$1,""))</f>
        <v>45446</v>
      </c>
      <c r="P9" s="23">
        <f>IFERROR(INDEX(visitors!$A$1:$Y$32,DAY(N9)+1,MATCH($N$2,visitors!$1:$1,0)),NA())</f>
        <v>33</v>
      </c>
    </row>
    <row r="10" spans="1:28">
      <c r="A10" s="376"/>
      <c r="B10" s="89" t="s">
        <v>29</v>
      </c>
      <c r="C10" s="3">
        <v>45384</v>
      </c>
      <c r="D10" s="98">
        <v>45384</v>
      </c>
      <c r="E10" s="99">
        <v>85</v>
      </c>
      <c r="F10" s="3" t="s">
        <v>39</v>
      </c>
      <c r="G10" s="98" t="s">
        <v>39</v>
      </c>
      <c r="H10" s="99" t="e">
        <v>#N/A</v>
      </c>
      <c r="I10" s="3">
        <v>45447</v>
      </c>
      <c r="J10" s="98">
        <v>45447</v>
      </c>
      <c r="K10" s="99">
        <v>60</v>
      </c>
      <c r="N10" s="230">
        <f>IF(N9&lt;&gt;"",N9+1,IF(TEXT('일간 팔로워'!$J$1,"aaa")=$B10,'일간 팔로워'!$J$1,""))</f>
        <v>45447</v>
      </c>
      <c r="O10" s="235">
        <f>IF(O9&lt;&gt;"",O9+1,IF(TEXT('일간 팔로워'!$J$1,"aaa")=$B10,'일간 팔로워'!$J$1,""))</f>
        <v>45447</v>
      </c>
      <c r="P10" s="42">
        <f>IFERROR(INDEX(visitors!$A$1:$Y$32,DAY(N10)+1,MATCH($N$2,visitors!$1:$1,0)),NA())</f>
        <v>53</v>
      </c>
    </row>
    <row r="11" spans="1:28">
      <c r="A11" s="376"/>
      <c r="B11" s="89" t="s">
        <v>30</v>
      </c>
      <c r="C11" s="3">
        <v>45385</v>
      </c>
      <c r="D11" s="98">
        <v>45385</v>
      </c>
      <c r="E11" s="99">
        <v>33</v>
      </c>
      <c r="F11" s="3">
        <v>45413</v>
      </c>
      <c r="G11" s="98">
        <v>45413</v>
      </c>
      <c r="H11" s="99">
        <v>24</v>
      </c>
      <c r="I11" s="3">
        <v>45448</v>
      </c>
      <c r="J11" s="98">
        <v>45448</v>
      </c>
      <c r="K11" s="99">
        <v>61</v>
      </c>
      <c r="N11" s="230">
        <f>IF(N10&lt;&gt;"",N10+1,IF(TEXT('일간 팔로워'!$J$1,"aaa")=$B11,'일간 팔로워'!$J$1,""))</f>
        <v>45448</v>
      </c>
      <c r="O11" s="235">
        <f>IF(O10&lt;&gt;"",O10+1,IF(TEXT('일간 팔로워'!$J$1,"aaa")=$B11,'일간 팔로워'!$J$1,""))</f>
        <v>45448</v>
      </c>
      <c r="P11" s="42">
        <f>IFERROR(INDEX(visitors!$A$1:$Y$32,DAY(N11)+1,MATCH($N$2,visitors!$1:$1,0)),NA())</f>
        <v>56</v>
      </c>
    </row>
    <row r="12" spans="1:28">
      <c r="A12" s="376"/>
      <c r="B12" s="89" t="s">
        <v>24</v>
      </c>
      <c r="C12" s="3">
        <v>45386</v>
      </c>
      <c r="D12" s="98">
        <v>45386</v>
      </c>
      <c r="E12" s="99">
        <v>53</v>
      </c>
      <c r="F12" s="3">
        <v>45414</v>
      </c>
      <c r="G12" s="98">
        <v>45414</v>
      </c>
      <c r="H12" s="99">
        <v>41</v>
      </c>
      <c r="I12" s="3">
        <v>45449</v>
      </c>
      <c r="J12" s="98">
        <v>45449</v>
      </c>
      <c r="K12" s="99">
        <v>22</v>
      </c>
      <c r="N12" s="230">
        <f>IF(N11&lt;&gt;"",N11+1,IF(TEXT('일간 팔로워'!$J$1,"aaa")=$B12,'일간 팔로워'!$J$1,""))</f>
        <v>45449</v>
      </c>
      <c r="O12" s="235">
        <f>IF(O11&lt;&gt;"",O11+1,IF(TEXT('일간 팔로워'!$J$1,"aaa")=$B12,'일간 팔로워'!$J$1,""))</f>
        <v>45449</v>
      </c>
      <c r="P12" s="42">
        <f>IFERROR(INDEX(visitors!$A$1:$Y$32,DAY(N12)+1,MATCH($N$2,visitors!$1:$1,0)),NA())</f>
        <v>13</v>
      </c>
    </row>
    <row r="13" spans="1:28">
      <c r="A13" s="376"/>
      <c r="B13" s="89" t="s">
        <v>25</v>
      </c>
      <c r="C13" s="3">
        <v>45387</v>
      </c>
      <c r="D13" s="98">
        <v>45387</v>
      </c>
      <c r="E13" s="99">
        <v>56</v>
      </c>
      <c r="F13" s="3">
        <v>45415</v>
      </c>
      <c r="G13" s="98">
        <v>45415</v>
      </c>
      <c r="H13" s="99">
        <v>38</v>
      </c>
      <c r="I13" s="3">
        <v>45450</v>
      </c>
      <c r="J13" s="98">
        <v>45450</v>
      </c>
      <c r="K13" s="99">
        <v>9</v>
      </c>
      <c r="N13" s="230">
        <f>IF(N12&lt;&gt;"",N12+1,IF(TEXT('일간 팔로워'!$J$1,"aaa")=$B13,'일간 팔로워'!$J$1,""))</f>
        <v>45450</v>
      </c>
      <c r="O13" s="235">
        <f>IF(O12&lt;&gt;"",O12+1,IF(TEXT('일간 팔로워'!$J$1,"aaa")=$B13,'일간 팔로워'!$J$1,""))</f>
        <v>45450</v>
      </c>
      <c r="P13" s="42">
        <f>IFERROR(INDEX(visitors!$A$1:$Y$32,DAY(N13)+1,MATCH($N$2,visitors!$1:$1,0)),NA())</f>
        <v>10</v>
      </c>
      <c r="S13" s="1"/>
      <c r="T13" s="101"/>
      <c r="U13" s="76"/>
      <c r="W13" s="1"/>
      <c r="X13" s="101"/>
      <c r="Y13" s="76"/>
      <c r="AA13" s="1"/>
      <c r="AB13" s="101"/>
    </row>
    <row r="14" spans="1:28">
      <c r="A14" s="376"/>
      <c r="B14" s="89" t="s">
        <v>26</v>
      </c>
      <c r="C14" s="3">
        <v>45388</v>
      </c>
      <c r="D14" s="98">
        <v>45388</v>
      </c>
      <c r="E14" s="99">
        <v>13</v>
      </c>
      <c r="F14" s="3">
        <v>45416</v>
      </c>
      <c r="G14" s="98">
        <v>45416</v>
      </c>
      <c r="H14" s="99">
        <v>11</v>
      </c>
      <c r="I14" s="3">
        <v>45451</v>
      </c>
      <c r="J14" s="98">
        <v>45451</v>
      </c>
      <c r="K14" s="99">
        <v>7</v>
      </c>
      <c r="N14" s="230">
        <f>IF(N13&lt;&gt;"",N13+1,IF(TEXT('일간 팔로워'!$J$1,"aaa")=$B14,'일간 팔로워'!$J$1,""))</f>
        <v>45451</v>
      </c>
      <c r="O14" s="235">
        <f>IF(O13&lt;&gt;"",O13+1,IF(TEXT('일간 팔로워'!$J$1,"aaa")=$B14,'일간 팔로워'!$J$1,""))</f>
        <v>45451</v>
      </c>
      <c r="P14" s="42">
        <f>IFERROR(INDEX(visitors!$A$1:$Y$32,DAY(N14)+1,MATCH($N$2,visitors!$1:$1,0)),NA())</f>
        <v>69</v>
      </c>
      <c r="S14" s="1"/>
      <c r="T14" s="101"/>
      <c r="U14" s="76"/>
      <c r="W14" s="1"/>
      <c r="X14" s="101"/>
      <c r="Y14" s="76"/>
      <c r="AA14" s="1"/>
      <c r="AB14" s="101"/>
    </row>
    <row r="15" spans="1:28" ht="17.25" thickBot="1">
      <c r="A15" s="378"/>
      <c r="B15" s="102" t="s">
        <v>27</v>
      </c>
      <c r="C15" s="103">
        <v>45389</v>
      </c>
      <c r="D15" s="104">
        <v>45389</v>
      </c>
      <c r="E15" s="84">
        <v>10</v>
      </c>
      <c r="F15" s="103">
        <v>45417</v>
      </c>
      <c r="G15" s="104">
        <v>45417</v>
      </c>
      <c r="H15" s="84">
        <v>10</v>
      </c>
      <c r="I15" s="103">
        <v>45452</v>
      </c>
      <c r="J15" s="104">
        <v>45452</v>
      </c>
      <c r="K15" s="84">
        <v>3</v>
      </c>
      <c r="N15" s="231">
        <f>IF(N14&lt;&gt;"",N14+1,IF(TEXT('일간 팔로워'!$J$1,"aaa")=$B15,'일간 팔로워'!$J$1,""))</f>
        <v>45452</v>
      </c>
      <c r="O15" s="237">
        <f>IF(O14&lt;&gt;"",O14+1,IF(TEXT('일간 팔로워'!$J$1,"aaa")=$B15,'일간 팔로워'!$J$1,""))</f>
        <v>45452</v>
      </c>
      <c r="P15" s="44">
        <f>IFERROR(INDEX(visitors!$A$1:$Y$32,DAY(N15)+1,MATCH($N$2,visitors!$1:$1,0)),NA())</f>
        <v>120</v>
      </c>
      <c r="S15" s="1"/>
      <c r="T15" s="101"/>
      <c r="U15" s="76"/>
      <c r="W15" s="1"/>
      <c r="X15" s="101"/>
      <c r="Y15" s="76"/>
      <c r="AA15" s="1"/>
      <c r="AB15" s="101"/>
    </row>
    <row r="16" spans="1:28">
      <c r="A16" s="377" t="s">
        <v>31</v>
      </c>
      <c r="B16" s="94" t="s">
        <v>7</v>
      </c>
      <c r="C16" s="95">
        <v>45390</v>
      </c>
      <c r="D16" s="96">
        <v>45390</v>
      </c>
      <c r="E16" s="33">
        <v>69</v>
      </c>
      <c r="F16" s="95">
        <v>45418</v>
      </c>
      <c r="G16" s="96">
        <v>45418</v>
      </c>
      <c r="H16" s="33">
        <v>21</v>
      </c>
      <c r="I16" s="95">
        <v>45453</v>
      </c>
      <c r="J16" s="96">
        <v>45453</v>
      </c>
      <c r="K16" s="33">
        <v>128</v>
      </c>
      <c r="N16" s="97">
        <f>IF(N15&lt;&gt;"",N15+1,IF(TEXT('일간 팔로워'!$J$1,"aaa")=$B16,'일간 팔로워'!$J$1,""))</f>
        <v>45453</v>
      </c>
      <c r="O16" s="234">
        <f>IF(O15&lt;&gt;"",O15+1,IF(TEXT('일간 팔로워'!$J$1,"aaa")=$B16,'일간 팔로워'!$J$1,""))</f>
        <v>45453</v>
      </c>
      <c r="P16" s="23">
        <f>IFERROR(INDEX(visitors!$A$1:$Y$32,DAY(N16)+1,MATCH($N$2,visitors!$1:$1,0)),NA())</f>
        <v>64</v>
      </c>
      <c r="S16" s="1"/>
      <c r="T16" s="101"/>
      <c r="U16" s="76"/>
      <c r="W16" s="1"/>
      <c r="X16" s="101"/>
      <c r="Y16" s="76"/>
      <c r="AA16" s="1"/>
      <c r="AB16" s="101"/>
    </row>
    <row r="17" spans="1:28">
      <c r="A17" s="376"/>
      <c r="B17" s="89" t="s">
        <v>32</v>
      </c>
      <c r="C17" s="3">
        <v>45391</v>
      </c>
      <c r="D17" s="98">
        <v>45391</v>
      </c>
      <c r="E17" s="99">
        <v>120</v>
      </c>
      <c r="F17" s="3">
        <v>45419</v>
      </c>
      <c r="G17" s="98">
        <v>45419</v>
      </c>
      <c r="H17" s="99">
        <v>107</v>
      </c>
      <c r="I17" s="3">
        <v>45454</v>
      </c>
      <c r="J17" s="98">
        <v>45454</v>
      </c>
      <c r="K17" s="99">
        <v>69</v>
      </c>
      <c r="N17" s="32">
        <f>IF(N16&lt;&gt;"",N16+1,IF(TEXT('일간 팔로워'!$J$1,"aaa")=$B17,'일간 팔로워'!$J$1,""))</f>
        <v>45454</v>
      </c>
      <c r="O17" s="235">
        <f>IF(O16&lt;&gt;"",O16+1,IF(TEXT('일간 팔로워'!$J$1,"aaa")=$B17,'일간 팔로워'!$J$1,""))</f>
        <v>45454</v>
      </c>
      <c r="P17" s="42">
        <f>IFERROR(INDEX(visitors!$A$1:$Y$32,DAY(N17)+1,MATCH($N$2,visitors!$1:$1,0)),NA())</f>
        <v>51</v>
      </c>
      <c r="S17" s="1"/>
      <c r="T17" s="101"/>
      <c r="U17" s="76"/>
      <c r="W17" s="1"/>
      <c r="X17" s="101"/>
      <c r="Y17" s="76"/>
      <c r="AA17" s="1"/>
      <c r="AB17" s="101"/>
    </row>
    <row r="18" spans="1:28">
      <c r="A18" s="376"/>
      <c r="B18" s="89" t="s">
        <v>30</v>
      </c>
      <c r="C18" s="3">
        <v>45392</v>
      </c>
      <c r="D18" s="98">
        <v>45392</v>
      </c>
      <c r="E18" s="99">
        <v>64</v>
      </c>
      <c r="F18" s="3">
        <v>45420</v>
      </c>
      <c r="G18" s="98">
        <v>45420</v>
      </c>
      <c r="H18" s="99">
        <v>41</v>
      </c>
      <c r="I18" s="3">
        <v>45455</v>
      </c>
      <c r="J18" s="98">
        <v>45455</v>
      </c>
      <c r="K18" s="99">
        <v>39</v>
      </c>
      <c r="N18" s="32">
        <f>IF(N17&lt;&gt;"",N17+1,IF(TEXT('일간 팔로워'!$J$1,"aaa")=$B18,'일간 팔로워'!$J$1,""))</f>
        <v>45455</v>
      </c>
      <c r="O18" s="235">
        <f>IF(O17&lt;&gt;"",O17+1,IF(TEXT('일간 팔로워'!$J$1,"aaa")=$B18,'일간 팔로워'!$J$1,""))</f>
        <v>45455</v>
      </c>
      <c r="P18" s="42">
        <f>IFERROR(INDEX(visitors!$A$1:$Y$32,DAY(N18)+1,MATCH($N$2,visitors!$1:$1,0)),NA())</f>
        <v>63</v>
      </c>
      <c r="S18" s="1"/>
      <c r="T18" s="101"/>
      <c r="U18" s="76"/>
      <c r="W18" s="1"/>
      <c r="X18" s="101"/>
      <c r="Y18" s="76"/>
      <c r="AA18" s="1"/>
      <c r="AB18" s="101"/>
    </row>
    <row r="19" spans="1:28">
      <c r="A19" s="376"/>
      <c r="B19" s="89" t="s">
        <v>33</v>
      </c>
      <c r="C19" s="3">
        <v>45393</v>
      </c>
      <c r="D19" s="98">
        <v>45393</v>
      </c>
      <c r="E19" s="99">
        <v>51</v>
      </c>
      <c r="F19" s="3">
        <v>45421</v>
      </c>
      <c r="G19" s="98">
        <v>45421</v>
      </c>
      <c r="H19" s="99">
        <v>68</v>
      </c>
      <c r="I19" s="3">
        <v>45456</v>
      </c>
      <c r="J19" s="98">
        <v>45456</v>
      </c>
      <c r="K19" s="99">
        <v>43</v>
      </c>
      <c r="N19" s="32">
        <f>IF(N18&lt;&gt;"",N18+1,IF(TEXT('일간 팔로워'!$J$1,"aaa")=$B19,'일간 팔로워'!$J$1,""))</f>
        <v>45456</v>
      </c>
      <c r="O19" s="235">
        <f>IF(O18&lt;&gt;"",O18+1,IF(TEXT('일간 팔로워'!$J$1,"aaa")=$B19,'일간 팔로워'!$J$1,""))</f>
        <v>45456</v>
      </c>
      <c r="P19" s="42">
        <f>IFERROR(INDEX(visitors!$A$1:$Y$32,DAY(N19)+1,MATCH($N$2,visitors!$1:$1,0)),NA())</f>
        <v>7</v>
      </c>
      <c r="S19" s="1"/>
      <c r="T19" s="101"/>
      <c r="U19" s="76"/>
      <c r="W19" s="1"/>
      <c r="X19" s="101"/>
      <c r="Y19" s="76"/>
      <c r="AA19" s="1"/>
      <c r="AB19" s="101"/>
    </row>
    <row r="20" spans="1:28">
      <c r="A20" s="376"/>
      <c r="B20" s="89" t="s">
        <v>34</v>
      </c>
      <c r="C20" s="3">
        <v>45394</v>
      </c>
      <c r="D20" s="98">
        <v>45394</v>
      </c>
      <c r="E20" s="99">
        <v>63</v>
      </c>
      <c r="F20" s="3">
        <v>45422</v>
      </c>
      <c r="G20" s="98">
        <v>45422</v>
      </c>
      <c r="H20" s="99">
        <v>52</v>
      </c>
      <c r="I20" s="3">
        <v>45457</v>
      </c>
      <c r="J20" s="98">
        <v>45457</v>
      </c>
      <c r="K20" s="99">
        <v>50</v>
      </c>
      <c r="N20" s="32">
        <f>IF(N19&lt;&gt;"",N19+1,IF(TEXT('일간 팔로워'!$J$1,"aaa")=$B20,'일간 팔로워'!$J$1,""))</f>
        <v>45457</v>
      </c>
      <c r="O20" s="235">
        <f>IF(O19&lt;&gt;"",O19+1,IF(TEXT('일간 팔로워'!$J$1,"aaa")=$B20,'일간 팔로워'!$J$1,""))</f>
        <v>45457</v>
      </c>
      <c r="P20" s="42">
        <f>IFERROR(INDEX(visitors!$A$1:$Y$32,DAY(N20)+1,MATCH($N$2,visitors!$1:$1,0)),NA())</f>
        <v>25</v>
      </c>
      <c r="S20" s="1"/>
      <c r="T20" s="101"/>
      <c r="U20" s="76"/>
      <c r="W20" s="1"/>
      <c r="X20" s="101"/>
      <c r="Y20" s="76"/>
      <c r="AA20" s="1"/>
      <c r="AB20" s="101"/>
    </row>
    <row r="21" spans="1:28">
      <c r="A21" s="376"/>
      <c r="B21" s="89" t="s">
        <v>35</v>
      </c>
      <c r="C21" s="3">
        <v>45395</v>
      </c>
      <c r="D21" s="98">
        <v>45395</v>
      </c>
      <c r="E21" s="99">
        <v>7</v>
      </c>
      <c r="F21" s="3">
        <v>45423</v>
      </c>
      <c r="G21" s="98">
        <v>45423</v>
      </c>
      <c r="H21" s="99">
        <v>22</v>
      </c>
      <c r="I21" s="3">
        <v>45458</v>
      </c>
      <c r="J21" s="98">
        <v>45458</v>
      </c>
      <c r="K21" s="99">
        <v>5</v>
      </c>
      <c r="N21" s="32">
        <f>IF(N20&lt;&gt;"",N20+1,IF(TEXT('일간 팔로워'!$J$1,"aaa")=$B21,'일간 팔로워'!$J$1,""))</f>
        <v>45458</v>
      </c>
      <c r="O21" s="235">
        <f>IF(O20&lt;&gt;"",O20+1,IF(TEXT('일간 팔로워'!$J$1,"aaa")=$B21,'일간 팔로워'!$J$1,""))</f>
        <v>45458</v>
      </c>
      <c r="P21" s="42">
        <f>IFERROR(INDEX(visitors!$A$1:$Y$32,DAY(N21)+1,MATCH($N$2,visitors!$1:$1,0)),NA())</f>
        <v>33</v>
      </c>
      <c r="S21" s="1"/>
      <c r="T21" s="101"/>
      <c r="U21" s="76"/>
      <c r="W21" s="1"/>
      <c r="X21" s="101"/>
      <c r="Y21" s="76"/>
      <c r="AA21" s="1"/>
      <c r="AB21" s="101"/>
    </row>
    <row r="22" spans="1:28" ht="17.25" thickBot="1">
      <c r="A22" s="378"/>
      <c r="B22" s="102" t="s">
        <v>36</v>
      </c>
      <c r="C22" s="103">
        <v>45396</v>
      </c>
      <c r="D22" s="104">
        <v>45396</v>
      </c>
      <c r="E22" s="84">
        <v>25</v>
      </c>
      <c r="F22" s="103">
        <v>45424</v>
      </c>
      <c r="G22" s="104">
        <v>45424</v>
      </c>
      <c r="H22" s="84">
        <v>3</v>
      </c>
      <c r="I22" s="103">
        <v>45459</v>
      </c>
      <c r="J22" s="104">
        <v>45459</v>
      </c>
      <c r="K22" s="84">
        <v>9</v>
      </c>
      <c r="N22" s="228">
        <f>IF(N21&lt;&gt;"",N21+1,IF(TEXT('일간 팔로워'!$J$1,"aaa")=$B22,'일간 팔로워'!$J$1,""))</f>
        <v>45459</v>
      </c>
      <c r="O22" s="237">
        <f>IF(O21&lt;&gt;"",O21+1,IF(TEXT('일간 팔로워'!$J$1,"aaa")=$B22,'일간 팔로워'!$J$1,""))</f>
        <v>45459</v>
      </c>
      <c r="P22" s="44">
        <f>IFERROR(INDEX(visitors!$A$1:$Y$32,DAY(N22)+1,MATCH($N$2,visitors!$1:$1,0)),NA())</f>
        <v>49</v>
      </c>
      <c r="S22" s="1"/>
      <c r="T22" s="101"/>
      <c r="U22" s="76"/>
      <c r="W22" s="1"/>
      <c r="X22" s="101"/>
      <c r="Y22" s="76"/>
      <c r="AA22" s="1"/>
      <c r="AB22" s="101"/>
    </row>
    <row r="23" spans="1:28">
      <c r="A23" s="377" t="s">
        <v>37</v>
      </c>
      <c r="B23" s="94" t="s">
        <v>6</v>
      </c>
      <c r="C23" s="95">
        <v>45397</v>
      </c>
      <c r="D23" s="96">
        <v>45397</v>
      </c>
      <c r="E23" s="33">
        <v>33</v>
      </c>
      <c r="F23" s="95">
        <v>45425</v>
      </c>
      <c r="G23" s="96">
        <v>45425</v>
      </c>
      <c r="H23" s="33">
        <v>39</v>
      </c>
      <c r="I23" s="95">
        <v>45460</v>
      </c>
      <c r="J23" s="96">
        <v>45460</v>
      </c>
      <c r="K23" s="33">
        <v>33</v>
      </c>
      <c r="N23" s="97">
        <f>IF(N22&lt;&gt;"",N22+1,IF(TEXT('일간 팔로워'!$J$1,"aaa")=$B23,'일간 팔로워'!$J$1,""))</f>
        <v>45460</v>
      </c>
      <c r="O23" s="234">
        <f>IF(O22&lt;&gt;"",O22+1,IF(TEXT('일간 팔로워'!$J$1,"aaa")=$B23,'일간 팔로워'!$J$1,""))</f>
        <v>45460</v>
      </c>
      <c r="P23" s="23">
        <f>IFERROR(INDEX(visitors!$A$1:$Y$32,DAY(N23)+1,MATCH($N$2,visitors!$1:$1,0)),NA())</f>
        <v>98</v>
      </c>
      <c r="S23" s="1"/>
      <c r="T23" s="101"/>
      <c r="U23" s="76"/>
      <c r="W23" s="1"/>
      <c r="X23" s="101"/>
      <c r="Y23" s="76"/>
      <c r="AA23" s="1"/>
      <c r="AB23" s="101"/>
    </row>
    <row r="24" spans="1:28">
      <c r="A24" s="376"/>
      <c r="B24" s="89" t="s">
        <v>29</v>
      </c>
      <c r="C24" s="3">
        <v>45398</v>
      </c>
      <c r="D24" s="98">
        <v>45398</v>
      </c>
      <c r="E24" s="99">
        <v>49</v>
      </c>
      <c r="F24" s="3">
        <v>45426</v>
      </c>
      <c r="G24" s="98">
        <v>45426</v>
      </c>
      <c r="H24" s="99">
        <v>32</v>
      </c>
      <c r="I24" s="3">
        <v>45461</v>
      </c>
      <c r="J24" s="98">
        <v>45461</v>
      </c>
      <c r="K24" s="99">
        <v>85</v>
      </c>
      <c r="N24" s="32">
        <f>IF(N23&lt;&gt;"",N23+1,IF(TEXT('일간 팔로워'!$J$1,"aaa")=$B24,'일간 팔로워'!$J$1,""))</f>
        <v>45461</v>
      </c>
      <c r="O24" s="235">
        <f>IF(O23&lt;&gt;"",O23+1,IF(TEXT('일간 팔로워'!$J$1,"aaa")=$B24,'일간 팔로워'!$J$1,""))</f>
        <v>45461</v>
      </c>
      <c r="P24" s="42">
        <f>IFERROR(INDEX(visitors!$A$1:$Y$32,DAY(N24)+1,MATCH($N$2,visitors!$1:$1,0)),NA())</f>
        <v>47</v>
      </c>
      <c r="S24" s="1"/>
      <c r="T24" s="101"/>
      <c r="U24" s="76"/>
      <c r="W24" s="1"/>
      <c r="X24" s="101"/>
      <c r="Y24" s="76"/>
      <c r="AA24" s="1"/>
      <c r="AB24" s="101"/>
    </row>
    <row r="25" spans="1:28">
      <c r="A25" s="376"/>
      <c r="B25" s="89" t="s">
        <v>30</v>
      </c>
      <c r="C25" s="3">
        <v>45399</v>
      </c>
      <c r="D25" s="98">
        <v>45399</v>
      </c>
      <c r="E25" s="99">
        <v>98</v>
      </c>
      <c r="F25" s="3">
        <v>45427</v>
      </c>
      <c r="G25" s="98">
        <v>45427</v>
      </c>
      <c r="H25" s="99">
        <v>16</v>
      </c>
      <c r="I25" s="3">
        <v>45462</v>
      </c>
      <c r="J25" s="98">
        <v>45462</v>
      </c>
      <c r="K25" s="99">
        <v>97</v>
      </c>
      <c r="N25" s="32">
        <f>IF(N24&lt;&gt;"",N24+1,IF(TEXT('일간 팔로워'!$J$1,"aaa")=$B25,'일간 팔로워'!$J$1,""))</f>
        <v>45462</v>
      </c>
      <c r="O25" s="235">
        <f>IF(O24&lt;&gt;"",O24+1,IF(TEXT('일간 팔로워'!$J$1,"aaa")=$B25,'일간 팔로워'!$J$1,""))</f>
        <v>45462</v>
      </c>
      <c r="P25" s="42">
        <f>IFERROR(INDEX(visitors!$A$1:$Y$32,DAY(N25)+1,MATCH($N$2,visitors!$1:$1,0)),NA())</f>
        <v>30</v>
      </c>
      <c r="S25" s="1"/>
      <c r="T25" s="101"/>
      <c r="U25" s="76"/>
      <c r="W25" s="1"/>
      <c r="X25" s="101"/>
      <c r="Y25" s="76"/>
      <c r="AA25" s="1"/>
      <c r="AB25" s="101"/>
    </row>
    <row r="26" spans="1:28">
      <c r="A26" s="376"/>
      <c r="B26" s="89" t="s">
        <v>33</v>
      </c>
      <c r="C26" s="3">
        <v>45400</v>
      </c>
      <c r="D26" s="98">
        <v>45400</v>
      </c>
      <c r="E26" s="99">
        <v>47</v>
      </c>
      <c r="F26" s="3">
        <v>45428</v>
      </c>
      <c r="G26" s="98">
        <v>45428</v>
      </c>
      <c r="H26" s="99">
        <v>86</v>
      </c>
      <c r="I26" s="3">
        <v>45463</v>
      </c>
      <c r="J26" s="98">
        <v>45463</v>
      </c>
      <c r="K26" s="99">
        <v>55</v>
      </c>
      <c r="N26" s="32">
        <f>IF(N25&lt;&gt;"",N25+1,IF(TEXT('일간 팔로워'!$J$1,"aaa")=$B26,'일간 팔로워'!$J$1,""))</f>
        <v>45463</v>
      </c>
      <c r="O26" s="235">
        <f>IF(O25&lt;&gt;"",O25+1,IF(TEXT('일간 팔로워'!$J$1,"aaa")=$B26,'일간 팔로워'!$J$1,""))</f>
        <v>45463</v>
      </c>
      <c r="P26" s="42">
        <f>IFERROR(INDEX(visitors!$A$1:$Y$32,DAY(N26)+1,MATCH($N$2,visitors!$1:$1,0)),NA())</f>
        <v>7</v>
      </c>
      <c r="S26" s="1"/>
      <c r="T26" s="101"/>
      <c r="U26" s="76"/>
      <c r="W26" s="1"/>
      <c r="X26" s="101"/>
      <c r="Y26" s="76"/>
      <c r="AA26" s="1"/>
      <c r="AB26" s="101"/>
    </row>
    <row r="27" spans="1:28">
      <c r="A27" s="376"/>
      <c r="B27" s="89" t="s">
        <v>34</v>
      </c>
      <c r="C27" s="3">
        <v>45401</v>
      </c>
      <c r="D27" s="98">
        <v>45401</v>
      </c>
      <c r="E27" s="99">
        <v>30</v>
      </c>
      <c r="F27" s="3">
        <v>45429</v>
      </c>
      <c r="G27" s="98">
        <v>45429</v>
      </c>
      <c r="H27" s="99">
        <v>37</v>
      </c>
      <c r="I27" s="3">
        <v>45464</v>
      </c>
      <c r="J27" s="98">
        <v>45464</v>
      </c>
      <c r="K27" s="99">
        <v>37</v>
      </c>
      <c r="N27" s="32">
        <f>IF(N26&lt;&gt;"",N26+1,IF(TEXT('일간 팔로워'!$J$1,"aaa")=$B27,'일간 팔로워'!$J$1,""))</f>
        <v>45464</v>
      </c>
      <c r="O27" s="235">
        <f>IF(O26&lt;&gt;"",O26+1,IF(TEXT('일간 팔로워'!$J$1,"aaa")=$B27,'일간 팔로워'!$J$1,""))</f>
        <v>45464</v>
      </c>
      <c r="P27" s="42">
        <f>IFERROR(INDEX(visitors!$A$1:$Y$32,DAY(N27)+1,MATCH($N$2,visitors!$1:$1,0)),NA())</f>
        <v>7</v>
      </c>
      <c r="S27" s="1"/>
      <c r="T27" s="101"/>
      <c r="U27" s="76"/>
      <c r="W27" s="1"/>
      <c r="X27" s="101"/>
      <c r="Y27" s="76"/>
      <c r="AA27" s="1"/>
      <c r="AB27" s="101"/>
    </row>
    <row r="28" spans="1:28">
      <c r="A28" s="376"/>
      <c r="B28" s="89" t="s">
        <v>35</v>
      </c>
      <c r="C28" s="3">
        <v>45402</v>
      </c>
      <c r="D28" s="98">
        <v>45402</v>
      </c>
      <c r="E28" s="99">
        <v>7</v>
      </c>
      <c r="F28" s="3">
        <v>45430</v>
      </c>
      <c r="G28" s="98">
        <v>45430</v>
      </c>
      <c r="H28" s="99">
        <v>2</v>
      </c>
      <c r="I28" s="3">
        <v>45465</v>
      </c>
      <c r="J28" s="98">
        <v>45465</v>
      </c>
      <c r="K28" s="99">
        <v>7</v>
      </c>
      <c r="N28" s="32">
        <f>IF(N27&lt;&gt;"",N27+1,IF(TEXT('일간 팔로워'!$J$1,"aaa")=$B28,'일간 팔로워'!$J$1,""))</f>
        <v>45465</v>
      </c>
      <c r="O28" s="235">
        <f>IF(O27&lt;&gt;"",O27+1,IF(TEXT('일간 팔로워'!$J$1,"aaa")=$B28,'일간 팔로워'!$J$1,""))</f>
        <v>45465</v>
      </c>
      <c r="P28" s="42">
        <f>IFERROR(INDEX(visitors!$A$1:$Y$32,DAY(N28)+1,MATCH($N$2,visitors!$1:$1,0)),NA())</f>
        <v>59</v>
      </c>
      <c r="S28" s="1"/>
      <c r="T28" s="101"/>
      <c r="U28" s="76"/>
      <c r="W28" s="1"/>
      <c r="X28" s="101"/>
      <c r="Y28" s="76"/>
      <c r="AA28" s="1"/>
      <c r="AB28" s="101"/>
    </row>
    <row r="29" spans="1:28" ht="17.25" thickBot="1">
      <c r="A29" s="378"/>
      <c r="B29" s="102" t="s">
        <v>36</v>
      </c>
      <c r="C29" s="103">
        <v>45403</v>
      </c>
      <c r="D29" s="104">
        <v>45403</v>
      </c>
      <c r="E29" s="84">
        <v>7</v>
      </c>
      <c r="F29" s="103">
        <v>45431</v>
      </c>
      <c r="G29" s="104">
        <v>45431</v>
      </c>
      <c r="H29" s="84">
        <v>2</v>
      </c>
      <c r="I29" s="103">
        <v>45466</v>
      </c>
      <c r="J29" s="104">
        <v>45466</v>
      </c>
      <c r="K29" s="84">
        <v>14</v>
      </c>
      <c r="N29" s="228">
        <f>IF(N28&lt;&gt;"",N28+1,IF(TEXT('일간 팔로워'!$J$1,"aaa")=$B29,'일간 팔로워'!$J$1,""))</f>
        <v>45466</v>
      </c>
      <c r="O29" s="237">
        <f>IF(O28&lt;&gt;"",O28+1,IF(TEXT('일간 팔로워'!$J$1,"aaa")=$B29,'일간 팔로워'!$J$1,""))</f>
        <v>45466</v>
      </c>
      <c r="P29" s="44">
        <f>IFERROR(INDEX(visitors!$A$1:$Y$32,DAY(N29)+1,MATCH($N$2,visitors!$1:$1,0)),NA())</f>
        <v>76</v>
      </c>
      <c r="S29" s="1"/>
      <c r="T29" s="101"/>
      <c r="U29" s="76"/>
      <c r="W29" s="1"/>
      <c r="X29" s="101"/>
      <c r="Y29" s="76"/>
      <c r="AA29" s="1"/>
      <c r="AB29" s="101"/>
    </row>
    <row r="30" spans="1:28">
      <c r="A30" s="377" t="s">
        <v>38</v>
      </c>
      <c r="B30" s="94" t="s">
        <v>6</v>
      </c>
      <c r="C30" s="95">
        <v>45404</v>
      </c>
      <c r="D30" s="96">
        <v>45404</v>
      </c>
      <c r="E30" s="33">
        <v>59</v>
      </c>
      <c r="F30" s="95">
        <v>45432</v>
      </c>
      <c r="G30" s="96">
        <v>45432</v>
      </c>
      <c r="H30" s="33">
        <v>35</v>
      </c>
      <c r="I30" s="95">
        <v>45467</v>
      </c>
      <c r="J30" s="96">
        <v>45467</v>
      </c>
      <c r="K30" s="33">
        <v>124</v>
      </c>
      <c r="N30" s="97">
        <f>IF(N29&lt;&gt;"",N29+1,IF(TEXT('일간 팔로워'!$J$1,"aaa")=$B30,'일간 팔로워'!$J$1,""))</f>
        <v>45467</v>
      </c>
      <c r="O30" s="234">
        <f>IF(O29&lt;&gt;"",O29+1,IF(TEXT('일간 팔로워'!$J$1,"aaa")=$B30,'일간 팔로워'!$J$1,""))</f>
        <v>45467</v>
      </c>
      <c r="P30" s="23">
        <f>IFERROR(INDEX(visitors!$A$1:$Y$32,DAY(N30)+1,MATCH($N$2,visitors!$1:$1,0)),NA())</f>
        <v>123</v>
      </c>
      <c r="S30" s="1"/>
      <c r="T30" s="101"/>
      <c r="U30" s="76"/>
      <c r="W30" s="1"/>
      <c r="X30" s="101"/>
      <c r="Y30" s="76"/>
      <c r="AA30" s="1"/>
      <c r="AB30" s="101"/>
    </row>
    <row r="31" spans="1:28">
      <c r="A31" s="376"/>
      <c r="B31" s="89" t="s">
        <v>29</v>
      </c>
      <c r="C31" s="3">
        <v>45405</v>
      </c>
      <c r="D31" s="98">
        <v>45405</v>
      </c>
      <c r="E31" s="99">
        <v>76</v>
      </c>
      <c r="F31" s="3">
        <v>45433</v>
      </c>
      <c r="G31" s="98">
        <v>45433</v>
      </c>
      <c r="H31" s="99">
        <v>71</v>
      </c>
      <c r="I31" s="3">
        <v>45468</v>
      </c>
      <c r="J31" s="98">
        <v>45468</v>
      </c>
      <c r="K31" s="99">
        <v>102</v>
      </c>
      <c r="N31" s="32">
        <f>IF(N30&lt;&gt;"",N30+1,IF(TEXT('일간 팔로워'!$J$1,"aaa")=$B31,'일간 팔로워'!$J$1,""))</f>
        <v>45468</v>
      </c>
      <c r="O31" s="235">
        <f>IF(O30&lt;&gt;"",O30+1,IF(TEXT('일간 팔로워'!$J$1,"aaa")=$B31,'일간 팔로워'!$J$1,""))</f>
        <v>45468</v>
      </c>
      <c r="P31" s="42">
        <f>IFERROR(INDEX(visitors!$A$1:$Y$32,DAY(N31)+1,MATCH($N$2,visitors!$1:$1,0)),NA())</f>
        <v>75</v>
      </c>
      <c r="S31" s="1"/>
      <c r="T31" s="101"/>
      <c r="U31" s="76"/>
      <c r="W31" s="1"/>
      <c r="X31" s="101"/>
      <c r="Y31" s="76"/>
      <c r="AA31" s="1"/>
      <c r="AB31" s="101"/>
    </row>
    <row r="32" spans="1:28">
      <c r="A32" s="376"/>
      <c r="B32" s="89" t="s">
        <v>30</v>
      </c>
      <c r="C32" s="3">
        <v>45406</v>
      </c>
      <c r="D32" s="98">
        <v>45406</v>
      </c>
      <c r="E32" s="99">
        <v>123</v>
      </c>
      <c r="F32" s="3">
        <v>45434</v>
      </c>
      <c r="G32" s="98">
        <v>45434</v>
      </c>
      <c r="H32" s="99">
        <v>59</v>
      </c>
      <c r="I32" s="3">
        <v>45469</v>
      </c>
      <c r="J32" s="98">
        <v>45469</v>
      </c>
      <c r="K32" s="99">
        <v>58</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33</v>
      </c>
      <c r="S32" s="1"/>
      <c r="T32" s="101"/>
      <c r="U32" s="76"/>
      <c r="W32" s="1"/>
      <c r="X32" s="101"/>
      <c r="Y32" s="76"/>
      <c r="AA32" s="1"/>
      <c r="AB32" s="101"/>
    </row>
    <row r="33" spans="1:28">
      <c r="A33" s="376"/>
      <c r="B33" s="89" t="s">
        <v>33</v>
      </c>
      <c r="C33" s="3">
        <v>45407</v>
      </c>
      <c r="D33" s="98">
        <v>45407</v>
      </c>
      <c r="E33" s="99">
        <v>75</v>
      </c>
      <c r="F33" s="3">
        <v>45435</v>
      </c>
      <c r="G33" s="98">
        <v>45435</v>
      </c>
      <c r="H33" s="99">
        <v>88</v>
      </c>
      <c r="I33" s="3">
        <v>45470</v>
      </c>
      <c r="J33" s="98">
        <v>45470</v>
      </c>
      <c r="K33" s="99">
        <v>209</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4</v>
      </c>
      <c r="S33" s="1"/>
      <c r="T33" s="101"/>
      <c r="U33" s="76"/>
      <c r="W33" s="1"/>
      <c r="X33" s="101"/>
      <c r="Y33" s="76"/>
      <c r="AA33" s="1"/>
      <c r="AB33" s="101"/>
    </row>
    <row r="34" spans="1:28">
      <c r="A34" s="376"/>
      <c r="B34" s="89" t="s">
        <v>34</v>
      </c>
      <c r="C34" s="3">
        <v>45408</v>
      </c>
      <c r="D34" s="98">
        <v>45408</v>
      </c>
      <c r="E34" s="99">
        <v>33</v>
      </c>
      <c r="F34" s="3">
        <v>45436</v>
      </c>
      <c r="G34" s="98">
        <v>45436</v>
      </c>
      <c r="H34" s="99">
        <v>69</v>
      </c>
      <c r="I34" s="3">
        <v>45471</v>
      </c>
      <c r="J34" s="98">
        <v>45471</v>
      </c>
      <c r="K34" s="99">
        <v>111</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5</v>
      </c>
      <c r="S34" s="1"/>
      <c r="T34" s="101"/>
      <c r="U34" s="76"/>
      <c r="W34" s="1"/>
      <c r="X34" s="101"/>
      <c r="Y34" s="76"/>
      <c r="AA34" s="1"/>
      <c r="AB34" s="101"/>
    </row>
    <row r="35" spans="1:28">
      <c r="A35" s="376"/>
      <c r="B35" s="89" t="s">
        <v>35</v>
      </c>
      <c r="C35" s="3">
        <v>45409</v>
      </c>
      <c r="D35" s="98">
        <v>45409</v>
      </c>
      <c r="E35" s="99">
        <v>4</v>
      </c>
      <c r="F35" s="3">
        <v>45437</v>
      </c>
      <c r="G35" s="98">
        <v>45437</v>
      </c>
      <c r="H35" s="99">
        <v>11</v>
      </c>
      <c r="I35" s="3">
        <v>45472</v>
      </c>
      <c r="J35" s="98">
        <v>45472</v>
      </c>
      <c r="K35" s="99">
        <v>10</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24</v>
      </c>
      <c r="S35" s="1"/>
      <c r="T35" s="101"/>
      <c r="U35" s="76"/>
      <c r="W35" s="1"/>
      <c r="X35" s="101"/>
      <c r="Y35" s="76"/>
      <c r="AA35" s="1"/>
      <c r="AB35" s="101"/>
    </row>
    <row r="36" spans="1:28" ht="17.25" thickBot="1">
      <c r="A36" s="378"/>
      <c r="B36" s="102" t="s">
        <v>36</v>
      </c>
      <c r="C36" s="103">
        <v>45410</v>
      </c>
      <c r="D36" s="104">
        <v>45410</v>
      </c>
      <c r="E36" s="84">
        <v>5</v>
      </c>
      <c r="F36" s="103">
        <v>45438</v>
      </c>
      <c r="G36" s="104">
        <v>45438</v>
      </c>
      <c r="H36" s="84">
        <v>5</v>
      </c>
      <c r="I36" s="103">
        <v>45473</v>
      </c>
      <c r="J36" s="104">
        <v>45473</v>
      </c>
      <c r="K36" s="84">
        <v>14</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74</v>
      </c>
      <c r="S36" s="1"/>
      <c r="T36" s="101"/>
      <c r="U36" s="76"/>
      <c r="W36" s="1"/>
      <c r="X36" s="101"/>
      <c r="Y36" s="76"/>
      <c r="AA36" s="1"/>
      <c r="AB36" s="101"/>
    </row>
    <row r="37" spans="1:28">
      <c r="A37" s="377" t="s">
        <v>40</v>
      </c>
      <c r="B37" s="94" t="s">
        <v>6</v>
      </c>
      <c r="C37" s="95">
        <v>45411</v>
      </c>
      <c r="D37" s="96">
        <v>45411</v>
      </c>
      <c r="E37" s="33">
        <v>24</v>
      </c>
      <c r="F37" s="95">
        <v>45439</v>
      </c>
      <c r="G37" s="96">
        <v>45439</v>
      </c>
      <c r="H37" s="33">
        <v>39</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row>
    <row r="38" spans="1:28">
      <c r="A38" s="376"/>
      <c r="B38" s="89" t="s">
        <v>29</v>
      </c>
      <c r="C38" s="3">
        <v>45412</v>
      </c>
      <c r="D38" s="98">
        <v>45412</v>
      </c>
      <c r="E38" s="99">
        <v>74</v>
      </c>
      <c r="F38" s="3">
        <v>45440</v>
      </c>
      <c r="G38" s="98">
        <v>45440</v>
      </c>
      <c r="H38" s="99">
        <v>70</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row>
    <row r="39" spans="1:28">
      <c r="A39" s="376"/>
      <c r="B39" s="89" t="s">
        <v>30</v>
      </c>
      <c r="C39" s="3" t="s">
        <v>39</v>
      </c>
      <c r="D39" s="98" t="s">
        <v>39</v>
      </c>
      <c r="E39" s="99" t="e">
        <v>#N/A</v>
      </c>
      <c r="F39" s="3">
        <v>45441</v>
      </c>
      <c r="G39" s="98">
        <v>45441</v>
      </c>
      <c r="H39" s="99">
        <v>49</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row>
    <row r="40" spans="1:28">
      <c r="A40" s="376"/>
      <c r="B40" s="89" t="s">
        <v>33</v>
      </c>
      <c r="C40" s="3" t="s">
        <v>39</v>
      </c>
      <c r="D40" s="98" t="s">
        <v>39</v>
      </c>
      <c r="E40" s="99" t="e">
        <v>#N/A</v>
      </c>
      <c r="F40" s="3">
        <v>45442</v>
      </c>
      <c r="G40" s="98">
        <v>45442</v>
      </c>
      <c r="H40" s="99">
        <v>73</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row>
    <row r="41" spans="1:28" ht="17.25" thickBot="1">
      <c r="A41" s="378"/>
      <c r="B41" s="102" t="s">
        <v>34</v>
      </c>
      <c r="C41" s="103" t="s">
        <v>39</v>
      </c>
      <c r="D41" s="104" t="s">
        <v>39</v>
      </c>
      <c r="E41" s="84" t="e">
        <v>#N/A</v>
      </c>
      <c r="F41" s="103">
        <v>45443</v>
      </c>
      <c r="G41" s="104">
        <v>45443</v>
      </c>
      <c r="H41" s="84">
        <v>51</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28">
      <c r="A44" s="75"/>
    </row>
    <row r="45" spans="1:28">
      <c r="A45" s="75"/>
    </row>
    <row r="46" spans="1:28">
      <c r="A46" s="75"/>
    </row>
    <row r="47" spans="1:28">
      <c r="A47" s="75"/>
    </row>
    <row r="48" spans="1:28">
      <c r="A48" s="75"/>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4653E-4543-4773-80C7-C0F63DE82128}">
  <sheetPr>
    <tabColor theme="9" tint="0.79998168889431442"/>
  </sheetPr>
  <dimension ref="A1:AN48"/>
  <sheetViews>
    <sheetView topLeftCell="E1" zoomScale="70" zoomScaleNormal="70" workbookViewId="0">
      <selection activeCell="AL23" sqref="AL23"/>
    </sheetView>
  </sheetViews>
  <sheetFormatPr defaultRowHeight="16.5"/>
  <cols>
    <col min="3" max="3" width="11.125" customWidth="1"/>
    <col min="4" max="4" width="5.75" style="76" customWidth="1"/>
    <col min="6" max="6" width="11.125" customWidth="1"/>
    <col min="7" max="7" width="5.75" style="76" customWidth="1"/>
    <col min="9" max="9" width="11.125" customWidth="1"/>
    <col min="10" max="10" width="5.75" style="76" customWidth="1"/>
    <col min="11" max="11" width="7.375" customWidth="1"/>
    <col min="14" max="14" width="12.25" bestFit="1" customWidth="1"/>
    <col min="19" max="19" width="10.75" bestFit="1" customWidth="1"/>
    <col min="20" max="20" width="10.75" customWidth="1"/>
    <col min="23" max="23" width="10.75" bestFit="1" customWidth="1"/>
    <col min="27" max="27" width="10.75" bestFit="1" customWidth="1"/>
    <col min="35" max="35" width="9.5" bestFit="1" customWidth="1"/>
    <col min="39" max="39" width="10.75" bestFit="1" customWidth="1"/>
  </cols>
  <sheetData>
    <row r="1" spans="1:40" s="75" customFormat="1"/>
    <row r="2" spans="1:40" ht="17.25" thickBot="1">
      <c r="N2" t="s">
        <v>16</v>
      </c>
    </row>
    <row r="3" spans="1:40" ht="17.25" thickBot="1">
      <c r="A3" s="77"/>
      <c r="B3" s="78"/>
      <c r="C3" s="380" t="s">
        <v>681</v>
      </c>
      <c r="D3" s="371"/>
      <c r="E3" s="379"/>
      <c r="F3" s="370" t="s">
        <v>682</v>
      </c>
      <c r="G3" s="371"/>
      <c r="H3" s="379"/>
      <c r="I3" s="370" t="s">
        <v>807</v>
      </c>
      <c r="J3" s="371"/>
      <c r="K3" s="372"/>
      <c r="N3" s="373" t="s">
        <v>17</v>
      </c>
      <c r="O3" s="374"/>
      <c r="P3" s="375"/>
    </row>
    <row r="4" spans="1:40" ht="17.25" thickBot="1">
      <c r="A4" s="79" t="s">
        <v>18</v>
      </c>
      <c r="B4" s="80" t="s">
        <v>19</v>
      </c>
      <c r="C4" s="81" t="s">
        <v>10</v>
      </c>
      <c r="D4" s="82" t="s">
        <v>20</v>
      </c>
      <c r="E4" s="83" t="s">
        <v>21</v>
      </c>
      <c r="F4" s="81" t="s">
        <v>10</v>
      </c>
      <c r="G4" s="82" t="s">
        <v>20</v>
      </c>
      <c r="H4" s="83" t="s">
        <v>21</v>
      </c>
      <c r="I4" s="81" t="s">
        <v>10</v>
      </c>
      <c r="J4" s="82" t="s">
        <v>20</v>
      </c>
      <c r="K4" s="84" t="s">
        <v>21</v>
      </c>
      <c r="N4" s="85" t="s">
        <v>22</v>
      </c>
      <c r="O4" s="232" t="s">
        <v>19</v>
      </c>
      <c r="P4" s="233" t="s">
        <v>23</v>
      </c>
    </row>
    <row r="5" spans="1:40">
      <c r="A5" s="376"/>
      <c r="B5" s="86" t="s">
        <v>24</v>
      </c>
      <c r="C5" s="9" t="s">
        <v>39</v>
      </c>
      <c r="D5" s="87" t="s">
        <v>39</v>
      </c>
      <c r="E5" s="88" t="e">
        <v>#N/A</v>
      </c>
      <c r="F5" s="9" t="s">
        <v>39</v>
      </c>
      <c r="G5" s="87" t="s">
        <v>39</v>
      </c>
      <c r="H5" s="88" t="e">
        <v>#N/A</v>
      </c>
      <c r="I5" s="9" t="s">
        <v>39</v>
      </c>
      <c r="J5" s="87" t="s">
        <v>39</v>
      </c>
      <c r="K5" s="88" t="e">
        <v>#N/A</v>
      </c>
      <c r="N5" s="229" t="str">
        <f>IF(TEXT('일간 팔로워'!$J$1,"aaa")=$B5,'일간 팔로워'!$J$1,"")</f>
        <v/>
      </c>
      <c r="O5" s="234" t="str">
        <f>IF(TEXT('일간 팔로워'!$J$1,"aaa")=$B5,'일간 팔로워'!$J$1,"")</f>
        <v/>
      </c>
      <c r="P5" s="23" t="e">
        <f>IFERROR(INDEX(visitors!$A$1:$Y$32,DAY(N5)+1,MATCH($N$2,visitors!$1:$1,0)),NA())</f>
        <v>#N/A</v>
      </c>
    </row>
    <row r="6" spans="1:40">
      <c r="A6" s="376"/>
      <c r="B6" s="89" t="s">
        <v>25</v>
      </c>
      <c r="C6" s="9" t="s">
        <v>39</v>
      </c>
      <c r="D6" s="87" t="s">
        <v>39</v>
      </c>
      <c r="E6" s="88" t="e">
        <v>#N/A</v>
      </c>
      <c r="F6" s="9" t="s">
        <v>39</v>
      </c>
      <c r="G6" s="87" t="s">
        <v>39</v>
      </c>
      <c r="H6" s="88" t="e">
        <v>#N/A</v>
      </c>
      <c r="I6" s="9" t="s">
        <v>39</v>
      </c>
      <c r="J6" s="87" t="s">
        <v>39</v>
      </c>
      <c r="K6" s="88" t="e">
        <v>#N/A</v>
      </c>
      <c r="N6" s="230" t="str">
        <f>IF(N5&lt;&gt;"",N5+1,IF(TEXT('일간 팔로워'!$J$1,"aaa")=$B6,'일간 팔로워'!$J$1,""))</f>
        <v/>
      </c>
      <c r="O6" s="235" t="str">
        <f>IF(O5&lt;&gt;"",O5+1,IF(TEXT('일간 팔로워'!$J$1,"aaa")=$B6,'일간 팔로워'!$J$1,""))</f>
        <v/>
      </c>
      <c r="P6" s="42" t="e">
        <f>IFERROR(INDEX(visitors!$A$1:$Y$32,DAY(N6)+1,MATCH($N$2,visitors!$1:$1,0)),NA())</f>
        <v>#N/A</v>
      </c>
    </row>
    <row r="7" spans="1:40">
      <c r="A7" s="376"/>
      <c r="B7" s="89" t="s">
        <v>26</v>
      </c>
      <c r="C7" s="9" t="s">
        <v>39</v>
      </c>
      <c r="D7" s="87" t="s">
        <v>39</v>
      </c>
      <c r="E7" s="88" t="e">
        <v>#N/A</v>
      </c>
      <c r="F7" s="9" t="s">
        <v>39</v>
      </c>
      <c r="G7" s="87" t="s">
        <v>39</v>
      </c>
      <c r="H7" s="88" t="e">
        <v>#N/A</v>
      </c>
      <c r="I7" s="9">
        <v>45444</v>
      </c>
      <c r="J7" s="87">
        <v>45444</v>
      </c>
      <c r="K7" s="88">
        <v>25</v>
      </c>
      <c r="N7" s="230">
        <f>IF(N6&lt;&gt;"",N6+1,IF(TEXT('일간 팔로워'!$J$1,"aaa")=$B7,'일간 팔로워'!$J$1,""))</f>
        <v>45444</v>
      </c>
      <c r="O7" s="235">
        <f>IF(O6&lt;&gt;"",O6+1,IF(TEXT('일간 팔로워'!$J$1,"aaa")=$B7,'일간 팔로워'!$J$1,""))</f>
        <v>45444</v>
      </c>
      <c r="P7" s="42">
        <f>IFERROR(INDEX(visitors!$A$1:$Y$32,DAY(N7)+1,MATCH($N$2,visitors!$1:$1,0)),NA())</f>
        <v>60</v>
      </c>
    </row>
    <row r="8" spans="1:40" ht="17.25" thickBot="1">
      <c r="A8" s="376"/>
      <c r="B8" s="90" t="s">
        <v>27</v>
      </c>
      <c r="C8" s="91" t="s">
        <v>39</v>
      </c>
      <c r="D8" s="92" t="s">
        <v>39</v>
      </c>
      <c r="E8" s="93" t="e">
        <v>#N/A</v>
      </c>
      <c r="F8" s="91" t="s">
        <v>39</v>
      </c>
      <c r="G8" s="92" t="s">
        <v>39</v>
      </c>
      <c r="H8" s="93" t="e">
        <v>#N/A</v>
      </c>
      <c r="I8" s="91">
        <v>45445</v>
      </c>
      <c r="J8" s="92">
        <v>45445</v>
      </c>
      <c r="K8" s="93">
        <v>35</v>
      </c>
      <c r="N8" s="231">
        <f>IF(N7&lt;&gt;"",N7+1,IF(TEXT('일간 팔로워'!$J$1,"aaa")=$B8,'일간 팔로워'!$J$1,""))</f>
        <v>45445</v>
      </c>
      <c r="O8" s="237">
        <f>IF(O7&lt;&gt;"",O7+1,IF(TEXT('일간 팔로워'!$J$1,"aaa")=$B8,'일간 팔로워'!$J$1,""))</f>
        <v>45445</v>
      </c>
      <c r="P8" s="44">
        <f>IFERROR(INDEX(visitors!$A$1:$Y$32,DAY(N8)+1,MATCH($N$2,visitors!$1:$1,0)),NA())</f>
        <v>56</v>
      </c>
    </row>
    <row r="9" spans="1:40">
      <c r="A9" s="377" t="s">
        <v>28</v>
      </c>
      <c r="B9" s="94" t="s">
        <v>6</v>
      </c>
      <c r="C9" s="95">
        <v>45383</v>
      </c>
      <c r="D9" s="96">
        <v>45383</v>
      </c>
      <c r="E9" s="33">
        <v>60</v>
      </c>
      <c r="F9" s="95" t="s">
        <v>39</v>
      </c>
      <c r="G9" s="96" t="s">
        <v>39</v>
      </c>
      <c r="H9" s="33" t="e">
        <v>#N/A</v>
      </c>
      <c r="I9" s="95">
        <v>45446</v>
      </c>
      <c r="J9" s="96">
        <v>45446</v>
      </c>
      <c r="K9" s="33">
        <v>107</v>
      </c>
      <c r="N9" s="229">
        <f>IF(N8&lt;&gt;"",N8+1,IF(TEXT('일간 팔로워'!$J$1,"aaa")=$B9,'일간 팔로워'!$J$1,""))</f>
        <v>45446</v>
      </c>
      <c r="O9" s="234">
        <f>IF(O8&lt;&gt;"",O8+1,IF(TEXT('일간 팔로워'!$J$1,"aaa")=$B9,'일간 팔로워'!$J$1,""))</f>
        <v>45446</v>
      </c>
      <c r="P9" s="23">
        <f>IFERROR(INDEX(visitors!$A$1:$Y$32,DAY(N9)+1,MATCH($N$2,visitors!$1:$1,0)),NA())</f>
        <v>70</v>
      </c>
    </row>
    <row r="10" spans="1:40">
      <c r="A10" s="376"/>
      <c r="B10" s="89" t="s">
        <v>29</v>
      </c>
      <c r="C10" s="3">
        <v>45384</v>
      </c>
      <c r="D10" s="98">
        <v>45384</v>
      </c>
      <c r="E10" s="99">
        <v>56</v>
      </c>
      <c r="F10" s="3" t="s">
        <v>39</v>
      </c>
      <c r="G10" s="98" t="s">
        <v>39</v>
      </c>
      <c r="H10" s="99" t="e">
        <v>#N/A</v>
      </c>
      <c r="I10" s="3">
        <v>45447</v>
      </c>
      <c r="J10" s="98">
        <v>45447</v>
      </c>
      <c r="K10" s="99">
        <v>50</v>
      </c>
      <c r="N10" s="230">
        <f>IF(N9&lt;&gt;"",N9+1,IF(TEXT('일간 팔로워'!$J$1,"aaa")=$B10,'일간 팔로워'!$J$1,""))</f>
        <v>45447</v>
      </c>
      <c r="O10" s="235">
        <f>IF(O9&lt;&gt;"",O9+1,IF(TEXT('일간 팔로워'!$J$1,"aaa")=$B10,'일간 팔로워'!$J$1,""))</f>
        <v>45447</v>
      </c>
      <c r="P10" s="42">
        <f>IFERROR(INDEX(visitors!$A$1:$Y$32,DAY(N10)+1,MATCH($N$2,visitors!$1:$1,0)),NA())</f>
        <v>57</v>
      </c>
      <c r="AI10" s="1"/>
      <c r="AJ10" s="100"/>
      <c r="AK10" s="76"/>
      <c r="AM10" s="1"/>
      <c r="AN10" s="100"/>
    </row>
    <row r="11" spans="1:40">
      <c r="A11" s="376"/>
      <c r="B11" s="89" t="s">
        <v>30</v>
      </c>
      <c r="C11" s="3">
        <v>45385</v>
      </c>
      <c r="D11" s="98">
        <v>45385</v>
      </c>
      <c r="E11" s="99">
        <v>70</v>
      </c>
      <c r="F11" s="3">
        <v>45413</v>
      </c>
      <c r="G11" s="98">
        <v>45413</v>
      </c>
      <c r="H11" s="99">
        <v>75</v>
      </c>
      <c r="I11" s="3">
        <v>45448</v>
      </c>
      <c r="J11" s="98">
        <v>45448</v>
      </c>
      <c r="K11" s="99">
        <v>94</v>
      </c>
      <c r="N11" s="230">
        <f>IF(N10&lt;&gt;"",N10+1,IF(TEXT('일간 팔로워'!$J$1,"aaa")=$B11,'일간 팔로워'!$J$1,""))</f>
        <v>45448</v>
      </c>
      <c r="O11" s="235">
        <f>IF(O10&lt;&gt;"",O10+1,IF(TEXT('일간 팔로워'!$J$1,"aaa")=$B11,'일간 팔로워'!$J$1,""))</f>
        <v>45448</v>
      </c>
      <c r="P11" s="42">
        <f>IFERROR(INDEX(visitors!$A$1:$Y$32,DAY(N11)+1,MATCH($N$2,visitors!$1:$1,0)),NA())</f>
        <v>109</v>
      </c>
      <c r="AI11" s="1"/>
      <c r="AJ11" s="100"/>
      <c r="AK11" s="76"/>
      <c r="AM11" s="1"/>
      <c r="AN11" s="100"/>
    </row>
    <row r="12" spans="1:40">
      <c r="A12" s="376"/>
      <c r="B12" s="89" t="s">
        <v>24</v>
      </c>
      <c r="C12" s="3">
        <v>45386</v>
      </c>
      <c r="D12" s="98">
        <v>45386</v>
      </c>
      <c r="E12" s="99">
        <v>57</v>
      </c>
      <c r="F12" s="3">
        <v>45414</v>
      </c>
      <c r="G12" s="98">
        <v>45414</v>
      </c>
      <c r="H12" s="99">
        <v>39</v>
      </c>
      <c r="I12" s="3">
        <v>45449</v>
      </c>
      <c r="J12" s="98">
        <v>45449</v>
      </c>
      <c r="K12" s="99">
        <v>50</v>
      </c>
      <c r="N12" s="230">
        <f>IF(N11&lt;&gt;"",N11+1,IF(TEXT('일간 팔로워'!$J$1,"aaa")=$B12,'일간 팔로워'!$J$1,""))</f>
        <v>45449</v>
      </c>
      <c r="O12" s="235">
        <f>IF(O11&lt;&gt;"",O11+1,IF(TEXT('일간 팔로워'!$J$1,"aaa")=$B12,'일간 팔로워'!$J$1,""))</f>
        <v>45449</v>
      </c>
      <c r="P12" s="42">
        <f>IFERROR(INDEX(visitors!$A$1:$Y$32,DAY(N12)+1,MATCH($N$2,visitors!$1:$1,0)),NA())</f>
        <v>59</v>
      </c>
      <c r="AI12" s="1"/>
      <c r="AJ12" s="100"/>
      <c r="AK12" s="76"/>
      <c r="AM12" s="1"/>
      <c r="AN12" s="100"/>
    </row>
    <row r="13" spans="1:40">
      <c r="A13" s="376"/>
      <c r="B13" s="89" t="s">
        <v>25</v>
      </c>
      <c r="C13" s="3">
        <v>45387</v>
      </c>
      <c r="D13" s="98">
        <v>45387</v>
      </c>
      <c r="E13" s="99">
        <v>109</v>
      </c>
      <c r="F13" s="3">
        <v>45415</v>
      </c>
      <c r="G13" s="98">
        <v>45415</v>
      </c>
      <c r="H13" s="99">
        <v>94</v>
      </c>
      <c r="I13" s="3">
        <v>45450</v>
      </c>
      <c r="J13" s="98">
        <v>45450</v>
      </c>
      <c r="K13" s="99">
        <v>37</v>
      </c>
      <c r="N13" s="230">
        <f>IF(N12&lt;&gt;"",N12+1,IF(TEXT('일간 팔로워'!$J$1,"aaa")=$B13,'일간 팔로워'!$J$1,""))</f>
        <v>45450</v>
      </c>
      <c r="O13" s="235">
        <f>IF(O12&lt;&gt;"",O12+1,IF(TEXT('일간 팔로워'!$J$1,"aaa")=$B13,'일간 팔로워'!$J$1,""))</f>
        <v>45450</v>
      </c>
      <c r="P13" s="42">
        <f>IFERROR(INDEX(visitors!$A$1:$Y$32,DAY(N13)+1,MATCH($N$2,visitors!$1:$1,0)),NA())</f>
        <v>54</v>
      </c>
      <c r="S13" s="1"/>
      <c r="T13" s="101"/>
      <c r="U13" s="76"/>
      <c r="W13" s="1"/>
      <c r="X13" s="101"/>
      <c r="Y13" s="76"/>
      <c r="AA13" s="1"/>
      <c r="AB13" s="101"/>
      <c r="AI13" s="1"/>
      <c r="AJ13" s="100"/>
      <c r="AK13" s="76"/>
      <c r="AM13" s="1"/>
      <c r="AN13" s="100"/>
    </row>
    <row r="14" spans="1:40">
      <c r="A14" s="376"/>
      <c r="B14" s="89" t="s">
        <v>26</v>
      </c>
      <c r="C14" s="3">
        <v>45388</v>
      </c>
      <c r="D14" s="98">
        <v>45388</v>
      </c>
      <c r="E14" s="99">
        <v>59</v>
      </c>
      <c r="F14" s="3">
        <v>45416</v>
      </c>
      <c r="G14" s="98">
        <v>45416</v>
      </c>
      <c r="H14" s="99">
        <v>39</v>
      </c>
      <c r="I14" s="3">
        <v>45451</v>
      </c>
      <c r="J14" s="98">
        <v>45451</v>
      </c>
      <c r="K14" s="99">
        <v>13</v>
      </c>
      <c r="N14" s="230">
        <f>IF(N13&lt;&gt;"",N13+1,IF(TEXT('일간 팔로워'!$J$1,"aaa")=$B14,'일간 팔로워'!$J$1,""))</f>
        <v>45451</v>
      </c>
      <c r="O14" s="235">
        <f>IF(O13&lt;&gt;"",O13+1,IF(TEXT('일간 팔로워'!$J$1,"aaa")=$B14,'일간 팔로워'!$J$1,""))</f>
        <v>45451</v>
      </c>
      <c r="P14" s="42">
        <f>IFERROR(INDEX(visitors!$A$1:$Y$32,DAY(N14)+1,MATCH($N$2,visitors!$1:$1,0)),NA())</f>
        <v>61</v>
      </c>
      <c r="S14" s="1"/>
      <c r="T14" s="101"/>
      <c r="U14" s="76"/>
      <c r="W14" s="1"/>
      <c r="X14" s="101"/>
      <c r="Y14" s="76"/>
      <c r="AA14" s="1"/>
      <c r="AB14" s="101"/>
      <c r="AI14" s="1"/>
      <c r="AJ14" s="100"/>
      <c r="AK14" s="76"/>
      <c r="AM14" s="1"/>
      <c r="AN14" s="100"/>
    </row>
    <row r="15" spans="1:40" ht="17.25" thickBot="1">
      <c r="A15" s="378"/>
      <c r="B15" s="102" t="s">
        <v>27</v>
      </c>
      <c r="C15" s="103">
        <v>45389</v>
      </c>
      <c r="D15" s="104">
        <v>45389</v>
      </c>
      <c r="E15" s="84">
        <v>54</v>
      </c>
      <c r="F15" s="103">
        <v>45417</v>
      </c>
      <c r="G15" s="104">
        <v>45417</v>
      </c>
      <c r="H15" s="84">
        <v>28</v>
      </c>
      <c r="I15" s="103">
        <v>45452</v>
      </c>
      <c r="J15" s="104">
        <v>45452</v>
      </c>
      <c r="K15" s="84">
        <v>12</v>
      </c>
      <c r="N15" s="231">
        <f>IF(N14&lt;&gt;"",N14+1,IF(TEXT('일간 팔로워'!$J$1,"aaa")=$B15,'일간 팔로워'!$J$1,""))</f>
        <v>45452</v>
      </c>
      <c r="O15" s="237">
        <f>IF(O14&lt;&gt;"",O14+1,IF(TEXT('일간 팔로워'!$J$1,"aaa")=$B15,'일간 팔로워'!$J$1,""))</f>
        <v>45452</v>
      </c>
      <c r="P15" s="44">
        <f>IFERROR(INDEX(visitors!$A$1:$Y$32,DAY(N15)+1,MATCH($N$2,visitors!$1:$1,0)),NA())</f>
        <v>472</v>
      </c>
      <c r="S15" s="1"/>
      <c r="T15" s="101"/>
      <c r="U15" s="76"/>
      <c r="W15" s="1"/>
      <c r="X15" s="101"/>
      <c r="Y15" s="76"/>
      <c r="AA15" s="1"/>
      <c r="AB15" s="101"/>
      <c r="AI15" s="1"/>
      <c r="AJ15" s="100"/>
      <c r="AK15" s="76"/>
      <c r="AM15" s="1"/>
      <c r="AN15" s="100"/>
    </row>
    <row r="16" spans="1:40">
      <c r="A16" s="377" t="s">
        <v>31</v>
      </c>
      <c r="B16" s="94" t="s">
        <v>7</v>
      </c>
      <c r="C16" s="95">
        <v>45390</v>
      </c>
      <c r="D16" s="96">
        <v>45390</v>
      </c>
      <c r="E16" s="33">
        <v>61</v>
      </c>
      <c r="F16" s="95">
        <v>45418</v>
      </c>
      <c r="G16" s="96">
        <v>45418</v>
      </c>
      <c r="H16" s="33">
        <v>20</v>
      </c>
      <c r="I16" s="95">
        <v>45453</v>
      </c>
      <c r="J16" s="96">
        <v>45453</v>
      </c>
      <c r="K16" s="33">
        <v>27</v>
      </c>
      <c r="N16" s="97">
        <f>IF(N15&lt;&gt;"",N15+1,IF(TEXT('일간 팔로워'!$J$1,"aaa")=$B16,'일간 팔로워'!$J$1,""))</f>
        <v>45453</v>
      </c>
      <c r="O16" s="234">
        <f>IF(O15&lt;&gt;"",O15+1,IF(TEXT('일간 팔로워'!$J$1,"aaa")=$B16,'일간 팔로워'!$J$1,""))</f>
        <v>45453</v>
      </c>
      <c r="P16" s="23">
        <f>IFERROR(INDEX(visitors!$A$1:$Y$32,DAY(N16)+1,MATCH($N$2,visitors!$1:$1,0)),NA())</f>
        <v>43</v>
      </c>
      <c r="S16" s="1"/>
      <c r="T16" s="101"/>
      <c r="U16" s="76"/>
      <c r="W16" s="1"/>
      <c r="X16" s="101"/>
      <c r="Y16" s="76"/>
      <c r="AA16" s="1"/>
      <c r="AB16" s="101"/>
      <c r="AI16" s="1"/>
      <c r="AJ16" s="100"/>
      <c r="AK16" s="76"/>
      <c r="AM16" s="1"/>
      <c r="AN16" s="100"/>
    </row>
    <row r="17" spans="1:40">
      <c r="A17" s="376"/>
      <c r="B17" s="89" t="s">
        <v>32</v>
      </c>
      <c r="C17" s="3">
        <v>45391</v>
      </c>
      <c r="D17" s="98">
        <v>45391</v>
      </c>
      <c r="E17" s="99">
        <v>472</v>
      </c>
      <c r="F17" s="3">
        <v>45419</v>
      </c>
      <c r="G17" s="98">
        <v>45419</v>
      </c>
      <c r="H17" s="99">
        <v>479</v>
      </c>
      <c r="I17" s="3">
        <v>45454</v>
      </c>
      <c r="J17" s="98">
        <v>45454</v>
      </c>
      <c r="K17" s="99">
        <v>43</v>
      </c>
      <c r="N17" s="32">
        <f>IF(N16&lt;&gt;"",N16+1,IF(TEXT('일간 팔로워'!$J$1,"aaa")=$B17,'일간 팔로워'!$J$1,""))</f>
        <v>45454</v>
      </c>
      <c r="O17" s="235">
        <f>IF(O16&lt;&gt;"",O16+1,IF(TEXT('일간 팔로워'!$J$1,"aaa")=$B17,'일간 팔로워'!$J$1,""))</f>
        <v>45454</v>
      </c>
      <c r="P17" s="42">
        <f>IFERROR(INDEX(visitors!$A$1:$Y$32,DAY(N17)+1,MATCH($N$2,visitors!$1:$1,0)),NA())</f>
        <v>54</v>
      </c>
      <c r="S17" s="1"/>
      <c r="T17" s="101"/>
      <c r="U17" s="76"/>
      <c r="W17" s="1"/>
      <c r="X17" s="101"/>
      <c r="Y17" s="76"/>
      <c r="AA17" s="1"/>
      <c r="AB17" s="101"/>
      <c r="AI17" s="1"/>
      <c r="AJ17" s="100"/>
      <c r="AK17" s="76"/>
      <c r="AM17" s="1"/>
      <c r="AN17" s="100"/>
    </row>
    <row r="18" spans="1:40">
      <c r="A18" s="376"/>
      <c r="B18" s="89" t="s">
        <v>30</v>
      </c>
      <c r="C18" s="3">
        <v>45392</v>
      </c>
      <c r="D18" s="98">
        <v>45392</v>
      </c>
      <c r="E18" s="99">
        <v>43</v>
      </c>
      <c r="F18" s="3">
        <v>45420</v>
      </c>
      <c r="G18" s="98">
        <v>45420</v>
      </c>
      <c r="H18" s="99">
        <v>169</v>
      </c>
      <c r="I18" s="3">
        <v>45455</v>
      </c>
      <c r="J18" s="98">
        <v>45455</v>
      </c>
      <c r="K18" s="99">
        <v>37</v>
      </c>
      <c r="N18" s="32">
        <f>IF(N17&lt;&gt;"",N17+1,IF(TEXT('일간 팔로워'!$J$1,"aaa")=$B18,'일간 팔로워'!$J$1,""))</f>
        <v>45455</v>
      </c>
      <c r="O18" s="235">
        <f>IF(O17&lt;&gt;"",O17+1,IF(TEXT('일간 팔로워'!$J$1,"aaa")=$B18,'일간 팔로워'!$J$1,""))</f>
        <v>45455</v>
      </c>
      <c r="P18" s="42">
        <f>IFERROR(INDEX(visitors!$A$1:$Y$32,DAY(N18)+1,MATCH($N$2,visitors!$1:$1,0)),NA())</f>
        <v>164</v>
      </c>
      <c r="S18" s="1"/>
      <c r="T18" s="101"/>
      <c r="U18" s="76"/>
      <c r="W18" s="1"/>
      <c r="X18" s="101"/>
      <c r="Y18" s="76"/>
      <c r="AA18" s="1"/>
      <c r="AB18" s="101"/>
      <c r="AI18" s="1"/>
      <c r="AJ18" s="100"/>
      <c r="AK18" s="76"/>
      <c r="AM18" s="1"/>
      <c r="AN18" s="100"/>
    </row>
    <row r="19" spans="1:40">
      <c r="A19" s="376"/>
      <c r="B19" s="89" t="s">
        <v>33</v>
      </c>
      <c r="C19" s="3">
        <v>45393</v>
      </c>
      <c r="D19" s="98">
        <v>45393</v>
      </c>
      <c r="E19" s="99">
        <v>54</v>
      </c>
      <c r="F19" s="3">
        <v>45421</v>
      </c>
      <c r="G19" s="98">
        <v>45421</v>
      </c>
      <c r="H19" s="99">
        <v>323</v>
      </c>
      <c r="I19" s="3">
        <v>45456</v>
      </c>
      <c r="J19" s="98">
        <v>45456</v>
      </c>
      <c r="K19" s="99">
        <v>60</v>
      </c>
      <c r="N19" s="32">
        <f>IF(N18&lt;&gt;"",N18+1,IF(TEXT('일간 팔로워'!$J$1,"aaa")=$B19,'일간 팔로워'!$J$1,""))</f>
        <v>45456</v>
      </c>
      <c r="O19" s="235">
        <f>IF(O18&lt;&gt;"",O18+1,IF(TEXT('일간 팔로워'!$J$1,"aaa")=$B19,'일간 팔로워'!$J$1,""))</f>
        <v>45456</v>
      </c>
      <c r="P19" s="42">
        <f>IFERROR(INDEX(visitors!$A$1:$Y$32,DAY(N19)+1,MATCH($N$2,visitors!$1:$1,0)),NA())</f>
        <v>40</v>
      </c>
      <c r="S19" s="1"/>
      <c r="T19" s="101"/>
      <c r="U19" s="76"/>
      <c r="W19" s="1"/>
      <c r="X19" s="101"/>
      <c r="Y19" s="76"/>
      <c r="AA19" s="1"/>
      <c r="AB19" s="101"/>
      <c r="AI19" s="1"/>
      <c r="AJ19" s="100"/>
      <c r="AK19" s="76"/>
      <c r="AM19" s="1"/>
      <c r="AN19" s="100"/>
    </row>
    <row r="20" spans="1:40">
      <c r="A20" s="376"/>
      <c r="B20" s="89" t="s">
        <v>34</v>
      </c>
      <c r="C20" s="3">
        <v>45394</v>
      </c>
      <c r="D20" s="98">
        <v>45394</v>
      </c>
      <c r="E20" s="99">
        <v>164</v>
      </c>
      <c r="F20" s="3">
        <v>45422</v>
      </c>
      <c r="G20" s="98">
        <v>45422</v>
      </c>
      <c r="H20" s="99">
        <v>36</v>
      </c>
      <c r="I20" s="3">
        <v>45457</v>
      </c>
      <c r="J20" s="98">
        <v>45457</v>
      </c>
      <c r="K20" s="99">
        <v>98</v>
      </c>
      <c r="N20" s="32">
        <f>IF(N19&lt;&gt;"",N19+1,IF(TEXT('일간 팔로워'!$J$1,"aaa")=$B20,'일간 팔로워'!$J$1,""))</f>
        <v>45457</v>
      </c>
      <c r="O20" s="235">
        <f>IF(O19&lt;&gt;"",O19+1,IF(TEXT('일간 팔로워'!$J$1,"aaa")=$B20,'일간 팔로워'!$J$1,""))</f>
        <v>45457</v>
      </c>
      <c r="P20" s="42">
        <f>IFERROR(INDEX(visitors!$A$1:$Y$32,DAY(N20)+1,MATCH($N$2,visitors!$1:$1,0)),NA())</f>
        <v>47</v>
      </c>
      <c r="S20" s="1"/>
      <c r="T20" s="101"/>
      <c r="U20" s="76"/>
      <c r="W20" s="1"/>
      <c r="X20" s="101"/>
      <c r="Y20" s="76"/>
      <c r="AA20" s="1"/>
      <c r="AB20" s="101"/>
      <c r="AI20" s="1"/>
      <c r="AJ20" s="100"/>
      <c r="AK20" s="76"/>
      <c r="AM20" s="1"/>
      <c r="AN20" s="100"/>
    </row>
    <row r="21" spans="1:40">
      <c r="A21" s="376"/>
      <c r="B21" s="89" t="s">
        <v>35</v>
      </c>
      <c r="C21" s="3">
        <v>45395</v>
      </c>
      <c r="D21" s="98">
        <v>45395</v>
      </c>
      <c r="E21" s="99">
        <v>40</v>
      </c>
      <c r="F21" s="3">
        <v>45423</v>
      </c>
      <c r="G21" s="98">
        <v>45423</v>
      </c>
      <c r="H21" s="99">
        <v>16</v>
      </c>
      <c r="I21" s="3">
        <v>45458</v>
      </c>
      <c r="J21" s="98">
        <v>45458</v>
      </c>
      <c r="K21" s="99">
        <v>30</v>
      </c>
      <c r="N21" s="32">
        <f>IF(N20&lt;&gt;"",N20+1,IF(TEXT('일간 팔로워'!$J$1,"aaa")=$B21,'일간 팔로워'!$J$1,""))</f>
        <v>45458</v>
      </c>
      <c r="O21" s="235">
        <f>IF(O20&lt;&gt;"",O20+1,IF(TEXT('일간 팔로워'!$J$1,"aaa")=$B21,'일간 팔로워'!$J$1,""))</f>
        <v>45458</v>
      </c>
      <c r="P21" s="42">
        <f>IFERROR(INDEX(visitors!$A$1:$Y$32,DAY(N21)+1,MATCH($N$2,visitors!$1:$1,0)),NA())</f>
        <v>31</v>
      </c>
      <c r="S21" s="1"/>
      <c r="T21" s="101"/>
      <c r="U21" s="76"/>
      <c r="W21" s="1"/>
      <c r="X21" s="101"/>
      <c r="Y21" s="76"/>
      <c r="AA21" s="1"/>
      <c r="AB21" s="101"/>
      <c r="AI21" s="1"/>
      <c r="AJ21" s="100"/>
      <c r="AK21" s="76"/>
      <c r="AM21" s="1"/>
      <c r="AN21" s="100"/>
    </row>
    <row r="22" spans="1:40" ht="17.25" thickBot="1">
      <c r="A22" s="378"/>
      <c r="B22" s="102" t="s">
        <v>36</v>
      </c>
      <c r="C22" s="103">
        <v>45396</v>
      </c>
      <c r="D22" s="104">
        <v>45396</v>
      </c>
      <c r="E22" s="84">
        <v>47</v>
      </c>
      <c r="F22" s="103">
        <v>45424</v>
      </c>
      <c r="G22" s="104">
        <v>45424</v>
      </c>
      <c r="H22" s="84">
        <v>33</v>
      </c>
      <c r="I22" s="103">
        <v>45459</v>
      </c>
      <c r="J22" s="104">
        <v>45459</v>
      </c>
      <c r="K22" s="84">
        <v>35</v>
      </c>
      <c r="N22" s="228">
        <f>IF(N21&lt;&gt;"",N21+1,IF(TEXT('일간 팔로워'!$J$1,"aaa")=$B22,'일간 팔로워'!$J$1,""))</f>
        <v>45459</v>
      </c>
      <c r="O22" s="237">
        <f>IF(O21&lt;&gt;"",O21+1,IF(TEXT('일간 팔로워'!$J$1,"aaa")=$B22,'일간 팔로워'!$J$1,""))</f>
        <v>45459</v>
      </c>
      <c r="P22" s="44">
        <f>IFERROR(INDEX(visitors!$A$1:$Y$32,DAY(N22)+1,MATCH($N$2,visitors!$1:$1,0)),NA())</f>
        <v>109</v>
      </c>
      <c r="S22" s="1"/>
      <c r="T22" s="101"/>
      <c r="U22" s="76"/>
      <c r="W22" s="1"/>
      <c r="X22" s="101"/>
      <c r="Y22" s="76"/>
      <c r="AA22" s="1"/>
      <c r="AB22" s="101"/>
      <c r="AI22" s="1"/>
      <c r="AJ22" s="100"/>
      <c r="AK22" s="76"/>
      <c r="AM22" s="1"/>
      <c r="AN22" s="100"/>
    </row>
    <row r="23" spans="1:40">
      <c r="A23" s="377" t="s">
        <v>37</v>
      </c>
      <c r="B23" s="94" t="s">
        <v>6</v>
      </c>
      <c r="C23" s="95">
        <v>45397</v>
      </c>
      <c r="D23" s="96">
        <v>45397</v>
      </c>
      <c r="E23" s="33">
        <v>31</v>
      </c>
      <c r="F23" s="95">
        <v>45425</v>
      </c>
      <c r="G23" s="96">
        <v>45425</v>
      </c>
      <c r="H23" s="33">
        <v>66</v>
      </c>
      <c r="I23" s="95">
        <v>45460</v>
      </c>
      <c r="J23" s="96">
        <v>45460</v>
      </c>
      <c r="K23" s="33">
        <v>56</v>
      </c>
      <c r="N23" s="97">
        <f>IF(N22&lt;&gt;"",N22+1,IF(TEXT('일간 팔로워'!$J$1,"aaa")=$B23,'일간 팔로워'!$J$1,""))</f>
        <v>45460</v>
      </c>
      <c r="O23" s="234">
        <f>IF(O22&lt;&gt;"",O22+1,IF(TEXT('일간 팔로워'!$J$1,"aaa")=$B23,'일간 팔로워'!$J$1,""))</f>
        <v>45460</v>
      </c>
      <c r="P23" s="23">
        <f>IFERROR(INDEX(visitors!$A$1:$Y$32,DAY(N23)+1,MATCH($N$2,visitors!$1:$1,0)),NA())</f>
        <v>71</v>
      </c>
      <c r="S23" s="1"/>
      <c r="T23" s="101"/>
      <c r="U23" s="76"/>
      <c r="W23" s="1"/>
      <c r="X23" s="101"/>
      <c r="Y23" s="76"/>
      <c r="AA23" s="1"/>
      <c r="AB23" s="101"/>
      <c r="AI23" s="1"/>
      <c r="AJ23" s="100"/>
      <c r="AK23" s="76"/>
      <c r="AM23" s="1"/>
      <c r="AN23" s="100"/>
    </row>
    <row r="24" spans="1:40">
      <c r="A24" s="376"/>
      <c r="B24" s="89" t="s">
        <v>29</v>
      </c>
      <c r="C24" s="3">
        <v>45398</v>
      </c>
      <c r="D24" s="98">
        <v>45398</v>
      </c>
      <c r="E24" s="99">
        <v>109</v>
      </c>
      <c r="F24" s="3">
        <v>45426</v>
      </c>
      <c r="G24" s="98">
        <v>45426</v>
      </c>
      <c r="H24" s="99">
        <v>52</v>
      </c>
      <c r="I24" s="3">
        <v>45461</v>
      </c>
      <c r="J24" s="98">
        <v>45461</v>
      </c>
      <c r="K24" s="99">
        <v>72</v>
      </c>
      <c r="N24" s="32">
        <f>IF(N23&lt;&gt;"",N23+1,IF(TEXT('일간 팔로워'!$J$1,"aaa")=$B24,'일간 팔로워'!$J$1,""))</f>
        <v>45461</v>
      </c>
      <c r="O24" s="235">
        <f>IF(O23&lt;&gt;"",O23+1,IF(TEXT('일간 팔로워'!$J$1,"aaa")=$B24,'일간 팔로워'!$J$1,""))</f>
        <v>45461</v>
      </c>
      <c r="P24" s="42">
        <f>IFERROR(INDEX(visitors!$A$1:$Y$32,DAY(N24)+1,MATCH($N$2,visitors!$1:$1,0)),NA())</f>
        <v>135</v>
      </c>
      <c r="S24" s="1"/>
      <c r="T24" s="101"/>
      <c r="U24" s="76"/>
      <c r="W24" s="1"/>
      <c r="X24" s="101"/>
      <c r="Y24" s="76"/>
      <c r="AA24" s="1"/>
      <c r="AB24" s="101"/>
      <c r="AI24" s="1"/>
      <c r="AJ24" s="100"/>
      <c r="AK24" s="76"/>
      <c r="AM24" s="1"/>
      <c r="AN24" s="100"/>
    </row>
    <row r="25" spans="1:40">
      <c r="A25" s="376"/>
      <c r="B25" s="89" t="s">
        <v>30</v>
      </c>
      <c r="C25" s="3">
        <v>45399</v>
      </c>
      <c r="D25" s="98">
        <v>45399</v>
      </c>
      <c r="E25" s="99">
        <v>71</v>
      </c>
      <c r="F25" s="3">
        <v>45427</v>
      </c>
      <c r="G25" s="98">
        <v>45427</v>
      </c>
      <c r="H25" s="99">
        <v>33</v>
      </c>
      <c r="I25" s="3">
        <v>45462</v>
      </c>
      <c r="J25" s="98">
        <v>45462</v>
      </c>
      <c r="K25" s="99">
        <v>37</v>
      </c>
      <c r="N25" s="32">
        <f>IF(N24&lt;&gt;"",N24+1,IF(TEXT('일간 팔로워'!$J$1,"aaa")=$B25,'일간 팔로워'!$J$1,""))</f>
        <v>45462</v>
      </c>
      <c r="O25" s="235">
        <f>IF(O24&lt;&gt;"",O24+1,IF(TEXT('일간 팔로워'!$J$1,"aaa")=$B25,'일간 팔로워'!$J$1,""))</f>
        <v>45462</v>
      </c>
      <c r="P25" s="42">
        <f>IFERROR(INDEX(visitors!$A$1:$Y$32,DAY(N25)+1,MATCH($N$2,visitors!$1:$1,0)),NA())</f>
        <v>73</v>
      </c>
      <c r="S25" s="1"/>
      <c r="T25" s="101"/>
      <c r="U25" s="76"/>
      <c r="W25" s="1"/>
      <c r="X25" s="101"/>
      <c r="Y25" s="76"/>
      <c r="AA25" s="1"/>
      <c r="AB25" s="101"/>
      <c r="AI25" s="1"/>
      <c r="AJ25" s="100"/>
      <c r="AK25" s="76"/>
      <c r="AM25" s="1"/>
      <c r="AN25" s="100"/>
    </row>
    <row r="26" spans="1:40">
      <c r="A26" s="376"/>
      <c r="B26" s="89" t="s">
        <v>33</v>
      </c>
      <c r="C26" s="3">
        <v>45400</v>
      </c>
      <c r="D26" s="98">
        <v>45400</v>
      </c>
      <c r="E26" s="99">
        <v>135</v>
      </c>
      <c r="F26" s="3">
        <v>45428</v>
      </c>
      <c r="G26" s="98">
        <v>45428</v>
      </c>
      <c r="H26" s="99">
        <v>155</v>
      </c>
      <c r="I26" s="3">
        <v>45463</v>
      </c>
      <c r="J26" s="98">
        <v>45463</v>
      </c>
      <c r="K26" s="99">
        <v>77</v>
      </c>
      <c r="N26" s="32">
        <f>IF(N25&lt;&gt;"",N25+1,IF(TEXT('일간 팔로워'!$J$1,"aaa")=$B26,'일간 팔로워'!$J$1,""))</f>
        <v>45463</v>
      </c>
      <c r="O26" s="235">
        <f>IF(O25&lt;&gt;"",O25+1,IF(TEXT('일간 팔로워'!$J$1,"aaa")=$B26,'일간 팔로워'!$J$1,""))</f>
        <v>45463</v>
      </c>
      <c r="P26" s="42">
        <f>IFERROR(INDEX(visitors!$A$1:$Y$32,DAY(N26)+1,MATCH($N$2,visitors!$1:$1,0)),NA())</f>
        <v>57</v>
      </c>
      <c r="S26" s="1"/>
      <c r="T26" s="101"/>
      <c r="U26" s="76"/>
      <c r="W26" s="1"/>
      <c r="X26" s="101"/>
      <c r="Y26" s="76"/>
      <c r="AA26" s="1"/>
      <c r="AB26" s="101"/>
      <c r="AI26" s="1"/>
      <c r="AJ26" s="100"/>
      <c r="AK26" s="76"/>
      <c r="AM26" s="1"/>
      <c r="AN26" s="100"/>
    </row>
    <row r="27" spans="1:40">
      <c r="A27" s="376"/>
      <c r="B27" s="89" t="s">
        <v>34</v>
      </c>
      <c r="C27" s="3">
        <v>45401</v>
      </c>
      <c r="D27" s="98">
        <v>45401</v>
      </c>
      <c r="E27" s="99">
        <v>73</v>
      </c>
      <c r="F27" s="3">
        <v>45429</v>
      </c>
      <c r="G27" s="98">
        <v>45429</v>
      </c>
      <c r="H27" s="99">
        <v>28</v>
      </c>
      <c r="I27" s="3">
        <v>45464</v>
      </c>
      <c r="J27" s="98">
        <v>45464</v>
      </c>
      <c r="K27" s="99">
        <v>43</v>
      </c>
      <c r="N27" s="32">
        <f>IF(N26&lt;&gt;"",N26+1,IF(TEXT('일간 팔로워'!$J$1,"aaa")=$B27,'일간 팔로워'!$J$1,""))</f>
        <v>45464</v>
      </c>
      <c r="O27" s="235">
        <f>IF(O26&lt;&gt;"",O26+1,IF(TEXT('일간 팔로워'!$J$1,"aaa")=$B27,'일간 팔로워'!$J$1,""))</f>
        <v>45464</v>
      </c>
      <c r="P27" s="42">
        <f>IFERROR(INDEX(visitors!$A$1:$Y$32,DAY(N27)+1,MATCH($N$2,visitors!$1:$1,0)),NA())</f>
        <v>43</v>
      </c>
      <c r="S27" s="214"/>
      <c r="T27" s="101"/>
      <c r="U27" s="76"/>
      <c r="W27" s="1"/>
      <c r="X27" s="101"/>
      <c r="Y27" s="76"/>
      <c r="AA27" s="1"/>
      <c r="AB27" s="101"/>
      <c r="AI27" s="1"/>
      <c r="AJ27" s="100"/>
      <c r="AK27" s="76"/>
      <c r="AM27" s="1"/>
      <c r="AN27" s="100"/>
    </row>
    <row r="28" spans="1:40">
      <c r="A28" s="376"/>
      <c r="B28" s="89" t="s">
        <v>35</v>
      </c>
      <c r="C28" s="3">
        <v>45402</v>
      </c>
      <c r="D28" s="98">
        <v>45402</v>
      </c>
      <c r="E28" s="99">
        <v>57</v>
      </c>
      <c r="F28" s="3">
        <v>45430</v>
      </c>
      <c r="G28" s="98">
        <v>45430</v>
      </c>
      <c r="H28" s="99">
        <v>28</v>
      </c>
      <c r="I28" s="3">
        <v>45465</v>
      </c>
      <c r="J28" s="98">
        <v>45465</v>
      </c>
      <c r="K28" s="99">
        <v>20</v>
      </c>
      <c r="N28" s="32">
        <f>IF(N27&lt;&gt;"",N27+1,IF(TEXT('일간 팔로워'!$J$1,"aaa")=$B28,'일간 팔로워'!$J$1,""))</f>
        <v>45465</v>
      </c>
      <c r="O28" s="235">
        <f>IF(O27&lt;&gt;"",O27+1,IF(TEXT('일간 팔로워'!$J$1,"aaa")=$B28,'일간 팔로워'!$J$1,""))</f>
        <v>45465</v>
      </c>
      <c r="P28" s="42">
        <f>IFERROR(INDEX(visitors!$A$1:$Y$32,DAY(N28)+1,MATCH($N$2,visitors!$1:$1,0)),NA())</f>
        <v>63</v>
      </c>
      <c r="S28" s="214"/>
      <c r="T28" s="101"/>
      <c r="U28" s="76"/>
      <c r="W28" s="1"/>
      <c r="X28" s="101"/>
      <c r="Y28" s="76"/>
      <c r="AA28" s="1"/>
      <c r="AB28" s="101"/>
      <c r="AI28" s="1"/>
      <c r="AJ28" s="100"/>
      <c r="AK28" s="76"/>
      <c r="AM28" s="1"/>
      <c r="AN28" s="100"/>
    </row>
    <row r="29" spans="1:40" ht="17.25" thickBot="1">
      <c r="A29" s="378"/>
      <c r="B29" s="102" t="s">
        <v>36</v>
      </c>
      <c r="C29" s="103">
        <v>45403</v>
      </c>
      <c r="D29" s="104">
        <v>45403</v>
      </c>
      <c r="E29" s="84">
        <v>43</v>
      </c>
      <c r="F29" s="103">
        <v>45431</v>
      </c>
      <c r="G29" s="104">
        <v>45431</v>
      </c>
      <c r="H29" s="84">
        <v>52</v>
      </c>
      <c r="I29" s="103">
        <v>45466</v>
      </c>
      <c r="J29" s="104">
        <v>45466</v>
      </c>
      <c r="K29" s="84">
        <v>27</v>
      </c>
      <c r="N29" s="228">
        <f>IF(N28&lt;&gt;"",N28+1,IF(TEXT('일간 팔로워'!$J$1,"aaa")=$B29,'일간 팔로워'!$J$1,""))</f>
        <v>45466</v>
      </c>
      <c r="O29" s="237">
        <f>IF(O28&lt;&gt;"",O28+1,IF(TEXT('일간 팔로워'!$J$1,"aaa")=$B29,'일간 팔로워'!$J$1,""))</f>
        <v>45466</v>
      </c>
      <c r="P29" s="44">
        <f>IFERROR(INDEX(visitors!$A$1:$Y$32,DAY(N29)+1,MATCH($N$2,visitors!$1:$1,0)),NA())</f>
        <v>395</v>
      </c>
      <c r="S29" s="1"/>
      <c r="T29" s="101"/>
      <c r="U29" s="76"/>
      <c r="W29" s="1"/>
      <c r="X29" s="101"/>
      <c r="Y29" s="76"/>
      <c r="AA29" s="1"/>
      <c r="AB29" s="101"/>
      <c r="AI29" s="1"/>
      <c r="AJ29" s="100"/>
      <c r="AK29" s="76"/>
      <c r="AM29" s="1"/>
      <c r="AN29" s="100"/>
    </row>
    <row r="30" spans="1:40">
      <c r="A30" s="377" t="s">
        <v>38</v>
      </c>
      <c r="B30" s="94" t="s">
        <v>6</v>
      </c>
      <c r="C30" s="95">
        <v>45404</v>
      </c>
      <c r="D30" s="96">
        <v>45404</v>
      </c>
      <c r="E30" s="33">
        <v>63</v>
      </c>
      <c r="F30" s="95">
        <v>45432</v>
      </c>
      <c r="G30" s="96">
        <v>45432</v>
      </c>
      <c r="H30" s="33">
        <v>64</v>
      </c>
      <c r="I30" s="95">
        <v>45467</v>
      </c>
      <c r="J30" s="96">
        <v>45467</v>
      </c>
      <c r="K30" s="33">
        <v>53</v>
      </c>
      <c r="N30" s="97">
        <f>IF(N29&lt;&gt;"",N29+1,IF(TEXT('일간 팔로워'!$J$1,"aaa")=$B30,'일간 팔로워'!$J$1,""))</f>
        <v>45467</v>
      </c>
      <c r="O30" s="234">
        <f>IF(O29&lt;&gt;"",O29+1,IF(TEXT('일간 팔로워'!$J$1,"aaa")=$B30,'일간 팔로워'!$J$1,""))</f>
        <v>45467</v>
      </c>
      <c r="P30" s="23">
        <f>IFERROR(INDEX(visitors!$A$1:$Y$32,DAY(N30)+1,MATCH($N$2,visitors!$1:$1,0)),NA())</f>
        <v>467</v>
      </c>
      <c r="S30" s="1"/>
      <c r="T30" s="101"/>
      <c r="U30" s="76"/>
      <c r="W30" s="1"/>
      <c r="X30" s="101"/>
      <c r="Y30" s="76"/>
      <c r="AA30" s="1"/>
      <c r="AB30" s="101"/>
      <c r="AI30" s="1"/>
      <c r="AJ30" s="100"/>
      <c r="AK30" s="76"/>
      <c r="AM30" s="1"/>
      <c r="AN30" s="100"/>
    </row>
    <row r="31" spans="1:40">
      <c r="A31" s="376"/>
      <c r="B31" s="89" t="s">
        <v>29</v>
      </c>
      <c r="C31" s="3">
        <v>45405</v>
      </c>
      <c r="D31" s="98">
        <v>45405</v>
      </c>
      <c r="E31" s="99">
        <v>395</v>
      </c>
      <c r="F31" s="3">
        <v>45433</v>
      </c>
      <c r="G31" s="98">
        <v>45433</v>
      </c>
      <c r="H31" s="99">
        <v>38</v>
      </c>
      <c r="I31" s="3">
        <v>45468</v>
      </c>
      <c r="J31" s="98">
        <v>45468</v>
      </c>
      <c r="K31" s="99">
        <v>62</v>
      </c>
      <c r="N31" s="32">
        <f>IF(N30&lt;&gt;"",N30+1,IF(TEXT('일간 팔로워'!$J$1,"aaa")=$B31,'일간 팔로워'!$J$1,""))</f>
        <v>45468</v>
      </c>
      <c r="O31" s="235">
        <f>IF(O30&lt;&gt;"",O30+1,IF(TEXT('일간 팔로워'!$J$1,"aaa")=$B31,'일간 팔로워'!$J$1,""))</f>
        <v>45468</v>
      </c>
      <c r="P31" s="42">
        <f>IFERROR(INDEX(visitors!$A$1:$Y$32,DAY(N31)+1,MATCH($N$2,visitors!$1:$1,0)),NA())</f>
        <v>152</v>
      </c>
      <c r="S31" s="1"/>
      <c r="T31" s="101"/>
      <c r="U31" s="76"/>
      <c r="W31" s="1"/>
      <c r="X31" s="101"/>
      <c r="Y31" s="76"/>
      <c r="AA31" s="1"/>
      <c r="AB31" s="101"/>
      <c r="AI31" s="1"/>
      <c r="AJ31" s="100"/>
      <c r="AK31" s="76"/>
      <c r="AM31" s="1"/>
      <c r="AN31" s="100"/>
    </row>
    <row r="32" spans="1:40">
      <c r="A32" s="376"/>
      <c r="B32" s="89" t="s">
        <v>30</v>
      </c>
      <c r="C32" s="3">
        <v>45406</v>
      </c>
      <c r="D32" s="98">
        <v>45406</v>
      </c>
      <c r="E32" s="99">
        <v>467</v>
      </c>
      <c r="F32" s="3">
        <v>45434</v>
      </c>
      <c r="G32" s="98">
        <v>45434</v>
      </c>
      <c r="H32" s="99">
        <v>34</v>
      </c>
      <c r="I32" s="3">
        <v>45469</v>
      </c>
      <c r="J32" s="98">
        <v>45469</v>
      </c>
      <c r="K32" s="99">
        <v>69</v>
      </c>
      <c r="N32" s="34">
        <f>IF(N31="","",IF(MONTH(N31)&lt;MONTH(N31+1),"",IF(N31&lt;&gt;"",N31+1,IF(TEXT('일간 팔로워'!$J$1,"aaa")=$B31,'일간 팔로워'!$J$1,""))))</f>
        <v>45469</v>
      </c>
      <c r="O32" s="235">
        <f>IF(O31="","",IF(MONTH(O31)&lt;MONTH(O31+1),"",IF(O31&lt;&gt;"",O31+1,IF(TEXT('일간 팔로워'!$J$1,"aaa")=$B31,'일간 팔로워'!$J$1,""))))</f>
        <v>45469</v>
      </c>
      <c r="P32" s="42">
        <f>IFERROR(INDEX(visitors!$A$1:$Y$32,DAY(N32)+1,MATCH($N$2,visitors!$1:$1,0)),NA())</f>
        <v>72</v>
      </c>
      <c r="S32" s="1"/>
      <c r="T32" s="101"/>
      <c r="U32" s="76"/>
      <c r="W32" s="1"/>
      <c r="X32" s="101"/>
      <c r="Y32" s="76"/>
      <c r="AA32" s="1"/>
      <c r="AB32" s="101"/>
      <c r="AI32" s="1"/>
      <c r="AJ32" s="100"/>
      <c r="AK32" s="76"/>
      <c r="AM32" s="1"/>
      <c r="AN32" s="100"/>
    </row>
    <row r="33" spans="1:40">
      <c r="A33" s="376"/>
      <c r="B33" s="89" t="s">
        <v>33</v>
      </c>
      <c r="C33" s="3">
        <v>45407</v>
      </c>
      <c r="D33" s="98">
        <v>45407</v>
      </c>
      <c r="E33" s="99">
        <v>152</v>
      </c>
      <c r="F33" s="3">
        <v>45435</v>
      </c>
      <c r="G33" s="98">
        <v>45435</v>
      </c>
      <c r="H33" s="99">
        <v>109</v>
      </c>
      <c r="I33" s="3">
        <v>45470</v>
      </c>
      <c r="J33" s="98">
        <v>45470</v>
      </c>
      <c r="K33" s="99">
        <v>287</v>
      </c>
      <c r="N33" s="34">
        <f>IF(N32="","",IF(MONTH(N32)&lt;MONTH(N32+1),"",IF(N32&lt;&gt;"",N32+1,IF(TEXT('일간 팔로워'!$J$1,"aaa")=$B32,'일간 팔로워'!$J$1,""))))</f>
        <v>45470</v>
      </c>
      <c r="O33" s="235">
        <f>IF(O32="","",IF(MONTH(O32)&lt;MONTH(O32+1),"",IF(O32&lt;&gt;"",O32+1,IF(TEXT('일간 팔로워'!$J$1,"aaa")=$B32,'일간 팔로워'!$J$1,""))))</f>
        <v>45470</v>
      </c>
      <c r="P33" s="42">
        <f>IFERROR(INDEX(visitors!$A$1:$Y$32,DAY(N33)+1,MATCH($N$2,visitors!$1:$1,0)),NA())</f>
        <v>63</v>
      </c>
      <c r="S33" s="1"/>
      <c r="T33" s="101"/>
      <c r="U33" s="76"/>
      <c r="W33" s="1"/>
      <c r="X33" s="101"/>
      <c r="Y33" s="76"/>
      <c r="AA33" s="1"/>
      <c r="AB33" s="101"/>
      <c r="AI33" s="1"/>
      <c r="AJ33" s="100"/>
      <c r="AK33" s="76"/>
      <c r="AM33" s="1"/>
      <c r="AN33" s="100"/>
    </row>
    <row r="34" spans="1:40">
      <c r="A34" s="376"/>
      <c r="B34" s="89" t="s">
        <v>34</v>
      </c>
      <c r="C34" s="3">
        <v>45408</v>
      </c>
      <c r="D34" s="98">
        <v>45408</v>
      </c>
      <c r="E34" s="99">
        <v>72</v>
      </c>
      <c r="F34" s="3">
        <v>45436</v>
      </c>
      <c r="G34" s="98">
        <v>45436</v>
      </c>
      <c r="H34" s="99">
        <v>63</v>
      </c>
      <c r="I34" s="3">
        <v>45471</v>
      </c>
      <c r="J34" s="98">
        <v>45471</v>
      </c>
      <c r="K34" s="99">
        <v>89</v>
      </c>
      <c r="N34" s="34">
        <f>IF(N33="","",IF(MONTH(N33)&lt;MONTH(N33+1),"",IF(N33&lt;&gt;"",N33+1,IF(TEXT('일간 팔로워'!$J$1,"aaa")=$B33,'일간 팔로워'!$J$1,""))))</f>
        <v>45471</v>
      </c>
      <c r="O34" s="235">
        <f>IF(O33="","",IF(MONTH(O33)&lt;MONTH(O33+1),"",IF(O33&lt;&gt;"",O33+1,IF(TEXT('일간 팔로워'!$J$1,"aaa")=$B33,'일간 팔로워'!$J$1,""))))</f>
        <v>45471</v>
      </c>
      <c r="P34" s="42">
        <f>IFERROR(INDEX(visitors!$A$1:$Y$32,DAY(N34)+1,MATCH($N$2,visitors!$1:$1,0)),NA())</f>
        <v>46</v>
      </c>
      <c r="S34" s="1"/>
      <c r="T34" s="101"/>
      <c r="U34" s="76"/>
      <c r="W34" s="1"/>
      <c r="X34" s="101"/>
      <c r="Y34" s="76"/>
      <c r="AA34" s="1"/>
      <c r="AB34" s="101"/>
      <c r="AI34" s="1"/>
      <c r="AJ34" s="100"/>
      <c r="AK34" s="76"/>
      <c r="AM34" s="1"/>
      <c r="AN34" s="100"/>
    </row>
    <row r="35" spans="1:40">
      <c r="A35" s="376"/>
      <c r="B35" s="89" t="s">
        <v>35</v>
      </c>
      <c r="C35" s="3">
        <v>45409</v>
      </c>
      <c r="D35" s="98">
        <v>45409</v>
      </c>
      <c r="E35" s="99">
        <v>63</v>
      </c>
      <c r="F35" s="3">
        <v>45437</v>
      </c>
      <c r="G35" s="98">
        <v>45437</v>
      </c>
      <c r="H35" s="99">
        <v>42</v>
      </c>
      <c r="I35" s="3">
        <v>45472</v>
      </c>
      <c r="J35" s="98">
        <v>45472</v>
      </c>
      <c r="K35" s="99">
        <v>45</v>
      </c>
      <c r="N35" s="34">
        <f>IF(N34="","",IF(MONTH(N34)&lt;MONTH(N34+1),"",IF(N34&lt;&gt;"",N34+1,IF(TEXT('일간 팔로워'!$J$1,"aaa")=$B34,'일간 팔로워'!$J$1,""))))</f>
        <v>45472</v>
      </c>
      <c r="O35" s="235">
        <f>IF(O34="","",IF(MONTH(O34)&lt;MONTH(O34+1),"",IF(O34&lt;&gt;"",O34+1,IF(TEXT('일간 팔로워'!$J$1,"aaa")=$B34,'일간 팔로워'!$J$1,""))))</f>
        <v>45472</v>
      </c>
      <c r="P35" s="42">
        <f>IFERROR(INDEX(visitors!$A$1:$Y$32,DAY(N35)+1,MATCH($N$2,visitors!$1:$1,0)),NA())</f>
        <v>47</v>
      </c>
      <c r="S35" s="1"/>
      <c r="T35" s="101"/>
      <c r="U35" s="76"/>
      <c r="W35" s="1"/>
      <c r="X35" s="101"/>
      <c r="Y35" s="76"/>
      <c r="AA35" s="1"/>
      <c r="AB35" s="101"/>
      <c r="AI35" s="1"/>
      <c r="AJ35" s="100"/>
      <c r="AK35" s="76"/>
      <c r="AM35" s="1"/>
      <c r="AN35" s="100"/>
    </row>
    <row r="36" spans="1:40" ht="17.25" thickBot="1">
      <c r="A36" s="378"/>
      <c r="B36" s="102" t="s">
        <v>36</v>
      </c>
      <c r="C36" s="103">
        <v>45410</v>
      </c>
      <c r="D36" s="104">
        <v>45410</v>
      </c>
      <c r="E36" s="84">
        <v>46</v>
      </c>
      <c r="F36" s="103">
        <v>45438</v>
      </c>
      <c r="G36" s="104">
        <v>45438</v>
      </c>
      <c r="H36" s="84">
        <v>22</v>
      </c>
      <c r="I36" s="103">
        <v>45473</v>
      </c>
      <c r="J36" s="104">
        <v>45473</v>
      </c>
      <c r="K36" s="84">
        <v>50</v>
      </c>
      <c r="N36" s="105">
        <f>IF(N35="","",IF(MONTH(N35)&lt;MONTH(N35+1),"",IF(N35&lt;&gt;"",N35+1,IF(TEXT('일간 팔로워'!$J$1,"aaa")=$B35,'일간 팔로워'!$J$1,""))))</f>
        <v>45473</v>
      </c>
      <c r="O36" s="237">
        <f>IF(O35="","",IF(MONTH(O35)&lt;MONTH(O35+1),"",IF(O35&lt;&gt;"",O35+1,IF(TEXT('일간 팔로워'!$J$1,"aaa")=$B35,'일간 팔로워'!$J$1,""))))</f>
        <v>45473</v>
      </c>
      <c r="P36" s="44">
        <f>IFERROR(INDEX(visitors!$A$1:$Y$32,DAY(N36)+1,MATCH($N$2,visitors!$1:$1,0)),NA())</f>
        <v>41</v>
      </c>
      <c r="S36" s="1"/>
      <c r="T36" s="101"/>
      <c r="U36" s="76"/>
      <c r="W36" s="1"/>
      <c r="X36" s="101"/>
      <c r="Y36" s="76"/>
      <c r="AA36" s="1"/>
      <c r="AB36" s="101"/>
      <c r="AI36" s="1"/>
      <c r="AJ36" s="100"/>
      <c r="AK36" s="76"/>
      <c r="AM36" s="1"/>
      <c r="AN36" s="100"/>
    </row>
    <row r="37" spans="1:40">
      <c r="A37" s="377" t="s">
        <v>40</v>
      </c>
      <c r="B37" s="94" t="s">
        <v>6</v>
      </c>
      <c r="C37" s="95">
        <v>45411</v>
      </c>
      <c r="D37" s="96">
        <v>45411</v>
      </c>
      <c r="E37" s="33">
        <v>47</v>
      </c>
      <c r="F37" s="95">
        <v>45439</v>
      </c>
      <c r="G37" s="96">
        <v>45439</v>
      </c>
      <c r="H37" s="33">
        <v>76</v>
      </c>
      <c r="I37" s="95" t="s">
        <v>39</v>
      </c>
      <c r="J37" s="96" t="s">
        <v>39</v>
      </c>
      <c r="K37" s="33" t="e">
        <v>#N/A</v>
      </c>
      <c r="N37" s="97" t="str">
        <f>IF(N36="","",IF(MONTH(N36)&lt;MONTH(N36+1),"",IF(N36&lt;&gt;"",N36+1,IF(TEXT('일간 팔로워'!$J$1,"aaa")=$B36,'일간 팔로워'!$J$1,""))))</f>
        <v/>
      </c>
      <c r="O37" s="234" t="str">
        <f>IF(O36="","",IF(MONTH(O36)&lt;MONTH(O36+1),"",IF(O36&lt;&gt;"",O36+1,IF(TEXT('일간 팔로워'!$J$1,"aaa")=$B36,'일간 팔로워'!$J$1,""))))</f>
        <v/>
      </c>
      <c r="P37" s="23" t="e">
        <f>IFERROR(INDEX(visitors!$A$1:$Y$32,DAY(N37)+1,MATCH($N$2,visitors!$1:$1,0)),NA())</f>
        <v>#N/A</v>
      </c>
      <c r="S37" s="1"/>
      <c r="T37" s="101"/>
      <c r="U37" s="76"/>
      <c r="W37" s="1"/>
      <c r="X37" s="101"/>
      <c r="Y37" s="76"/>
      <c r="AA37" s="1"/>
      <c r="AB37" s="101"/>
      <c r="AI37" s="1"/>
      <c r="AJ37" s="100"/>
      <c r="AK37" s="76"/>
      <c r="AM37" s="1"/>
      <c r="AN37" s="100"/>
    </row>
    <row r="38" spans="1:40">
      <c r="A38" s="376"/>
      <c r="B38" s="89" t="s">
        <v>29</v>
      </c>
      <c r="C38" s="3">
        <v>45412</v>
      </c>
      <c r="D38" s="98">
        <v>45412</v>
      </c>
      <c r="E38" s="99">
        <v>41</v>
      </c>
      <c r="F38" s="3">
        <v>45440</v>
      </c>
      <c r="G38" s="98">
        <v>45440</v>
      </c>
      <c r="H38" s="99">
        <v>28</v>
      </c>
      <c r="I38" s="3" t="s">
        <v>39</v>
      </c>
      <c r="J38" s="98" t="s">
        <v>39</v>
      </c>
      <c r="K38" s="99" t="e">
        <v>#N/A</v>
      </c>
      <c r="N38" s="34" t="str">
        <f>IF(N37="","",IF(MONTH(N37)&lt;MONTH(N37+1),"",IF(N37&lt;&gt;"",N37+1,IF(TEXT('일간 팔로워'!$J$1,"aaa")=$B37,'일간 팔로워'!$J$1,""))))</f>
        <v/>
      </c>
      <c r="O38" s="235" t="str">
        <f>IF(O37="","",IF(MONTH(O37)&lt;MONTH(O37+1),"",IF(O37&lt;&gt;"",O37+1,IF(TEXT('일간 팔로워'!$J$1,"aaa")=$B37,'일간 팔로워'!$J$1,""))))</f>
        <v/>
      </c>
      <c r="P38" s="42" t="e">
        <f>IFERROR(INDEX(visitors!$A$1:$Y$32,DAY(N38)+1,MATCH($N$2,visitors!$1:$1,0)),NA())</f>
        <v>#N/A</v>
      </c>
      <c r="S38" s="1"/>
      <c r="T38" s="101"/>
      <c r="U38" s="76"/>
      <c r="W38" s="1"/>
      <c r="X38" s="101"/>
      <c r="Y38" s="76"/>
      <c r="AA38" s="1"/>
      <c r="AB38" s="101"/>
      <c r="AI38" s="1"/>
      <c r="AJ38" s="100"/>
      <c r="AK38" s="76"/>
      <c r="AM38" s="1"/>
      <c r="AN38" s="100"/>
    </row>
    <row r="39" spans="1:40">
      <c r="A39" s="376"/>
      <c r="B39" s="89" t="s">
        <v>30</v>
      </c>
      <c r="C39" s="3" t="s">
        <v>39</v>
      </c>
      <c r="D39" s="98" t="s">
        <v>39</v>
      </c>
      <c r="E39" s="99" t="e">
        <v>#N/A</v>
      </c>
      <c r="F39" s="3">
        <v>45441</v>
      </c>
      <c r="G39" s="98">
        <v>45441</v>
      </c>
      <c r="H39" s="99">
        <v>45</v>
      </c>
      <c r="I39" s="3" t="s">
        <v>39</v>
      </c>
      <c r="J39" s="98" t="s">
        <v>39</v>
      </c>
      <c r="K39" s="99" t="e">
        <v>#N/A</v>
      </c>
      <c r="N39" s="34" t="str">
        <f>IF(N38="","",IF(MONTH(N38)&lt;MONTH(N38+1),"",IF(N38&lt;&gt;"",N38+1,IF(TEXT('일간 팔로워'!$J$1,"aaa")=$B38,'일간 팔로워'!$J$1,""))))</f>
        <v/>
      </c>
      <c r="O39" s="235" t="str">
        <f>IF(O38="","",IF(MONTH(O38)&lt;MONTH(O38+1),"",IF(O38&lt;&gt;"",O38+1,IF(TEXT('일간 팔로워'!$J$1,"aaa")=$B38,'일간 팔로워'!$J$1,""))))</f>
        <v/>
      </c>
      <c r="P39" s="42" t="e">
        <f>IFERROR(INDEX(visitors!$A$1:$Y$32,DAY(N39)+1,MATCH($N$2,visitors!$1:$1,0)),NA())</f>
        <v>#N/A</v>
      </c>
      <c r="S39" s="1"/>
      <c r="T39" s="101"/>
      <c r="U39" s="76"/>
      <c r="W39" s="1"/>
      <c r="X39" s="101"/>
      <c r="Y39" s="76"/>
      <c r="AA39" s="1"/>
      <c r="AB39" s="101"/>
      <c r="AI39" s="1"/>
      <c r="AJ39" s="100"/>
      <c r="AK39" s="76"/>
      <c r="AM39" s="1"/>
      <c r="AN39" s="100"/>
    </row>
    <row r="40" spans="1:40">
      <c r="A40" s="376"/>
      <c r="B40" s="89" t="s">
        <v>33</v>
      </c>
      <c r="C40" s="3" t="s">
        <v>39</v>
      </c>
      <c r="D40" s="98" t="s">
        <v>39</v>
      </c>
      <c r="E40" s="99" t="e">
        <v>#N/A</v>
      </c>
      <c r="F40" s="3">
        <v>45442</v>
      </c>
      <c r="G40" s="98">
        <v>45442</v>
      </c>
      <c r="H40" s="99">
        <v>47</v>
      </c>
      <c r="I40" s="3" t="s">
        <v>39</v>
      </c>
      <c r="J40" s="98" t="s">
        <v>39</v>
      </c>
      <c r="K40" s="99" t="e">
        <v>#N/A</v>
      </c>
      <c r="N40" s="34" t="str">
        <f>IF(N39="","",IF(MONTH(N39)&lt;MONTH(N39+1),"",IF(N39&lt;&gt;"",N39+1,IF(TEXT('일간 팔로워'!$J$1,"aaa")=$B39,'일간 팔로워'!$J$1,""))))</f>
        <v/>
      </c>
      <c r="O40" s="235" t="str">
        <f>IF(O39="","",IF(MONTH(O39)&lt;MONTH(O39+1),"",IF(O39&lt;&gt;"",O39+1,IF(TEXT('일간 팔로워'!$J$1,"aaa")=$B39,'일간 팔로워'!$J$1,""))))</f>
        <v/>
      </c>
      <c r="P40" s="42" t="e">
        <f>IFERROR(INDEX(visitors!$A$1:$Y$32,DAY(N40)+1,MATCH($N$2,visitors!$1:$1,0)),NA())</f>
        <v>#N/A</v>
      </c>
      <c r="S40" s="1"/>
      <c r="T40" s="101"/>
      <c r="U40" s="76"/>
      <c r="W40" s="1"/>
      <c r="X40" s="101"/>
      <c r="Y40" s="76"/>
      <c r="AA40" s="1"/>
      <c r="AB40" s="101"/>
      <c r="AI40" s="1"/>
      <c r="AJ40" s="100"/>
      <c r="AK40" s="76"/>
    </row>
    <row r="41" spans="1:40" ht="17.25" thickBot="1">
      <c r="A41" s="378"/>
      <c r="B41" s="102" t="s">
        <v>34</v>
      </c>
      <c r="C41" s="103" t="s">
        <v>39</v>
      </c>
      <c r="D41" s="104" t="s">
        <v>39</v>
      </c>
      <c r="E41" s="84" t="e">
        <v>#N/A</v>
      </c>
      <c r="F41" s="103">
        <v>45443</v>
      </c>
      <c r="G41" s="104">
        <v>45443</v>
      </c>
      <c r="H41" s="84">
        <v>38</v>
      </c>
      <c r="I41" s="103" t="s">
        <v>39</v>
      </c>
      <c r="J41" s="104" t="s">
        <v>39</v>
      </c>
      <c r="K41" s="84" t="e">
        <v>#N/A</v>
      </c>
      <c r="N41" s="105" t="str">
        <f>IF(N40="","",IF(MONTH(N40)&lt;MONTH(N40+1),"",IF(N40&lt;&gt;"",N40+1,IF(TEXT('일간 팔로워'!$J$1,"aaa")=$B40,'일간 팔로워'!$J$1,""))))</f>
        <v/>
      </c>
      <c r="O41" s="237" t="str">
        <f>IF(O40="","",IF(MONTH(O40)&lt;MONTH(O40+1),"",IF(O40&lt;&gt;"",O40+1,IF(TEXT('일간 팔로워'!$J$1,"aaa")=$B40,'일간 팔로워'!$J$1,""))))</f>
        <v/>
      </c>
      <c r="P41" s="44" t="e">
        <f>IFERROR(INDEX(visitors!$A$1:$Y$32,DAY(N41)+1,MATCH($N$2,visitors!$1:$1,0)),NA())</f>
        <v>#N/A</v>
      </c>
      <c r="S41" s="1"/>
      <c r="T41" s="101"/>
      <c r="U41" s="76"/>
      <c r="W41" s="1"/>
      <c r="X41" s="101"/>
      <c r="Y41" s="76"/>
      <c r="AA41" s="1"/>
      <c r="AB41" s="101"/>
    </row>
    <row r="44" spans="1:40">
      <c r="A44" s="75"/>
    </row>
    <row r="45" spans="1:40">
      <c r="A45" s="75"/>
    </row>
    <row r="46" spans="1:40">
      <c r="A46" s="75"/>
    </row>
    <row r="47" spans="1:40">
      <c r="A47" s="75"/>
    </row>
    <row r="48" spans="1:40">
      <c r="A48" s="75"/>
    </row>
  </sheetData>
  <mergeCells count="10">
    <mergeCell ref="A16:A22"/>
    <mergeCell ref="A23:A29"/>
    <mergeCell ref="A30:A36"/>
    <mergeCell ref="A37:A41"/>
    <mergeCell ref="C3:E3"/>
    <mergeCell ref="F3:H3"/>
    <mergeCell ref="I3:K3"/>
    <mergeCell ref="N3:P3"/>
    <mergeCell ref="A5:A8"/>
    <mergeCell ref="A9:A15"/>
  </mergeCells>
  <phoneticPr fontId="1"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FA4E9C-C4BD-4911-9845-D8FB3327CF21}">
  <sheetPr>
    <tabColor theme="7" tint="0.79998168889431442"/>
  </sheetPr>
  <dimension ref="A1:AF75"/>
  <sheetViews>
    <sheetView topLeftCell="B1" zoomScale="85" zoomScaleNormal="85" workbookViewId="0">
      <selection activeCell="T1" sqref="T1"/>
    </sheetView>
  </sheetViews>
  <sheetFormatPr defaultRowHeight="16.5"/>
  <cols>
    <col min="1" max="1" width="150.875" style="37" customWidth="1"/>
    <col min="2" max="20" width="9" style="37"/>
    <col min="21" max="22" width="9" style="253"/>
    <col min="23" max="23" width="11.125" style="253" bestFit="1" customWidth="1"/>
    <col min="24" max="26" width="9" style="253"/>
    <col min="27" max="27" width="11.125" style="253" bestFit="1" customWidth="1"/>
    <col min="28" max="28" width="9" style="253"/>
    <col min="29" max="29" width="9" style="254"/>
    <col min="30" max="30" width="9" style="253"/>
  </cols>
  <sheetData>
    <row r="1" spans="1:32">
      <c r="A1" s="107" t="s">
        <v>56</v>
      </c>
      <c r="B1" s="107" t="s">
        <v>57</v>
      </c>
      <c r="C1" s="107" t="s">
        <v>58</v>
      </c>
      <c r="D1" s="107" t="s">
        <v>59</v>
      </c>
      <c r="E1" s="107" t="s">
        <v>60</v>
      </c>
      <c r="F1" s="107" t="s">
        <v>61</v>
      </c>
      <c r="G1" s="107" t="s">
        <v>62</v>
      </c>
      <c r="H1" s="107" t="s">
        <v>63</v>
      </c>
      <c r="I1" s="107" t="s">
        <v>64</v>
      </c>
      <c r="J1" s="107" t="s">
        <v>65</v>
      </c>
      <c r="K1" s="107" t="s">
        <v>66</v>
      </c>
      <c r="L1" s="107" t="s">
        <v>67</v>
      </c>
      <c r="M1" s="107" t="s">
        <v>68</v>
      </c>
      <c r="N1" s="107" t="s">
        <v>69</v>
      </c>
      <c r="O1" s="107" t="s">
        <v>70</v>
      </c>
      <c r="P1" s="107" t="s">
        <v>71</v>
      </c>
      <c r="Q1" s="107" t="s">
        <v>72</v>
      </c>
      <c r="R1" s="107" t="s">
        <v>73</v>
      </c>
      <c r="S1" s="115" t="s">
        <v>74</v>
      </c>
      <c r="T1" s="107" t="s">
        <v>75</v>
      </c>
    </row>
    <row r="2" spans="1:32">
      <c r="A2" s="38" t="s">
        <v>773</v>
      </c>
      <c r="B2" s="38" t="s">
        <v>774</v>
      </c>
      <c r="C2" s="38" t="s">
        <v>76</v>
      </c>
      <c r="D2" s="38" t="s">
        <v>39</v>
      </c>
      <c r="E2" s="38" t="s">
        <v>86</v>
      </c>
      <c r="F2" s="38" t="s">
        <v>707</v>
      </c>
      <c r="G2" s="38" t="s">
        <v>39</v>
      </c>
      <c r="H2" s="38" t="s">
        <v>39</v>
      </c>
      <c r="I2" s="38" t="s">
        <v>78</v>
      </c>
      <c r="J2" s="38">
        <v>10145</v>
      </c>
      <c r="K2" s="38" t="s">
        <v>39</v>
      </c>
      <c r="L2" s="38" t="s">
        <v>39</v>
      </c>
      <c r="M2" s="38">
        <v>570</v>
      </c>
      <c r="N2" s="38">
        <v>5.6185312569141388E-2</v>
      </c>
      <c r="O2" s="38">
        <v>213</v>
      </c>
      <c r="P2" s="38">
        <v>7</v>
      </c>
      <c r="Q2" s="38">
        <v>16</v>
      </c>
      <c r="R2" s="38" t="s">
        <v>39</v>
      </c>
      <c r="S2" s="116">
        <v>7.9448007047176361E-2</v>
      </c>
      <c r="T2" s="38" t="s">
        <v>39</v>
      </c>
      <c r="U2" s="253">
        <f>IF(Y2="","",_xlfn.RANK.EQ(AC2,AC:AC,0))</f>
        <v>6</v>
      </c>
      <c r="V2" s="253">
        <f t="shared" ref="V2" si="0">IF(U2="","",_xlfn.RANK.EQ(U2,U:U,1))</f>
        <v>6</v>
      </c>
      <c r="W2" s="255">
        <f>IF(C2&lt;&gt;"Organic","",IF(B2="","",DATE(RIGHT(F2,4),LEFT(F2,2),MID(F2,4,2))))</f>
        <v>45470</v>
      </c>
      <c r="X2" s="253">
        <f>IF(C2&lt;&gt;"Organic","",IF(B2="","",SUM(O2:Q2,M2)))</f>
        <v>806</v>
      </c>
      <c r="Y2" s="254">
        <f>IFERROR(IF(C2&lt;&gt;"Organic","",X2/J2),"")</f>
        <v>7.9448003942828985E-2</v>
      </c>
      <c r="Z2" s="253" t="str">
        <f t="shared" ref="Z2" si="1">IF(C2="","",IFERROR(IF(OR(C2="Sponsored",C2="total"),"",IF(C3="sponsored",K3-K4,K2)),""))</f>
        <v/>
      </c>
      <c r="AA2" s="255">
        <f t="shared" ref="AA2" si="2">DATE(RIGHT(F2,4),LEFT(F2,2),MID(F2,4,2))</f>
        <v>45470</v>
      </c>
      <c r="AB2" s="253" t="str">
        <f>IF(Z2="","",RANK(Z2,Z:Z,0)+COUNTIF($Z$1:Z1,Z2))</f>
        <v/>
      </c>
      <c r="AC2" s="254">
        <f>IFERROR((0.6*Z2+1.4*M2+O2+P2+Q2)/J2,Y2)</f>
        <v>7.9448003942828985E-2</v>
      </c>
      <c r="AD2" s="253">
        <f>IF(C2="total","",J2)</f>
        <v>10145</v>
      </c>
      <c r="AE2">
        <f>IF(C2="organic",M2+O2+P2+Q2,"")</f>
        <v>806</v>
      </c>
      <c r="AF2">
        <f>IF(C2="total","",M2+O2+P2+Q2)</f>
        <v>806</v>
      </c>
    </row>
    <row r="3" spans="1:32">
      <c r="A3" s="38" t="s">
        <v>773</v>
      </c>
      <c r="B3" s="38" t="s">
        <v>774</v>
      </c>
      <c r="C3" s="38" t="s">
        <v>79</v>
      </c>
      <c r="D3" s="38" t="s">
        <v>775</v>
      </c>
      <c r="E3" s="38" t="s">
        <v>86</v>
      </c>
      <c r="F3" s="38" t="s">
        <v>707</v>
      </c>
      <c r="G3" s="38" t="s">
        <v>776</v>
      </c>
      <c r="H3" s="38" t="s">
        <v>777</v>
      </c>
      <c r="I3" s="38" t="s">
        <v>78</v>
      </c>
      <c r="J3" s="38">
        <v>78634</v>
      </c>
      <c r="K3" s="38" t="s">
        <v>39</v>
      </c>
      <c r="L3" s="38" t="s">
        <v>39</v>
      </c>
      <c r="M3" s="38">
        <v>475</v>
      </c>
      <c r="N3" s="38">
        <v>6.0406439006328583E-3</v>
      </c>
      <c r="O3" s="38">
        <v>2</v>
      </c>
      <c r="P3" s="38">
        <v>0</v>
      </c>
      <c r="Q3" s="38">
        <v>0</v>
      </c>
      <c r="R3" s="38">
        <v>1</v>
      </c>
      <c r="S3" s="116">
        <v>6.0406439006328583E-3</v>
      </c>
      <c r="T3" s="38" t="s">
        <v>39</v>
      </c>
      <c r="U3" s="253" t="str">
        <f t="shared" ref="U3:U66" si="3">IF(Y3="","",_xlfn.RANK.EQ(AC3,AC:AC,0))</f>
        <v/>
      </c>
      <c r="V3" s="253" t="str">
        <f t="shared" ref="V3:V66" si="4">IF(U3="","",_xlfn.RANK.EQ(U3,U:U,1))</f>
        <v/>
      </c>
      <c r="W3" s="255" t="str">
        <f t="shared" ref="W3:W66" si="5">IF(C3&lt;&gt;"Organic","",IF(B3="","",DATE(RIGHT(F3,4),LEFT(F3,2),MID(F3,4,2))))</f>
        <v/>
      </c>
      <c r="X3" s="253" t="str">
        <f t="shared" ref="X3:X66" si="6">IF(C3&lt;&gt;"Organic","",IF(B3="","",SUM(O3:Q3,M3)))</f>
        <v/>
      </c>
      <c r="Y3" s="254" t="str">
        <f t="shared" ref="Y3:Y66" si="7">IFERROR(IF(C3&lt;&gt;"Organic","",X3/J3),"")</f>
        <v/>
      </c>
      <c r="Z3" s="253" t="str">
        <f t="shared" ref="Z3:Z66" si="8">IF(C3="","",IFERROR(IF(OR(C3="Sponsored",C3="total"),"",IF(C4="sponsored",K4-K5,K3)),""))</f>
        <v/>
      </c>
      <c r="AA3" s="255">
        <f t="shared" ref="AA3:AA66" si="9">DATE(RIGHT(F3,4),LEFT(F3,2),MID(F3,4,2))</f>
        <v>45470</v>
      </c>
      <c r="AB3" s="253" t="str">
        <f>IF(Z3="","",RANK(Z3,Z:Z,0)+COUNTIF($Z$1:Z2,Z3))</f>
        <v/>
      </c>
      <c r="AC3" s="254" t="str">
        <f t="shared" ref="AC3:AC66" si="10">IFERROR((0.6*Z3+1.4*M3+O3+P3+Q3)/J3,Y3)</f>
        <v/>
      </c>
      <c r="AD3" s="253">
        <f t="shared" ref="AD3:AD66" si="11">IF(C3="total","",J3)</f>
        <v>78634</v>
      </c>
      <c r="AE3" t="str">
        <f t="shared" ref="AE3:AE66" si="12">IF(C3="organic",M3+O3+P3+Q3,"")</f>
        <v/>
      </c>
      <c r="AF3">
        <f t="shared" ref="AF3:AF66" si="13">IF(C3="total","",M3+O3+P3+Q3)</f>
        <v>477</v>
      </c>
    </row>
    <row r="4" spans="1:32">
      <c r="A4" s="38" t="s">
        <v>773</v>
      </c>
      <c r="B4" s="38" t="s">
        <v>774</v>
      </c>
      <c r="C4" s="38" t="s">
        <v>82</v>
      </c>
      <c r="D4" s="38" t="s">
        <v>39</v>
      </c>
      <c r="E4" s="38" t="s">
        <v>86</v>
      </c>
      <c r="F4" s="38" t="s">
        <v>707</v>
      </c>
      <c r="G4" s="38" t="s">
        <v>39</v>
      </c>
      <c r="H4" s="38" t="s">
        <v>39</v>
      </c>
      <c r="I4" s="38" t="s">
        <v>78</v>
      </c>
      <c r="J4" s="38">
        <v>88779</v>
      </c>
      <c r="K4" s="38" t="s">
        <v>39</v>
      </c>
      <c r="L4" s="38" t="s">
        <v>39</v>
      </c>
      <c r="M4" s="38">
        <v>1045</v>
      </c>
      <c r="N4" s="38">
        <v>1.1770801618695259E-2</v>
      </c>
      <c r="O4" s="38">
        <v>215</v>
      </c>
      <c r="P4" s="38">
        <v>7</v>
      </c>
      <c r="Q4" s="38">
        <v>16</v>
      </c>
      <c r="R4" s="38">
        <v>1</v>
      </c>
      <c r="S4" s="116">
        <v>1.4429087750613689E-2</v>
      </c>
      <c r="T4" s="38" t="s">
        <v>39</v>
      </c>
      <c r="U4" s="253" t="str">
        <f t="shared" si="3"/>
        <v/>
      </c>
      <c r="V4" s="253" t="str">
        <f t="shared" si="4"/>
        <v/>
      </c>
      <c r="W4" s="255" t="str">
        <f t="shared" si="5"/>
        <v/>
      </c>
      <c r="X4" s="253" t="str">
        <f t="shared" si="6"/>
        <v/>
      </c>
      <c r="Y4" s="254" t="str">
        <f t="shared" si="7"/>
        <v/>
      </c>
      <c r="Z4" s="253" t="str">
        <f t="shared" si="8"/>
        <v/>
      </c>
      <c r="AA4" s="255">
        <f t="shared" si="9"/>
        <v>45470</v>
      </c>
      <c r="AB4" s="253" t="str">
        <f>IF(Z4="","",RANK(Z4,Z:Z,0)+COUNTIF($Z$1:Z3,Z4))</f>
        <v/>
      </c>
      <c r="AC4" s="254" t="str">
        <f t="shared" si="10"/>
        <v/>
      </c>
      <c r="AD4" s="253" t="str">
        <f t="shared" si="11"/>
        <v/>
      </c>
      <c r="AE4" t="str">
        <f t="shared" si="12"/>
        <v/>
      </c>
      <c r="AF4" t="str">
        <f t="shared" si="13"/>
        <v/>
      </c>
    </row>
    <row r="5" spans="1:32">
      <c r="A5" s="38" t="s">
        <v>778</v>
      </c>
      <c r="B5" s="38" t="s">
        <v>779</v>
      </c>
      <c r="C5" s="38" t="s">
        <v>76</v>
      </c>
      <c r="D5" s="38" t="s">
        <v>39</v>
      </c>
      <c r="E5" s="38" t="s">
        <v>83</v>
      </c>
      <c r="F5" s="38" t="s">
        <v>706</v>
      </c>
      <c r="G5" s="38" t="s">
        <v>39</v>
      </c>
      <c r="H5" s="38" t="s">
        <v>39</v>
      </c>
      <c r="I5" s="38" t="s">
        <v>78</v>
      </c>
      <c r="J5" s="38">
        <v>1869</v>
      </c>
      <c r="K5" s="38" t="s">
        <v>39</v>
      </c>
      <c r="L5" s="38" t="s">
        <v>39</v>
      </c>
      <c r="M5" s="38">
        <v>38</v>
      </c>
      <c r="N5" s="38">
        <v>2.0331727340817451E-2</v>
      </c>
      <c r="O5" s="38">
        <v>52</v>
      </c>
      <c r="P5" s="38">
        <v>0</v>
      </c>
      <c r="Q5" s="38">
        <v>3</v>
      </c>
      <c r="R5" s="38" t="s">
        <v>39</v>
      </c>
      <c r="S5" s="116">
        <v>4.9759227782487869E-2</v>
      </c>
      <c r="T5" s="38" t="s">
        <v>39</v>
      </c>
      <c r="U5" s="253">
        <f t="shared" si="3"/>
        <v>8</v>
      </c>
      <c r="V5" s="253">
        <f t="shared" si="4"/>
        <v>8</v>
      </c>
      <c r="W5" s="255">
        <f t="shared" si="5"/>
        <v>45469</v>
      </c>
      <c r="X5" s="253">
        <f t="shared" si="6"/>
        <v>93</v>
      </c>
      <c r="Y5" s="254">
        <f t="shared" si="7"/>
        <v>4.9759229534510431E-2</v>
      </c>
      <c r="Z5" s="253" t="str">
        <f t="shared" si="8"/>
        <v/>
      </c>
      <c r="AA5" s="255">
        <f t="shared" si="9"/>
        <v>45469</v>
      </c>
      <c r="AB5" s="253" t="str">
        <f>IF(Z5="","",RANK(Z5,Z:Z,0)+COUNTIF($Z$1:Z4,Z5))</f>
        <v/>
      </c>
      <c r="AC5" s="254">
        <f t="shared" si="10"/>
        <v>4.9759229534510431E-2</v>
      </c>
      <c r="AD5" s="253">
        <f t="shared" si="11"/>
        <v>1869</v>
      </c>
      <c r="AE5">
        <f t="shared" si="12"/>
        <v>93</v>
      </c>
      <c r="AF5">
        <f t="shared" si="13"/>
        <v>93</v>
      </c>
    </row>
    <row r="6" spans="1:32">
      <c r="A6" s="38" t="s">
        <v>778</v>
      </c>
      <c r="B6" s="38" t="s">
        <v>779</v>
      </c>
      <c r="C6" s="38" t="s">
        <v>79</v>
      </c>
      <c r="D6" s="38" t="s">
        <v>780</v>
      </c>
      <c r="E6" s="38" t="s">
        <v>83</v>
      </c>
      <c r="F6" s="38" t="s">
        <v>706</v>
      </c>
      <c r="G6" s="38" t="s">
        <v>706</v>
      </c>
      <c r="H6" s="38" t="s">
        <v>710</v>
      </c>
      <c r="I6" s="38" t="s">
        <v>78</v>
      </c>
      <c r="J6" s="38">
        <v>147007</v>
      </c>
      <c r="K6" s="38" t="s">
        <v>39</v>
      </c>
      <c r="L6" s="38" t="s">
        <v>39</v>
      </c>
      <c r="M6" s="38">
        <v>2066</v>
      </c>
      <c r="N6" s="38">
        <v>1.4053752645850182E-2</v>
      </c>
      <c r="O6" s="38">
        <v>124</v>
      </c>
      <c r="P6" s="38">
        <v>0</v>
      </c>
      <c r="Q6" s="38">
        <v>1</v>
      </c>
      <c r="R6" s="38">
        <v>82</v>
      </c>
      <c r="S6" s="116">
        <v>1.4060555025935173E-2</v>
      </c>
      <c r="T6" s="38" t="s">
        <v>39</v>
      </c>
      <c r="U6" s="253" t="str">
        <f t="shared" si="3"/>
        <v/>
      </c>
      <c r="V6" s="253" t="str">
        <f t="shared" si="4"/>
        <v/>
      </c>
      <c r="W6" s="255" t="str">
        <f t="shared" si="5"/>
        <v/>
      </c>
      <c r="X6" s="253" t="str">
        <f t="shared" si="6"/>
        <v/>
      </c>
      <c r="Y6" s="254" t="str">
        <f t="shared" si="7"/>
        <v/>
      </c>
      <c r="Z6" s="253" t="str">
        <f t="shared" si="8"/>
        <v/>
      </c>
      <c r="AA6" s="255">
        <f t="shared" si="9"/>
        <v>45469</v>
      </c>
      <c r="AB6" s="253" t="str">
        <f>IF(Z6="","",RANK(Z6,Z:Z,0)+COUNTIF($Z$1:Z5,Z6))</f>
        <v/>
      </c>
      <c r="AC6" s="254" t="str">
        <f t="shared" si="10"/>
        <v/>
      </c>
      <c r="AD6" s="253">
        <f t="shared" si="11"/>
        <v>147007</v>
      </c>
      <c r="AE6" t="str">
        <f t="shared" si="12"/>
        <v/>
      </c>
      <c r="AF6">
        <f t="shared" si="13"/>
        <v>2191</v>
      </c>
    </row>
    <row r="7" spans="1:32">
      <c r="A7" s="38" t="s">
        <v>778</v>
      </c>
      <c r="B7" s="38" t="s">
        <v>779</v>
      </c>
      <c r="C7" s="38" t="s">
        <v>82</v>
      </c>
      <c r="D7" s="38" t="s">
        <v>39</v>
      </c>
      <c r="E7" s="38" t="s">
        <v>83</v>
      </c>
      <c r="F7" s="38" t="s">
        <v>706</v>
      </c>
      <c r="G7" s="38" t="s">
        <v>39</v>
      </c>
      <c r="H7" s="38" t="s">
        <v>39</v>
      </c>
      <c r="I7" s="38" t="s">
        <v>78</v>
      </c>
      <c r="J7" s="38">
        <v>148876</v>
      </c>
      <c r="K7" s="38" t="s">
        <v>39</v>
      </c>
      <c r="L7" s="38" t="s">
        <v>39</v>
      </c>
      <c r="M7" s="38">
        <v>2104</v>
      </c>
      <c r="N7" s="38">
        <v>1.4132566750049591E-2</v>
      </c>
      <c r="O7" s="38">
        <v>176</v>
      </c>
      <c r="P7" s="38">
        <v>0</v>
      </c>
      <c r="Q7" s="38">
        <v>4</v>
      </c>
      <c r="R7" s="38">
        <v>82</v>
      </c>
      <c r="S7" s="116">
        <v>1.4508718624711037E-2</v>
      </c>
      <c r="T7" s="38" t="s">
        <v>39</v>
      </c>
      <c r="U7" s="253" t="str">
        <f t="shared" si="3"/>
        <v/>
      </c>
      <c r="V7" s="253" t="str">
        <f t="shared" si="4"/>
        <v/>
      </c>
      <c r="W7" s="255" t="str">
        <f t="shared" si="5"/>
        <v/>
      </c>
      <c r="X7" s="253" t="str">
        <f t="shared" si="6"/>
        <v/>
      </c>
      <c r="Y7" s="254" t="str">
        <f t="shared" si="7"/>
        <v/>
      </c>
      <c r="Z7" s="253" t="str">
        <f t="shared" si="8"/>
        <v/>
      </c>
      <c r="AA7" s="255">
        <f t="shared" si="9"/>
        <v>45469</v>
      </c>
      <c r="AB7" s="253" t="str">
        <f>IF(Z7="","",RANK(Z7,Z:Z,0)+COUNTIF($Z$1:Z6,Z7))</f>
        <v/>
      </c>
      <c r="AC7" s="254" t="str">
        <f t="shared" si="10"/>
        <v/>
      </c>
      <c r="AD7" s="253" t="str">
        <f t="shared" si="11"/>
        <v/>
      </c>
      <c r="AE7" t="str">
        <f t="shared" si="12"/>
        <v/>
      </c>
      <c r="AF7" t="str">
        <f t="shared" si="13"/>
        <v/>
      </c>
    </row>
    <row r="8" spans="1:32">
      <c r="A8" s="38" t="s">
        <v>781</v>
      </c>
      <c r="B8" s="38" t="s">
        <v>782</v>
      </c>
      <c r="C8" s="38" t="s">
        <v>76</v>
      </c>
      <c r="D8" s="38" t="s">
        <v>39</v>
      </c>
      <c r="E8" s="38" t="s">
        <v>77</v>
      </c>
      <c r="F8" s="38" t="s">
        <v>704</v>
      </c>
      <c r="G8" s="38" t="s">
        <v>39</v>
      </c>
      <c r="H8" s="38" t="s">
        <v>39</v>
      </c>
      <c r="I8" s="38" t="s">
        <v>78</v>
      </c>
      <c r="J8" s="38">
        <v>3793</v>
      </c>
      <c r="K8" s="38" t="s">
        <v>39</v>
      </c>
      <c r="L8" s="38" t="s">
        <v>39</v>
      </c>
      <c r="M8" s="38">
        <v>181</v>
      </c>
      <c r="N8" s="38">
        <v>4.7719482332468033E-2</v>
      </c>
      <c r="O8" s="38">
        <v>97</v>
      </c>
      <c r="P8" s="38">
        <v>39</v>
      </c>
      <c r="Q8" s="38">
        <v>4</v>
      </c>
      <c r="R8" s="38" t="s">
        <v>39</v>
      </c>
      <c r="S8" s="116">
        <v>8.462958037853241E-2</v>
      </c>
      <c r="T8" s="38" t="s">
        <v>39</v>
      </c>
      <c r="U8" s="253">
        <f t="shared" si="3"/>
        <v>5</v>
      </c>
      <c r="V8" s="253">
        <f t="shared" si="4"/>
        <v>5</v>
      </c>
      <c r="W8" s="255">
        <f t="shared" si="5"/>
        <v>45467</v>
      </c>
      <c r="X8" s="253">
        <f t="shared" si="6"/>
        <v>321</v>
      </c>
      <c r="Y8" s="254">
        <f t="shared" si="7"/>
        <v>8.4629580806749274E-2</v>
      </c>
      <c r="Z8" s="253" t="str">
        <f t="shared" si="8"/>
        <v/>
      </c>
      <c r="AA8" s="255">
        <f t="shared" si="9"/>
        <v>45467</v>
      </c>
      <c r="AB8" s="253" t="str">
        <f>IF(Z8="","",RANK(Z8,Z:Z,0)+COUNTIF($Z$1:Z7,Z8))</f>
        <v/>
      </c>
      <c r="AC8" s="254">
        <f t="shared" si="10"/>
        <v>8.4629580806749274E-2</v>
      </c>
      <c r="AD8" s="253">
        <f t="shared" si="11"/>
        <v>3793</v>
      </c>
      <c r="AE8">
        <f t="shared" si="12"/>
        <v>321</v>
      </c>
      <c r="AF8">
        <f t="shared" si="13"/>
        <v>321</v>
      </c>
    </row>
    <row r="9" spans="1:32">
      <c r="A9" s="38" t="s">
        <v>783</v>
      </c>
      <c r="B9" s="38" t="s">
        <v>784</v>
      </c>
      <c r="C9" s="38" t="s">
        <v>76</v>
      </c>
      <c r="D9" s="38" t="s">
        <v>39</v>
      </c>
      <c r="E9" s="38" t="s">
        <v>86</v>
      </c>
      <c r="F9" s="38" t="s">
        <v>701</v>
      </c>
      <c r="G9" s="38" t="s">
        <v>39</v>
      </c>
      <c r="H9" s="38" t="s">
        <v>39</v>
      </c>
      <c r="I9" s="38" t="s">
        <v>78</v>
      </c>
      <c r="J9" s="38">
        <v>3627</v>
      </c>
      <c r="K9" s="38" t="s">
        <v>39</v>
      </c>
      <c r="L9" s="38" t="s">
        <v>39</v>
      </c>
      <c r="M9" s="38">
        <v>79</v>
      </c>
      <c r="N9" s="38">
        <v>2.1781086921691895E-2</v>
      </c>
      <c r="O9" s="38">
        <v>44</v>
      </c>
      <c r="P9" s="38">
        <v>0</v>
      </c>
      <c r="Q9" s="38">
        <v>10</v>
      </c>
      <c r="R9" s="38" t="s">
        <v>39</v>
      </c>
      <c r="S9" s="116">
        <v>3.6669421941041946E-2</v>
      </c>
      <c r="T9" s="38" t="s">
        <v>39</v>
      </c>
      <c r="U9" s="253">
        <f t="shared" si="3"/>
        <v>11</v>
      </c>
      <c r="V9" s="253">
        <f t="shared" si="4"/>
        <v>11</v>
      </c>
      <c r="W9" s="255">
        <f t="shared" si="5"/>
        <v>45464</v>
      </c>
      <c r="X9" s="253">
        <f t="shared" si="6"/>
        <v>133</v>
      </c>
      <c r="Y9" s="254">
        <f t="shared" si="7"/>
        <v>3.6669423766197959E-2</v>
      </c>
      <c r="Z9" s="253" t="str">
        <f t="shared" si="8"/>
        <v/>
      </c>
      <c r="AA9" s="255">
        <f t="shared" si="9"/>
        <v>45464</v>
      </c>
      <c r="AB9" s="253" t="str">
        <f>IF(Z9="","",RANK(Z9,Z:Z,0)+COUNTIF($Z$1:Z8,Z9))</f>
        <v/>
      </c>
      <c r="AC9" s="254">
        <f t="shared" si="10"/>
        <v>3.6669423766197959E-2</v>
      </c>
      <c r="AD9" s="253">
        <f t="shared" si="11"/>
        <v>3627</v>
      </c>
      <c r="AE9">
        <f t="shared" si="12"/>
        <v>133</v>
      </c>
      <c r="AF9">
        <f t="shared" si="13"/>
        <v>133</v>
      </c>
    </row>
    <row r="10" spans="1:32">
      <c r="A10" s="38" t="s">
        <v>785</v>
      </c>
      <c r="B10" s="38" t="s">
        <v>786</v>
      </c>
      <c r="C10" s="38" t="s">
        <v>76</v>
      </c>
      <c r="D10" s="38" t="s">
        <v>39</v>
      </c>
      <c r="E10" s="38" t="s">
        <v>83</v>
      </c>
      <c r="F10" s="38" t="s">
        <v>700</v>
      </c>
      <c r="G10" s="38" t="s">
        <v>39</v>
      </c>
      <c r="H10" s="38" t="s">
        <v>39</v>
      </c>
      <c r="I10" s="38" t="s">
        <v>78</v>
      </c>
      <c r="J10" s="38">
        <v>6991</v>
      </c>
      <c r="K10" s="38">
        <v>3393</v>
      </c>
      <c r="L10" s="38" t="s">
        <v>39</v>
      </c>
      <c r="M10" s="38">
        <v>554</v>
      </c>
      <c r="N10" s="38">
        <v>7.9244740307331085E-2</v>
      </c>
      <c r="O10" s="38">
        <v>105</v>
      </c>
      <c r="P10" s="38">
        <v>9</v>
      </c>
      <c r="Q10" s="38">
        <v>6</v>
      </c>
      <c r="R10" s="38" t="s">
        <v>39</v>
      </c>
      <c r="S10" s="116">
        <v>9.6409671008586884E-2</v>
      </c>
      <c r="T10" s="38" t="s">
        <v>84</v>
      </c>
      <c r="U10" s="253">
        <f t="shared" si="3"/>
        <v>2</v>
      </c>
      <c r="V10" s="253">
        <f t="shared" si="4"/>
        <v>2</v>
      </c>
      <c r="W10" s="255">
        <f t="shared" si="5"/>
        <v>45463</v>
      </c>
      <c r="X10" s="253">
        <f t="shared" si="6"/>
        <v>674</v>
      </c>
      <c r="Y10" s="254">
        <f t="shared" si="7"/>
        <v>9.6409669575168069E-2</v>
      </c>
      <c r="Z10" s="253">
        <f t="shared" si="8"/>
        <v>3393</v>
      </c>
      <c r="AA10" s="255">
        <f t="shared" si="9"/>
        <v>45463</v>
      </c>
      <c r="AB10" s="253">
        <f>IF(Z10="","",RANK(Z10,Z:Z,0)+COUNTIF($Z$1:Z9,Z10))</f>
        <v>1</v>
      </c>
      <c r="AC10" s="254">
        <f t="shared" si="10"/>
        <v>0.41931054212558999</v>
      </c>
      <c r="AD10" s="253">
        <f t="shared" si="11"/>
        <v>6991</v>
      </c>
      <c r="AE10">
        <f t="shared" si="12"/>
        <v>674</v>
      </c>
      <c r="AF10">
        <f t="shared" si="13"/>
        <v>674</v>
      </c>
    </row>
    <row r="11" spans="1:32">
      <c r="A11" s="38" t="s">
        <v>787</v>
      </c>
      <c r="B11" s="38" t="s">
        <v>788</v>
      </c>
      <c r="C11" s="38" t="s">
        <v>76</v>
      </c>
      <c r="D11" s="38" t="s">
        <v>39</v>
      </c>
      <c r="E11" s="38" t="s">
        <v>83</v>
      </c>
      <c r="F11" s="38" t="s">
        <v>697</v>
      </c>
      <c r="G11" s="38" t="s">
        <v>39</v>
      </c>
      <c r="H11" s="38" t="s">
        <v>39</v>
      </c>
      <c r="I11" s="38" t="s">
        <v>78</v>
      </c>
      <c r="J11" s="38">
        <v>4171</v>
      </c>
      <c r="K11" s="38" t="s">
        <v>39</v>
      </c>
      <c r="L11" s="38" t="s">
        <v>39</v>
      </c>
      <c r="M11" s="38">
        <v>116</v>
      </c>
      <c r="N11" s="38">
        <v>2.7811076492071152E-2</v>
      </c>
      <c r="O11" s="38">
        <v>21</v>
      </c>
      <c r="P11" s="38">
        <v>1</v>
      </c>
      <c r="Q11" s="38">
        <v>0</v>
      </c>
      <c r="R11" s="38" t="s">
        <v>39</v>
      </c>
      <c r="S11" s="116">
        <v>3.3085592091083527E-2</v>
      </c>
      <c r="T11" s="38" t="s">
        <v>39</v>
      </c>
      <c r="U11" s="253">
        <f t="shared" si="3"/>
        <v>12</v>
      </c>
      <c r="V11" s="253">
        <f t="shared" si="4"/>
        <v>12</v>
      </c>
      <c r="W11" s="255">
        <f t="shared" si="5"/>
        <v>45460</v>
      </c>
      <c r="X11" s="253">
        <f t="shared" si="6"/>
        <v>138</v>
      </c>
      <c r="Y11" s="254">
        <f t="shared" si="7"/>
        <v>3.308559098537521E-2</v>
      </c>
      <c r="Z11" s="253" t="str">
        <f t="shared" si="8"/>
        <v/>
      </c>
      <c r="AA11" s="255">
        <f t="shared" si="9"/>
        <v>45460</v>
      </c>
      <c r="AB11" s="253" t="str">
        <f>IF(Z11="","",RANK(Z11,Z:Z,0)+COUNTIF($Z$1:Z10,Z11))</f>
        <v/>
      </c>
      <c r="AC11" s="254">
        <f t="shared" si="10"/>
        <v>3.308559098537521E-2</v>
      </c>
      <c r="AD11" s="253">
        <f t="shared" si="11"/>
        <v>4171</v>
      </c>
      <c r="AE11">
        <f t="shared" si="12"/>
        <v>138</v>
      </c>
      <c r="AF11">
        <f t="shared" si="13"/>
        <v>138</v>
      </c>
    </row>
    <row r="12" spans="1:32">
      <c r="A12" s="38" t="s">
        <v>789</v>
      </c>
      <c r="B12" s="38" t="s">
        <v>790</v>
      </c>
      <c r="C12" s="38" t="s">
        <v>76</v>
      </c>
      <c r="D12" s="38" t="s">
        <v>39</v>
      </c>
      <c r="E12" s="38" t="s">
        <v>83</v>
      </c>
      <c r="F12" s="38" t="s">
        <v>694</v>
      </c>
      <c r="G12" s="38" t="s">
        <v>39</v>
      </c>
      <c r="H12" s="38" t="s">
        <v>39</v>
      </c>
      <c r="I12" s="38" t="s">
        <v>78</v>
      </c>
      <c r="J12" s="38">
        <v>2063</v>
      </c>
      <c r="K12" s="38" t="s">
        <v>39</v>
      </c>
      <c r="L12" s="38" t="s">
        <v>39</v>
      </c>
      <c r="M12" s="38">
        <v>61</v>
      </c>
      <c r="N12" s="38">
        <v>2.9568590223789215E-2</v>
      </c>
      <c r="O12" s="38">
        <v>42</v>
      </c>
      <c r="P12" s="38">
        <v>0</v>
      </c>
      <c r="Q12" s="38">
        <v>5</v>
      </c>
      <c r="R12" s="38" t="s">
        <v>39</v>
      </c>
      <c r="S12" s="116">
        <v>5.2350945770740509E-2</v>
      </c>
      <c r="T12" s="38" t="s">
        <v>39</v>
      </c>
      <c r="U12" s="253">
        <f t="shared" si="3"/>
        <v>7</v>
      </c>
      <c r="V12" s="253">
        <f t="shared" si="4"/>
        <v>7</v>
      </c>
      <c r="W12" s="255">
        <f t="shared" si="5"/>
        <v>45457</v>
      </c>
      <c r="X12" s="253">
        <f t="shared" si="6"/>
        <v>108</v>
      </c>
      <c r="Y12" s="254">
        <f t="shared" si="7"/>
        <v>5.2350945225399903E-2</v>
      </c>
      <c r="Z12" s="253" t="str">
        <f t="shared" si="8"/>
        <v/>
      </c>
      <c r="AA12" s="255">
        <f t="shared" si="9"/>
        <v>45457</v>
      </c>
      <c r="AB12" s="253" t="str">
        <f>IF(Z12="","",RANK(Z12,Z:Z,0)+COUNTIF($Z$1:Z11,Z12))</f>
        <v/>
      </c>
      <c r="AC12" s="254">
        <f t="shared" si="10"/>
        <v>5.2350945225399903E-2</v>
      </c>
      <c r="AD12" s="253">
        <f t="shared" si="11"/>
        <v>2063</v>
      </c>
      <c r="AE12">
        <f t="shared" si="12"/>
        <v>108</v>
      </c>
      <c r="AF12">
        <f t="shared" si="13"/>
        <v>108</v>
      </c>
    </row>
    <row r="13" spans="1:32">
      <c r="A13" s="38" t="s">
        <v>789</v>
      </c>
      <c r="B13" s="38" t="s">
        <v>790</v>
      </c>
      <c r="C13" s="38" t="s">
        <v>79</v>
      </c>
      <c r="D13" s="38" t="s">
        <v>791</v>
      </c>
      <c r="E13" s="38" t="s">
        <v>83</v>
      </c>
      <c r="F13" s="38" t="s">
        <v>694</v>
      </c>
      <c r="G13" s="38" t="s">
        <v>694</v>
      </c>
      <c r="H13" s="38" t="s">
        <v>701</v>
      </c>
      <c r="I13" s="38" t="s">
        <v>78</v>
      </c>
      <c r="J13" s="38">
        <v>24879</v>
      </c>
      <c r="K13" s="38" t="s">
        <v>39</v>
      </c>
      <c r="L13" s="38" t="s">
        <v>39</v>
      </c>
      <c r="M13" s="38">
        <v>311</v>
      </c>
      <c r="N13" s="38">
        <v>1.2500502169132233E-2</v>
      </c>
      <c r="O13" s="38">
        <v>37</v>
      </c>
      <c r="P13" s="38">
        <v>0</v>
      </c>
      <c r="Q13" s="38">
        <v>0</v>
      </c>
      <c r="R13" s="38">
        <v>25</v>
      </c>
      <c r="S13" s="116">
        <v>1.7765987664461136E-2</v>
      </c>
      <c r="T13" s="38" t="s">
        <v>39</v>
      </c>
      <c r="U13" s="253" t="str">
        <f t="shared" si="3"/>
        <v/>
      </c>
      <c r="V13" s="253" t="str">
        <f t="shared" si="4"/>
        <v/>
      </c>
      <c r="W13" s="255" t="str">
        <f t="shared" si="5"/>
        <v/>
      </c>
      <c r="X13" s="253" t="str">
        <f t="shared" si="6"/>
        <v/>
      </c>
      <c r="Y13" s="254" t="str">
        <f t="shared" si="7"/>
        <v/>
      </c>
      <c r="Z13" s="253" t="str">
        <f t="shared" si="8"/>
        <v/>
      </c>
      <c r="AA13" s="255">
        <f t="shared" si="9"/>
        <v>45457</v>
      </c>
      <c r="AB13" s="253" t="str">
        <f>IF(Z13="","",RANK(Z13,Z:Z,0)+COUNTIF($Z$1:Z12,Z13))</f>
        <v/>
      </c>
      <c r="AC13" s="254" t="str">
        <f t="shared" si="10"/>
        <v/>
      </c>
      <c r="AD13" s="253">
        <f t="shared" si="11"/>
        <v>24879</v>
      </c>
      <c r="AE13" t="str">
        <f t="shared" si="12"/>
        <v/>
      </c>
      <c r="AF13">
        <f t="shared" si="13"/>
        <v>348</v>
      </c>
    </row>
    <row r="14" spans="1:32">
      <c r="A14" s="38" t="s">
        <v>789</v>
      </c>
      <c r="B14" s="38" t="s">
        <v>790</v>
      </c>
      <c r="C14" s="38" t="s">
        <v>82</v>
      </c>
      <c r="D14" s="38" t="s">
        <v>39</v>
      </c>
      <c r="E14" s="38" t="s">
        <v>83</v>
      </c>
      <c r="F14" s="38" t="s">
        <v>694</v>
      </c>
      <c r="G14" s="38" t="s">
        <v>39</v>
      </c>
      <c r="H14" s="38" t="s">
        <v>39</v>
      </c>
      <c r="I14" s="38" t="s">
        <v>78</v>
      </c>
      <c r="J14" s="38">
        <v>26942</v>
      </c>
      <c r="K14" s="38" t="s">
        <v>39</v>
      </c>
      <c r="L14" s="38" t="s">
        <v>39</v>
      </c>
      <c r="M14" s="38">
        <v>372</v>
      </c>
      <c r="N14" s="38">
        <v>1.3807438313961029E-2</v>
      </c>
      <c r="O14" s="38">
        <v>79</v>
      </c>
      <c r="P14" s="38">
        <v>0</v>
      </c>
      <c r="Q14" s="38">
        <v>5</v>
      </c>
      <c r="R14" s="38">
        <v>25</v>
      </c>
      <c r="S14" s="116">
        <v>2.0414223894476891E-2</v>
      </c>
      <c r="T14" s="38" t="s">
        <v>39</v>
      </c>
      <c r="U14" s="253" t="str">
        <f t="shared" si="3"/>
        <v/>
      </c>
      <c r="V14" s="253" t="str">
        <f t="shared" si="4"/>
        <v/>
      </c>
      <c r="W14" s="255" t="str">
        <f t="shared" si="5"/>
        <v/>
      </c>
      <c r="X14" s="253" t="str">
        <f t="shared" si="6"/>
        <v/>
      </c>
      <c r="Y14" s="254" t="str">
        <f t="shared" si="7"/>
        <v/>
      </c>
      <c r="Z14" s="253" t="str">
        <f t="shared" si="8"/>
        <v/>
      </c>
      <c r="AA14" s="255">
        <f t="shared" si="9"/>
        <v>45457</v>
      </c>
      <c r="AB14" s="253" t="str">
        <f>IF(Z14="","",RANK(Z14,Z:Z,0)+COUNTIF($Z$1:Z13,Z14))</f>
        <v/>
      </c>
      <c r="AC14" s="254" t="str">
        <f t="shared" si="10"/>
        <v/>
      </c>
      <c r="AD14" s="253" t="str">
        <f t="shared" si="11"/>
        <v/>
      </c>
      <c r="AE14" t="str">
        <f t="shared" si="12"/>
        <v/>
      </c>
      <c r="AF14" t="str">
        <f t="shared" si="13"/>
        <v/>
      </c>
    </row>
    <row r="15" spans="1:32">
      <c r="A15" s="38" t="s">
        <v>792</v>
      </c>
      <c r="B15" s="38" t="s">
        <v>793</v>
      </c>
      <c r="C15" s="38" t="s">
        <v>76</v>
      </c>
      <c r="D15" s="38" t="s">
        <v>39</v>
      </c>
      <c r="E15" s="38" t="s">
        <v>83</v>
      </c>
      <c r="F15" s="38" t="s">
        <v>693</v>
      </c>
      <c r="G15" s="38" t="s">
        <v>39</v>
      </c>
      <c r="H15" s="38" t="s">
        <v>39</v>
      </c>
      <c r="I15" s="38" t="s">
        <v>78</v>
      </c>
      <c r="J15" s="38">
        <v>1997</v>
      </c>
      <c r="K15" s="38" t="s">
        <v>39</v>
      </c>
      <c r="L15" s="38" t="s">
        <v>39</v>
      </c>
      <c r="M15" s="38">
        <v>39</v>
      </c>
      <c r="N15" s="38">
        <v>1.9529294222593307E-2</v>
      </c>
      <c r="O15" s="38">
        <v>56</v>
      </c>
      <c r="P15" s="38">
        <v>0</v>
      </c>
      <c r="Q15" s="38">
        <v>4</v>
      </c>
      <c r="R15" s="38" t="s">
        <v>39</v>
      </c>
      <c r="S15" s="116">
        <v>4.9574360251426697E-2</v>
      </c>
      <c r="T15" s="38" t="s">
        <v>39</v>
      </c>
      <c r="U15" s="253">
        <f t="shared" si="3"/>
        <v>9</v>
      </c>
      <c r="V15" s="253">
        <f t="shared" si="4"/>
        <v>9</v>
      </c>
      <c r="W15" s="255">
        <f t="shared" si="5"/>
        <v>45456</v>
      </c>
      <c r="X15" s="253">
        <f t="shared" si="6"/>
        <v>99</v>
      </c>
      <c r="Y15" s="254">
        <f t="shared" si="7"/>
        <v>4.9574361542313469E-2</v>
      </c>
      <c r="Z15" s="253" t="str">
        <f t="shared" si="8"/>
        <v/>
      </c>
      <c r="AA15" s="255">
        <f t="shared" si="9"/>
        <v>45456</v>
      </c>
      <c r="AB15" s="253" t="str">
        <f>IF(Z15="","",RANK(Z15,Z:Z,0)+COUNTIF($Z$1:Z14,Z15))</f>
        <v/>
      </c>
      <c r="AC15" s="254">
        <f t="shared" si="10"/>
        <v>4.9574361542313469E-2</v>
      </c>
      <c r="AD15" s="253">
        <f t="shared" si="11"/>
        <v>1997</v>
      </c>
      <c r="AE15">
        <f t="shared" si="12"/>
        <v>99</v>
      </c>
      <c r="AF15">
        <f t="shared" si="13"/>
        <v>99</v>
      </c>
    </row>
    <row r="16" spans="1:32">
      <c r="A16" s="38" t="s">
        <v>792</v>
      </c>
      <c r="B16" s="38" t="s">
        <v>793</v>
      </c>
      <c r="C16" s="38" t="s">
        <v>79</v>
      </c>
      <c r="D16" s="38" t="s">
        <v>794</v>
      </c>
      <c r="E16" s="38" t="s">
        <v>83</v>
      </c>
      <c r="F16" s="38" t="s">
        <v>693</v>
      </c>
      <c r="G16" s="38" t="s">
        <v>693</v>
      </c>
      <c r="H16" s="38" t="s">
        <v>700</v>
      </c>
      <c r="I16" s="38" t="s">
        <v>78</v>
      </c>
      <c r="J16" s="38">
        <v>62823</v>
      </c>
      <c r="K16" s="38" t="s">
        <v>39</v>
      </c>
      <c r="L16" s="38" t="s">
        <v>39</v>
      </c>
      <c r="M16" s="38">
        <v>1761</v>
      </c>
      <c r="N16" s="38">
        <v>2.8031134977936745E-2</v>
      </c>
      <c r="O16" s="38">
        <v>152</v>
      </c>
      <c r="P16" s="38">
        <v>4</v>
      </c>
      <c r="Q16" s="38">
        <v>1</v>
      </c>
      <c r="R16" s="38">
        <v>103</v>
      </c>
      <c r="S16" s="116">
        <v>3.384111076593399E-2</v>
      </c>
      <c r="T16" s="38" t="s">
        <v>39</v>
      </c>
      <c r="U16" s="253" t="str">
        <f t="shared" si="3"/>
        <v/>
      </c>
      <c r="V16" s="253" t="str">
        <f t="shared" si="4"/>
        <v/>
      </c>
      <c r="W16" s="255" t="str">
        <f t="shared" si="5"/>
        <v/>
      </c>
      <c r="X16" s="253" t="str">
        <f t="shared" si="6"/>
        <v/>
      </c>
      <c r="Y16" s="254" t="str">
        <f t="shared" si="7"/>
        <v/>
      </c>
      <c r="Z16" s="253" t="str">
        <f t="shared" si="8"/>
        <v/>
      </c>
      <c r="AA16" s="255">
        <f t="shared" si="9"/>
        <v>45456</v>
      </c>
      <c r="AB16" s="253" t="str">
        <f>IF(Z16="","",RANK(Z16,Z:Z,0)+COUNTIF($Z$1:Z15,Z16))</f>
        <v/>
      </c>
      <c r="AC16" s="254" t="str">
        <f t="shared" si="10"/>
        <v/>
      </c>
      <c r="AD16" s="253">
        <f t="shared" si="11"/>
        <v>62823</v>
      </c>
      <c r="AE16" t="str">
        <f t="shared" si="12"/>
        <v/>
      </c>
      <c r="AF16">
        <f t="shared" si="13"/>
        <v>1918</v>
      </c>
    </row>
    <row r="17" spans="1:32">
      <c r="A17" s="38" t="s">
        <v>792</v>
      </c>
      <c r="B17" s="38" t="s">
        <v>793</v>
      </c>
      <c r="C17" s="38" t="s">
        <v>82</v>
      </c>
      <c r="D17" s="38" t="s">
        <v>39</v>
      </c>
      <c r="E17" s="38" t="s">
        <v>83</v>
      </c>
      <c r="F17" s="38" t="s">
        <v>693</v>
      </c>
      <c r="G17" s="38" t="s">
        <v>39</v>
      </c>
      <c r="H17" s="38" t="s">
        <v>39</v>
      </c>
      <c r="I17" s="38" t="s">
        <v>78</v>
      </c>
      <c r="J17" s="38">
        <v>64820</v>
      </c>
      <c r="K17" s="38" t="s">
        <v>39</v>
      </c>
      <c r="L17" s="38" t="s">
        <v>39</v>
      </c>
      <c r="M17" s="38">
        <v>1800</v>
      </c>
      <c r="N17" s="38">
        <v>2.7769207954406738E-2</v>
      </c>
      <c r="O17" s="38">
        <v>208</v>
      </c>
      <c r="P17" s="38">
        <v>4</v>
      </c>
      <c r="Q17" s="38">
        <v>5</v>
      </c>
      <c r="R17" s="38">
        <v>103</v>
      </c>
      <c r="S17" s="116">
        <v>3.4325826913118362E-2</v>
      </c>
      <c r="T17" s="38" t="s">
        <v>39</v>
      </c>
      <c r="U17" s="253" t="str">
        <f t="shared" si="3"/>
        <v/>
      </c>
      <c r="V17" s="253" t="str">
        <f t="shared" si="4"/>
        <v/>
      </c>
      <c r="W17" s="255" t="str">
        <f t="shared" si="5"/>
        <v/>
      </c>
      <c r="X17" s="253" t="str">
        <f t="shared" si="6"/>
        <v/>
      </c>
      <c r="Y17" s="254" t="str">
        <f t="shared" si="7"/>
        <v/>
      </c>
      <c r="Z17" s="253" t="str">
        <f t="shared" si="8"/>
        <v/>
      </c>
      <c r="AA17" s="255">
        <f t="shared" si="9"/>
        <v>45456</v>
      </c>
      <c r="AB17" s="253" t="str">
        <f>IF(Z17="","",RANK(Z17,Z:Z,0)+COUNTIF($Z$1:Z16,Z17))</f>
        <v/>
      </c>
      <c r="AC17" s="254" t="str">
        <f t="shared" si="10"/>
        <v/>
      </c>
      <c r="AD17" s="253" t="str">
        <f t="shared" si="11"/>
        <v/>
      </c>
      <c r="AE17" t="str">
        <f t="shared" si="12"/>
        <v/>
      </c>
      <c r="AF17" t="str">
        <f t="shared" si="13"/>
        <v/>
      </c>
    </row>
    <row r="18" spans="1:32">
      <c r="A18" s="38" t="s">
        <v>795</v>
      </c>
      <c r="B18" s="38" t="s">
        <v>796</v>
      </c>
      <c r="C18" s="38" t="s">
        <v>76</v>
      </c>
      <c r="D18" s="38" t="s">
        <v>39</v>
      </c>
      <c r="E18" s="38" t="s">
        <v>83</v>
      </c>
      <c r="F18" s="38" t="s">
        <v>691</v>
      </c>
      <c r="G18" s="38" t="s">
        <v>39</v>
      </c>
      <c r="H18" s="38" t="s">
        <v>39</v>
      </c>
      <c r="I18" s="38" t="s">
        <v>78</v>
      </c>
      <c r="J18" s="38">
        <v>2413</v>
      </c>
      <c r="K18" s="38">
        <v>739</v>
      </c>
      <c r="L18" s="38" t="s">
        <v>39</v>
      </c>
      <c r="M18" s="38">
        <v>105</v>
      </c>
      <c r="N18" s="38">
        <v>4.3514296412467957E-2</v>
      </c>
      <c r="O18" s="38">
        <v>50</v>
      </c>
      <c r="P18" s="38">
        <v>0</v>
      </c>
      <c r="Q18" s="38">
        <v>4</v>
      </c>
      <c r="R18" s="38" t="s">
        <v>39</v>
      </c>
      <c r="S18" s="116">
        <v>6.5893076360225677E-2</v>
      </c>
      <c r="T18" s="38" t="s">
        <v>84</v>
      </c>
      <c r="U18" s="253">
        <f t="shared" si="3"/>
        <v>3</v>
      </c>
      <c r="V18" s="253">
        <f t="shared" si="4"/>
        <v>3</v>
      </c>
      <c r="W18" s="255">
        <f t="shared" si="5"/>
        <v>45454</v>
      </c>
      <c r="X18" s="253">
        <f t="shared" si="6"/>
        <v>159</v>
      </c>
      <c r="Y18" s="254">
        <f t="shared" si="7"/>
        <v>6.5893079154579356E-2</v>
      </c>
      <c r="Z18" s="253">
        <f t="shared" si="8"/>
        <v>739</v>
      </c>
      <c r="AA18" s="255">
        <f t="shared" si="9"/>
        <v>45454</v>
      </c>
      <c r="AB18" s="253">
        <f>IF(Z18="","",RANK(Z18,Z:Z,0)+COUNTIF($Z$1:Z17,Z18))</f>
        <v>2</v>
      </c>
      <c r="AC18" s="254">
        <f t="shared" si="10"/>
        <v>0.26705346042271033</v>
      </c>
      <c r="AD18" s="253">
        <f t="shared" si="11"/>
        <v>2413</v>
      </c>
      <c r="AE18">
        <f t="shared" si="12"/>
        <v>159</v>
      </c>
      <c r="AF18">
        <f t="shared" si="13"/>
        <v>159</v>
      </c>
    </row>
    <row r="19" spans="1:32">
      <c r="A19" s="38" t="s">
        <v>797</v>
      </c>
      <c r="B19" s="38" t="s">
        <v>798</v>
      </c>
      <c r="C19" s="38" t="s">
        <v>76</v>
      </c>
      <c r="D19" s="38" t="s">
        <v>39</v>
      </c>
      <c r="E19" s="38" t="s">
        <v>77</v>
      </c>
      <c r="F19" s="38" t="s">
        <v>85</v>
      </c>
      <c r="G19" s="38" t="s">
        <v>39</v>
      </c>
      <c r="H19" s="38" t="s">
        <v>39</v>
      </c>
      <c r="I19" s="38" t="s">
        <v>78</v>
      </c>
      <c r="J19" s="38">
        <v>7403</v>
      </c>
      <c r="K19" s="38" t="s">
        <v>39</v>
      </c>
      <c r="L19" s="38" t="s">
        <v>39</v>
      </c>
      <c r="M19" s="38">
        <v>3744</v>
      </c>
      <c r="N19" s="38">
        <v>0.5057409405708313</v>
      </c>
      <c r="O19" s="38">
        <v>112</v>
      </c>
      <c r="P19" s="38">
        <v>0</v>
      </c>
      <c r="Q19" s="38">
        <v>8</v>
      </c>
      <c r="R19" s="38" t="s">
        <v>39</v>
      </c>
      <c r="S19" s="116">
        <v>0.52195054292678833</v>
      </c>
      <c r="T19" s="38" t="s">
        <v>39</v>
      </c>
      <c r="U19" s="253">
        <f t="shared" si="3"/>
        <v>1</v>
      </c>
      <c r="V19" s="253">
        <f t="shared" si="4"/>
        <v>1</v>
      </c>
      <c r="W19" s="255">
        <f t="shared" si="5"/>
        <v>45448</v>
      </c>
      <c r="X19" s="253">
        <f t="shared" si="6"/>
        <v>3864</v>
      </c>
      <c r="Y19" s="254">
        <f t="shared" si="7"/>
        <v>0.52195056058354716</v>
      </c>
      <c r="Z19" s="253" t="str">
        <f t="shared" si="8"/>
        <v/>
      </c>
      <c r="AA19" s="255">
        <f t="shared" si="9"/>
        <v>45448</v>
      </c>
      <c r="AB19" s="253" t="str">
        <f>IF(Z19="","",RANK(Z19,Z:Z,0)+COUNTIF($Z$1:Z18,Z19))</f>
        <v/>
      </c>
      <c r="AC19" s="254">
        <f t="shared" si="10"/>
        <v>0.52195056058354716</v>
      </c>
      <c r="AD19" s="253">
        <f t="shared" si="11"/>
        <v>7403</v>
      </c>
      <c r="AE19">
        <f t="shared" si="12"/>
        <v>3864</v>
      </c>
      <c r="AF19">
        <f t="shared" si="13"/>
        <v>3864</v>
      </c>
    </row>
    <row r="20" spans="1:32">
      <c r="A20" s="38" t="s">
        <v>799</v>
      </c>
      <c r="B20" s="38" t="s">
        <v>800</v>
      </c>
      <c r="C20" s="38" t="s">
        <v>76</v>
      </c>
      <c r="D20" s="38" t="s">
        <v>39</v>
      </c>
      <c r="E20" s="38" t="s">
        <v>77</v>
      </c>
      <c r="F20" s="38" t="s">
        <v>126</v>
      </c>
      <c r="G20" s="38" t="s">
        <v>39</v>
      </c>
      <c r="H20" s="38" t="s">
        <v>39</v>
      </c>
      <c r="I20" s="38" t="s">
        <v>78</v>
      </c>
      <c r="J20" s="38">
        <v>2907</v>
      </c>
      <c r="K20" s="38" t="s">
        <v>39</v>
      </c>
      <c r="L20" s="38" t="s">
        <v>39</v>
      </c>
      <c r="M20" s="38">
        <v>403</v>
      </c>
      <c r="N20" s="38">
        <v>0.13863089680671692</v>
      </c>
      <c r="O20" s="38">
        <v>68</v>
      </c>
      <c r="P20" s="38">
        <v>0</v>
      </c>
      <c r="Q20" s="38">
        <v>5</v>
      </c>
      <c r="R20" s="38" t="s">
        <v>39</v>
      </c>
      <c r="S20" s="116">
        <v>0.16374269127845764</v>
      </c>
      <c r="T20" s="38" t="s">
        <v>39</v>
      </c>
      <c r="U20" s="253">
        <f t="shared" si="3"/>
        <v>4</v>
      </c>
      <c r="V20" s="253">
        <f t="shared" si="4"/>
        <v>4</v>
      </c>
      <c r="W20" s="255">
        <f t="shared" si="5"/>
        <v>45443</v>
      </c>
      <c r="X20" s="253">
        <f t="shared" si="6"/>
        <v>476</v>
      </c>
      <c r="Y20" s="254">
        <f t="shared" si="7"/>
        <v>0.16374269005847952</v>
      </c>
      <c r="Z20" s="253" t="str">
        <f t="shared" si="8"/>
        <v/>
      </c>
      <c r="AA20" s="255">
        <f t="shared" si="9"/>
        <v>45443</v>
      </c>
      <c r="AB20" s="253" t="str">
        <f>IF(Z20="","",RANK(Z20,Z:Z,0)+COUNTIF($Z$1:Z19,Z20))</f>
        <v/>
      </c>
      <c r="AC20" s="254">
        <f t="shared" si="10"/>
        <v>0.16374269005847952</v>
      </c>
      <c r="AD20" s="253">
        <f t="shared" si="11"/>
        <v>2907</v>
      </c>
      <c r="AE20">
        <f t="shared" si="12"/>
        <v>476</v>
      </c>
      <c r="AF20">
        <f t="shared" si="13"/>
        <v>476</v>
      </c>
    </row>
    <row r="21" spans="1:32">
      <c r="A21" s="38" t="s">
        <v>801</v>
      </c>
      <c r="B21" s="38" t="s">
        <v>802</v>
      </c>
      <c r="C21" s="38" t="s">
        <v>76</v>
      </c>
      <c r="D21" s="38" t="s">
        <v>39</v>
      </c>
      <c r="E21" s="38" t="s">
        <v>77</v>
      </c>
      <c r="F21" s="38" t="s">
        <v>80</v>
      </c>
      <c r="G21" s="38" t="s">
        <v>39</v>
      </c>
      <c r="H21" s="38" t="s">
        <v>39</v>
      </c>
      <c r="I21" s="38" t="s">
        <v>78</v>
      </c>
      <c r="J21" s="38">
        <v>2333</v>
      </c>
      <c r="K21" s="38" t="s">
        <v>39</v>
      </c>
      <c r="L21" s="38" t="s">
        <v>39</v>
      </c>
      <c r="M21" s="38">
        <v>57</v>
      </c>
      <c r="N21" s="38">
        <v>2.4432061240077019E-2</v>
      </c>
      <c r="O21" s="38">
        <v>51</v>
      </c>
      <c r="P21" s="38">
        <v>0</v>
      </c>
      <c r="Q21" s="38">
        <v>5</v>
      </c>
      <c r="R21" s="38" t="s">
        <v>39</v>
      </c>
      <c r="S21" s="116">
        <v>4.843549057841301E-2</v>
      </c>
      <c r="T21" s="38" t="s">
        <v>39</v>
      </c>
      <c r="U21" s="253">
        <f t="shared" si="3"/>
        <v>10</v>
      </c>
      <c r="V21" s="253">
        <f t="shared" si="4"/>
        <v>10</v>
      </c>
      <c r="W21" s="255">
        <f t="shared" si="5"/>
        <v>45442</v>
      </c>
      <c r="X21" s="253">
        <f t="shared" si="6"/>
        <v>113</v>
      </c>
      <c r="Y21" s="254">
        <f t="shared" si="7"/>
        <v>4.8435490784397774E-2</v>
      </c>
      <c r="Z21" s="253" t="str">
        <f t="shared" si="8"/>
        <v/>
      </c>
      <c r="AA21" s="255">
        <f t="shared" si="9"/>
        <v>45442</v>
      </c>
      <c r="AB21" s="253" t="str">
        <f>IF(Z21="","",RANK(Z21,Z:Z,0)+COUNTIF($Z$1:Z20,Z21))</f>
        <v/>
      </c>
      <c r="AC21" s="254">
        <f t="shared" si="10"/>
        <v>4.8435490784397774E-2</v>
      </c>
      <c r="AD21" s="253">
        <f t="shared" si="11"/>
        <v>2333</v>
      </c>
      <c r="AE21">
        <f t="shared" si="12"/>
        <v>113</v>
      </c>
      <c r="AF21">
        <f t="shared" si="13"/>
        <v>113</v>
      </c>
    </row>
    <row r="22" spans="1:32">
      <c r="A22" s="38" t="s">
        <v>801</v>
      </c>
      <c r="B22" s="38" t="s">
        <v>802</v>
      </c>
      <c r="C22" s="38" t="s">
        <v>79</v>
      </c>
      <c r="D22" s="38" t="s">
        <v>803</v>
      </c>
      <c r="E22" s="38" t="s">
        <v>77</v>
      </c>
      <c r="F22" s="38" t="s">
        <v>80</v>
      </c>
      <c r="G22" s="38" t="s">
        <v>685</v>
      </c>
      <c r="H22" s="38" t="s">
        <v>81</v>
      </c>
      <c r="I22" s="38" t="s">
        <v>78</v>
      </c>
      <c r="J22" s="38">
        <v>23038</v>
      </c>
      <c r="K22" s="38" t="s">
        <v>39</v>
      </c>
      <c r="L22" s="38" t="s">
        <v>39</v>
      </c>
      <c r="M22" s="38">
        <v>173</v>
      </c>
      <c r="N22" s="38">
        <v>7.5093326158821583E-3</v>
      </c>
      <c r="O22" s="38">
        <v>11</v>
      </c>
      <c r="P22" s="38">
        <v>0</v>
      </c>
      <c r="Q22" s="38">
        <v>0</v>
      </c>
      <c r="R22" s="38">
        <v>24</v>
      </c>
      <c r="S22" s="116">
        <v>7.5093326158821583E-3</v>
      </c>
      <c r="T22" s="38" t="s">
        <v>39</v>
      </c>
      <c r="U22" s="253" t="str">
        <f t="shared" si="3"/>
        <v/>
      </c>
      <c r="V22" s="253" t="str">
        <f t="shared" si="4"/>
        <v/>
      </c>
      <c r="W22" s="255" t="str">
        <f t="shared" si="5"/>
        <v/>
      </c>
      <c r="X22" s="253" t="str">
        <f t="shared" si="6"/>
        <v/>
      </c>
      <c r="Y22" s="254" t="str">
        <f t="shared" si="7"/>
        <v/>
      </c>
      <c r="Z22" s="253" t="str">
        <f t="shared" si="8"/>
        <v/>
      </c>
      <c r="AA22" s="255">
        <f t="shared" si="9"/>
        <v>45442</v>
      </c>
      <c r="AB22" s="253" t="str">
        <f>IF(Z22="","",RANK(Z22,Z:Z,0)+COUNTIF($Z$1:Z21,Z22))</f>
        <v/>
      </c>
      <c r="AC22" s="254" t="str">
        <f t="shared" si="10"/>
        <v/>
      </c>
      <c r="AD22" s="253">
        <f t="shared" si="11"/>
        <v>23038</v>
      </c>
      <c r="AE22" t="str">
        <f t="shared" si="12"/>
        <v/>
      </c>
      <c r="AF22">
        <f t="shared" si="13"/>
        <v>184</v>
      </c>
    </row>
    <row r="23" spans="1:32">
      <c r="A23" s="38" t="s">
        <v>801</v>
      </c>
      <c r="B23" s="38" t="s">
        <v>802</v>
      </c>
      <c r="C23" s="38" t="s">
        <v>82</v>
      </c>
      <c r="D23" s="38" t="s">
        <v>39</v>
      </c>
      <c r="E23" s="38" t="s">
        <v>77</v>
      </c>
      <c r="F23" s="38" t="s">
        <v>80</v>
      </c>
      <c r="G23" s="38" t="s">
        <v>39</v>
      </c>
      <c r="H23" s="38" t="s">
        <v>39</v>
      </c>
      <c r="I23" s="38" t="s">
        <v>78</v>
      </c>
      <c r="J23" s="38">
        <v>25371</v>
      </c>
      <c r="K23" s="38" t="s">
        <v>39</v>
      </c>
      <c r="L23" s="38" t="s">
        <v>39</v>
      </c>
      <c r="M23" s="38">
        <v>230</v>
      </c>
      <c r="N23" s="38">
        <v>9.0654687955975533E-3</v>
      </c>
      <c r="O23" s="38">
        <v>62</v>
      </c>
      <c r="P23" s="38">
        <v>0</v>
      </c>
      <c r="Q23" s="38">
        <v>5</v>
      </c>
      <c r="R23" s="38">
        <v>24</v>
      </c>
      <c r="S23" s="116">
        <v>1.1272712610661983E-2</v>
      </c>
      <c r="T23" s="38" t="s">
        <v>39</v>
      </c>
      <c r="U23" s="253" t="str">
        <f t="shared" si="3"/>
        <v/>
      </c>
      <c r="V23" s="253" t="str">
        <f t="shared" si="4"/>
        <v/>
      </c>
      <c r="W23" s="255" t="str">
        <f t="shared" si="5"/>
        <v/>
      </c>
      <c r="X23" s="253" t="str">
        <f t="shared" si="6"/>
        <v/>
      </c>
      <c r="Y23" s="254" t="str">
        <f t="shared" si="7"/>
        <v/>
      </c>
      <c r="Z23" s="253" t="str">
        <f t="shared" si="8"/>
        <v/>
      </c>
      <c r="AA23" s="255">
        <f t="shared" si="9"/>
        <v>45442</v>
      </c>
      <c r="AB23" s="253" t="str">
        <f>IF(Z23="","",RANK(Z23,Z:Z,0)+COUNTIF($Z$1:Z22,Z23))</f>
        <v/>
      </c>
      <c r="AC23" s="254" t="str">
        <f t="shared" si="10"/>
        <v/>
      </c>
      <c r="AD23" s="253" t="str">
        <f t="shared" si="11"/>
        <v/>
      </c>
      <c r="AE23" t="str">
        <f t="shared" si="12"/>
        <v/>
      </c>
      <c r="AF23" t="str">
        <f t="shared" si="13"/>
        <v/>
      </c>
    </row>
    <row r="24" spans="1:32">
      <c r="A24" s="38"/>
      <c r="B24" s="38"/>
      <c r="C24" s="38"/>
      <c r="D24" s="38"/>
      <c r="E24" s="38"/>
      <c r="F24" s="38"/>
      <c r="G24" s="38"/>
      <c r="H24" s="38"/>
      <c r="I24" s="38"/>
      <c r="J24" s="38"/>
      <c r="K24" s="38"/>
      <c r="L24" s="38"/>
      <c r="M24" s="38"/>
      <c r="N24" s="38"/>
      <c r="O24" s="38"/>
      <c r="P24" s="38"/>
      <c r="Q24" s="38"/>
      <c r="R24" s="38"/>
      <c r="S24" s="116"/>
      <c r="T24" s="38"/>
      <c r="U24" s="253" t="str">
        <f t="shared" si="3"/>
        <v/>
      </c>
      <c r="V24" s="253" t="str">
        <f t="shared" si="4"/>
        <v/>
      </c>
      <c r="W24" s="255" t="str">
        <f t="shared" si="5"/>
        <v/>
      </c>
      <c r="X24" s="253" t="str">
        <f t="shared" si="6"/>
        <v/>
      </c>
      <c r="Y24" s="254" t="str">
        <f t="shared" si="7"/>
        <v/>
      </c>
      <c r="Z24" s="253" t="str">
        <f t="shared" si="8"/>
        <v/>
      </c>
      <c r="AA24" s="255" t="e">
        <f t="shared" si="9"/>
        <v>#VALUE!</v>
      </c>
      <c r="AB24" s="253" t="str">
        <f>IF(Z24="","",RANK(Z24,Z:Z,0)+COUNTIF($Z$1:Z23,Z24))</f>
        <v/>
      </c>
      <c r="AC24" s="254" t="str">
        <f t="shared" si="10"/>
        <v/>
      </c>
      <c r="AD24" s="253">
        <f t="shared" si="11"/>
        <v>0</v>
      </c>
      <c r="AE24" t="str">
        <f t="shared" si="12"/>
        <v/>
      </c>
      <c r="AF24">
        <f t="shared" si="13"/>
        <v>0</v>
      </c>
    </row>
    <row r="25" spans="1:32">
      <c r="A25" s="38"/>
      <c r="B25" s="38"/>
      <c r="C25" s="38"/>
      <c r="D25" s="38"/>
      <c r="E25" s="38"/>
      <c r="F25" s="38"/>
      <c r="G25" s="38"/>
      <c r="H25" s="38"/>
      <c r="I25" s="38"/>
      <c r="J25" s="38"/>
      <c r="K25" s="38"/>
      <c r="L25" s="38"/>
      <c r="M25" s="38"/>
      <c r="N25" s="38"/>
      <c r="O25" s="38"/>
      <c r="P25" s="38"/>
      <c r="Q25" s="38"/>
      <c r="R25" s="38"/>
      <c r="S25" s="116"/>
      <c r="T25" s="38"/>
      <c r="U25" s="253" t="str">
        <f t="shared" si="3"/>
        <v/>
      </c>
      <c r="V25" s="253" t="str">
        <f t="shared" si="4"/>
        <v/>
      </c>
      <c r="W25" s="255" t="str">
        <f t="shared" si="5"/>
        <v/>
      </c>
      <c r="X25" s="253" t="str">
        <f t="shared" si="6"/>
        <v/>
      </c>
      <c r="Y25" s="254" t="str">
        <f t="shared" si="7"/>
        <v/>
      </c>
      <c r="Z25" s="253" t="str">
        <f t="shared" si="8"/>
        <v/>
      </c>
      <c r="AA25" s="255" t="e">
        <f t="shared" si="9"/>
        <v>#VALUE!</v>
      </c>
      <c r="AB25" s="253" t="str">
        <f>IF(Z25="","",RANK(Z25,Z:Z,0)+COUNTIF($Z$1:Z24,Z25))</f>
        <v/>
      </c>
      <c r="AC25" s="254" t="str">
        <f t="shared" si="10"/>
        <v/>
      </c>
      <c r="AD25" s="253">
        <f t="shared" si="11"/>
        <v>0</v>
      </c>
      <c r="AE25" t="str">
        <f t="shared" si="12"/>
        <v/>
      </c>
      <c r="AF25">
        <f t="shared" si="13"/>
        <v>0</v>
      </c>
    </row>
    <row r="26" spans="1:32">
      <c r="A26" s="38"/>
      <c r="B26" s="117"/>
      <c r="C26" s="38"/>
      <c r="D26" s="38"/>
      <c r="E26" s="38"/>
      <c r="F26" s="38"/>
      <c r="G26" s="38"/>
      <c r="H26" s="38"/>
      <c r="I26" s="38"/>
      <c r="J26" s="38"/>
      <c r="K26" s="38"/>
      <c r="L26" s="38"/>
      <c r="M26" s="38"/>
      <c r="N26" s="38"/>
      <c r="O26" s="38"/>
      <c r="P26" s="38"/>
      <c r="Q26" s="38"/>
      <c r="R26" s="38"/>
      <c r="S26" s="116"/>
      <c r="T26" s="38"/>
      <c r="U26" s="253" t="str">
        <f t="shared" si="3"/>
        <v/>
      </c>
      <c r="V26" s="253" t="str">
        <f t="shared" si="4"/>
        <v/>
      </c>
      <c r="W26" s="255" t="str">
        <f t="shared" si="5"/>
        <v/>
      </c>
      <c r="X26" s="253" t="str">
        <f t="shared" si="6"/>
        <v/>
      </c>
      <c r="Y26" s="254" t="str">
        <f t="shared" si="7"/>
        <v/>
      </c>
      <c r="Z26" s="253" t="str">
        <f t="shared" si="8"/>
        <v/>
      </c>
      <c r="AA26" s="255" t="e">
        <f t="shared" si="9"/>
        <v>#VALUE!</v>
      </c>
      <c r="AB26" s="253" t="str">
        <f>IF(Z26="","",RANK(Z26,Z:Z,0)+COUNTIF($Z$1:Z25,Z26))</f>
        <v/>
      </c>
      <c r="AC26" s="254" t="str">
        <f t="shared" si="10"/>
        <v/>
      </c>
      <c r="AD26" s="253">
        <f t="shared" si="11"/>
        <v>0</v>
      </c>
      <c r="AE26" t="str">
        <f t="shared" si="12"/>
        <v/>
      </c>
      <c r="AF26">
        <f t="shared" si="13"/>
        <v>0</v>
      </c>
    </row>
    <row r="27" spans="1:32">
      <c r="S27" s="116"/>
      <c r="U27" s="253" t="str">
        <f t="shared" si="3"/>
        <v/>
      </c>
      <c r="V27" s="253" t="str">
        <f t="shared" si="4"/>
        <v/>
      </c>
      <c r="W27" s="255" t="str">
        <f t="shared" si="5"/>
        <v/>
      </c>
      <c r="X27" s="253" t="str">
        <f t="shared" si="6"/>
        <v/>
      </c>
      <c r="Y27" s="254" t="str">
        <f t="shared" si="7"/>
        <v/>
      </c>
      <c r="Z27" s="253" t="str">
        <f t="shared" si="8"/>
        <v/>
      </c>
      <c r="AA27" s="255" t="e">
        <f t="shared" si="9"/>
        <v>#VALUE!</v>
      </c>
      <c r="AB27" s="253" t="str">
        <f>IF(Z27="","",RANK(Z27,Z:Z,0)+COUNTIF($Z$1:Z26,Z27))</f>
        <v/>
      </c>
      <c r="AC27" s="254" t="str">
        <f t="shared" si="10"/>
        <v/>
      </c>
      <c r="AD27" s="253">
        <f t="shared" si="11"/>
        <v>0</v>
      </c>
      <c r="AE27" t="str">
        <f t="shared" si="12"/>
        <v/>
      </c>
      <c r="AF27">
        <f t="shared" si="13"/>
        <v>0</v>
      </c>
    </row>
    <row r="28" spans="1:32">
      <c r="U28" s="253" t="str">
        <f t="shared" si="3"/>
        <v/>
      </c>
      <c r="V28" s="253" t="str">
        <f t="shared" si="4"/>
        <v/>
      </c>
      <c r="W28" s="255" t="str">
        <f t="shared" si="5"/>
        <v/>
      </c>
      <c r="X28" s="253" t="str">
        <f t="shared" si="6"/>
        <v/>
      </c>
      <c r="Y28" s="254" t="str">
        <f t="shared" si="7"/>
        <v/>
      </c>
      <c r="Z28" s="253" t="str">
        <f t="shared" si="8"/>
        <v/>
      </c>
      <c r="AA28" s="255" t="e">
        <f t="shared" si="9"/>
        <v>#VALUE!</v>
      </c>
      <c r="AB28" s="253" t="str">
        <f>IF(Z28="","",RANK(Z28,Z:Z,0)+COUNTIF($Z$1:Z27,Z28))</f>
        <v/>
      </c>
      <c r="AC28" s="254" t="str">
        <f t="shared" si="10"/>
        <v/>
      </c>
      <c r="AD28" s="253">
        <f t="shared" si="11"/>
        <v>0</v>
      </c>
      <c r="AE28" t="str">
        <f t="shared" si="12"/>
        <v/>
      </c>
      <c r="AF28">
        <f t="shared" si="13"/>
        <v>0</v>
      </c>
    </row>
    <row r="29" spans="1:32">
      <c r="U29" s="253" t="str">
        <f t="shared" si="3"/>
        <v/>
      </c>
      <c r="V29" s="253" t="str">
        <f t="shared" si="4"/>
        <v/>
      </c>
      <c r="W29" s="255" t="str">
        <f t="shared" si="5"/>
        <v/>
      </c>
      <c r="X29" s="253" t="str">
        <f t="shared" si="6"/>
        <v/>
      </c>
      <c r="Y29" s="254" t="str">
        <f t="shared" si="7"/>
        <v/>
      </c>
      <c r="Z29" s="253" t="str">
        <f t="shared" si="8"/>
        <v/>
      </c>
      <c r="AA29" s="255" t="e">
        <f t="shared" si="9"/>
        <v>#VALUE!</v>
      </c>
      <c r="AB29" s="253" t="str">
        <f>IF(Z29="","",RANK(Z29,Z:Z,0)+COUNTIF($Z$1:Z28,Z29))</f>
        <v/>
      </c>
      <c r="AC29" s="254" t="str">
        <f t="shared" si="10"/>
        <v/>
      </c>
      <c r="AD29" s="253">
        <f t="shared" si="11"/>
        <v>0</v>
      </c>
      <c r="AE29" t="str">
        <f t="shared" si="12"/>
        <v/>
      </c>
      <c r="AF29">
        <f t="shared" si="13"/>
        <v>0</v>
      </c>
    </row>
    <row r="30" spans="1:32">
      <c r="U30" s="253" t="str">
        <f t="shared" si="3"/>
        <v/>
      </c>
      <c r="V30" s="253" t="str">
        <f t="shared" si="4"/>
        <v/>
      </c>
      <c r="W30" s="255" t="str">
        <f t="shared" si="5"/>
        <v/>
      </c>
      <c r="X30" s="253" t="str">
        <f t="shared" si="6"/>
        <v/>
      </c>
      <c r="Y30" s="254" t="str">
        <f t="shared" si="7"/>
        <v/>
      </c>
      <c r="Z30" s="253" t="str">
        <f t="shared" si="8"/>
        <v/>
      </c>
      <c r="AA30" s="255" t="e">
        <f t="shared" si="9"/>
        <v>#VALUE!</v>
      </c>
      <c r="AB30" s="253" t="str">
        <f>IF(Z30="","",RANK(Z30,Z:Z,0)+COUNTIF($Z$1:Z29,Z30))</f>
        <v/>
      </c>
      <c r="AC30" s="254" t="str">
        <f t="shared" si="10"/>
        <v/>
      </c>
      <c r="AD30" s="253">
        <f t="shared" si="11"/>
        <v>0</v>
      </c>
      <c r="AE30" t="str">
        <f t="shared" si="12"/>
        <v/>
      </c>
      <c r="AF30">
        <f t="shared" si="13"/>
        <v>0</v>
      </c>
    </row>
    <row r="31" spans="1:32">
      <c r="U31" s="253" t="str">
        <f t="shared" si="3"/>
        <v/>
      </c>
      <c r="V31" s="253" t="str">
        <f t="shared" si="4"/>
        <v/>
      </c>
      <c r="W31" s="255" t="str">
        <f t="shared" si="5"/>
        <v/>
      </c>
      <c r="X31" s="253" t="str">
        <f t="shared" si="6"/>
        <v/>
      </c>
      <c r="Y31" s="254" t="str">
        <f t="shared" si="7"/>
        <v/>
      </c>
      <c r="Z31" s="253" t="str">
        <f t="shared" si="8"/>
        <v/>
      </c>
      <c r="AA31" s="255" t="e">
        <f t="shared" si="9"/>
        <v>#VALUE!</v>
      </c>
      <c r="AB31" s="253" t="str">
        <f>IF(Z31="","",RANK(Z31,Z:Z,0)+COUNTIF($Z$1:Z30,Z31))</f>
        <v/>
      </c>
      <c r="AC31" s="254" t="str">
        <f t="shared" si="10"/>
        <v/>
      </c>
      <c r="AD31" s="253">
        <f t="shared" si="11"/>
        <v>0</v>
      </c>
      <c r="AE31" t="str">
        <f t="shared" si="12"/>
        <v/>
      </c>
      <c r="AF31">
        <f t="shared" si="13"/>
        <v>0</v>
      </c>
    </row>
    <row r="32" spans="1:32">
      <c r="U32" s="253" t="str">
        <f t="shared" si="3"/>
        <v/>
      </c>
      <c r="V32" s="253" t="str">
        <f t="shared" si="4"/>
        <v/>
      </c>
      <c r="W32" s="255" t="str">
        <f t="shared" si="5"/>
        <v/>
      </c>
      <c r="X32" s="253" t="str">
        <f t="shared" si="6"/>
        <v/>
      </c>
      <c r="Y32" s="254" t="str">
        <f t="shared" si="7"/>
        <v/>
      </c>
      <c r="Z32" s="253" t="str">
        <f t="shared" si="8"/>
        <v/>
      </c>
      <c r="AA32" s="255" t="e">
        <f t="shared" si="9"/>
        <v>#VALUE!</v>
      </c>
      <c r="AB32" s="253" t="str">
        <f>IF(Z32="","",RANK(Z32,Z:Z,0)+COUNTIF($Z$1:Z31,Z32))</f>
        <v/>
      </c>
      <c r="AC32" s="254" t="str">
        <f t="shared" si="10"/>
        <v/>
      </c>
      <c r="AD32" s="253">
        <f t="shared" si="11"/>
        <v>0</v>
      </c>
      <c r="AE32" t="str">
        <f t="shared" si="12"/>
        <v/>
      </c>
      <c r="AF32">
        <f t="shared" si="13"/>
        <v>0</v>
      </c>
    </row>
    <row r="33" spans="21:32">
      <c r="U33" s="253" t="str">
        <f t="shared" si="3"/>
        <v/>
      </c>
      <c r="V33" s="253" t="str">
        <f t="shared" si="4"/>
        <v/>
      </c>
      <c r="W33" s="255" t="str">
        <f t="shared" si="5"/>
        <v/>
      </c>
      <c r="X33" s="253" t="str">
        <f t="shared" si="6"/>
        <v/>
      </c>
      <c r="Y33" s="254" t="str">
        <f t="shared" si="7"/>
        <v/>
      </c>
      <c r="Z33" s="253" t="str">
        <f t="shared" si="8"/>
        <v/>
      </c>
      <c r="AA33" s="255" t="e">
        <f t="shared" si="9"/>
        <v>#VALUE!</v>
      </c>
      <c r="AB33" s="253" t="str">
        <f>IF(Z33="","",RANK(Z33,Z:Z,0)+COUNTIF($Z$1:Z32,Z33))</f>
        <v/>
      </c>
      <c r="AC33" s="254" t="str">
        <f t="shared" si="10"/>
        <v/>
      </c>
      <c r="AD33" s="253">
        <f t="shared" si="11"/>
        <v>0</v>
      </c>
      <c r="AE33" t="str">
        <f t="shared" si="12"/>
        <v/>
      </c>
      <c r="AF33">
        <f t="shared" si="13"/>
        <v>0</v>
      </c>
    </row>
    <row r="34" spans="21:32">
      <c r="U34" s="253" t="str">
        <f t="shared" si="3"/>
        <v/>
      </c>
      <c r="V34" s="253" t="str">
        <f t="shared" si="4"/>
        <v/>
      </c>
      <c r="W34" s="255" t="str">
        <f t="shared" si="5"/>
        <v/>
      </c>
      <c r="X34" s="253" t="str">
        <f t="shared" si="6"/>
        <v/>
      </c>
      <c r="Y34" s="254" t="str">
        <f t="shared" si="7"/>
        <v/>
      </c>
      <c r="Z34" s="253" t="str">
        <f t="shared" si="8"/>
        <v/>
      </c>
      <c r="AA34" s="255" t="e">
        <f t="shared" si="9"/>
        <v>#VALUE!</v>
      </c>
      <c r="AB34" s="253" t="str">
        <f>IF(Z34="","",RANK(Z34,Z:Z,0)+COUNTIF($Z$1:Z33,Z34))</f>
        <v/>
      </c>
      <c r="AC34" s="254" t="str">
        <f t="shared" si="10"/>
        <v/>
      </c>
      <c r="AD34" s="253">
        <f t="shared" si="11"/>
        <v>0</v>
      </c>
      <c r="AE34" t="str">
        <f t="shared" si="12"/>
        <v/>
      </c>
      <c r="AF34">
        <f t="shared" si="13"/>
        <v>0</v>
      </c>
    </row>
    <row r="35" spans="21:32">
      <c r="U35" s="253" t="str">
        <f t="shared" si="3"/>
        <v/>
      </c>
      <c r="V35" s="253" t="str">
        <f t="shared" si="4"/>
        <v/>
      </c>
      <c r="W35" s="255" t="str">
        <f t="shared" si="5"/>
        <v/>
      </c>
      <c r="X35" s="253" t="str">
        <f t="shared" si="6"/>
        <v/>
      </c>
      <c r="Y35" s="254" t="str">
        <f t="shared" si="7"/>
        <v/>
      </c>
      <c r="Z35" s="253" t="str">
        <f t="shared" si="8"/>
        <v/>
      </c>
      <c r="AA35" s="255" t="e">
        <f t="shared" si="9"/>
        <v>#VALUE!</v>
      </c>
      <c r="AB35" s="253" t="str">
        <f>IF(Z35="","",RANK(Z35,Z:Z,0)+COUNTIF($Z$1:Z34,Z35))</f>
        <v/>
      </c>
      <c r="AC35" s="254" t="str">
        <f t="shared" si="10"/>
        <v/>
      </c>
      <c r="AD35" s="253">
        <f t="shared" si="11"/>
        <v>0</v>
      </c>
      <c r="AE35" t="str">
        <f t="shared" si="12"/>
        <v/>
      </c>
      <c r="AF35">
        <f t="shared" si="13"/>
        <v>0</v>
      </c>
    </row>
    <row r="36" spans="21:32">
      <c r="U36" s="253" t="str">
        <f t="shared" si="3"/>
        <v/>
      </c>
      <c r="V36" s="253" t="str">
        <f t="shared" si="4"/>
        <v/>
      </c>
      <c r="W36" s="255" t="str">
        <f t="shared" si="5"/>
        <v/>
      </c>
      <c r="X36" s="253" t="str">
        <f t="shared" si="6"/>
        <v/>
      </c>
      <c r="Y36" s="254" t="str">
        <f t="shared" si="7"/>
        <v/>
      </c>
      <c r="Z36" s="253" t="str">
        <f t="shared" si="8"/>
        <v/>
      </c>
      <c r="AA36" s="255" t="e">
        <f t="shared" si="9"/>
        <v>#VALUE!</v>
      </c>
      <c r="AB36" s="253" t="str">
        <f>IF(Z36="","",RANK(Z36,Z:Z,0)+COUNTIF($Z$1:Z35,Z36))</f>
        <v/>
      </c>
      <c r="AC36" s="254" t="str">
        <f t="shared" si="10"/>
        <v/>
      </c>
      <c r="AD36" s="253">
        <f t="shared" si="11"/>
        <v>0</v>
      </c>
      <c r="AE36" t="str">
        <f t="shared" si="12"/>
        <v/>
      </c>
      <c r="AF36">
        <f t="shared" si="13"/>
        <v>0</v>
      </c>
    </row>
    <row r="37" spans="21:32">
      <c r="U37" s="253" t="str">
        <f t="shared" si="3"/>
        <v/>
      </c>
      <c r="V37" s="253" t="str">
        <f t="shared" si="4"/>
        <v/>
      </c>
      <c r="W37" s="255" t="str">
        <f t="shared" si="5"/>
        <v/>
      </c>
      <c r="X37" s="253" t="str">
        <f t="shared" si="6"/>
        <v/>
      </c>
      <c r="Y37" s="254" t="str">
        <f t="shared" si="7"/>
        <v/>
      </c>
      <c r="Z37" s="253" t="str">
        <f t="shared" si="8"/>
        <v/>
      </c>
      <c r="AA37" s="255" t="e">
        <f t="shared" si="9"/>
        <v>#VALUE!</v>
      </c>
      <c r="AB37" s="253" t="str">
        <f>IF(Z37="","",RANK(Z37,Z:Z,0)+COUNTIF($Z$1:Z36,Z37))</f>
        <v/>
      </c>
      <c r="AC37" s="254" t="str">
        <f t="shared" si="10"/>
        <v/>
      </c>
      <c r="AD37" s="253">
        <f t="shared" si="11"/>
        <v>0</v>
      </c>
      <c r="AE37" t="str">
        <f t="shared" si="12"/>
        <v/>
      </c>
      <c r="AF37">
        <f t="shared" si="13"/>
        <v>0</v>
      </c>
    </row>
    <row r="38" spans="21:32">
      <c r="U38" s="253" t="str">
        <f t="shared" si="3"/>
        <v/>
      </c>
      <c r="V38" s="253" t="str">
        <f t="shared" si="4"/>
        <v/>
      </c>
      <c r="W38" s="255" t="str">
        <f t="shared" si="5"/>
        <v/>
      </c>
      <c r="X38" s="253" t="str">
        <f t="shared" si="6"/>
        <v/>
      </c>
      <c r="Y38" s="254" t="str">
        <f t="shared" si="7"/>
        <v/>
      </c>
      <c r="Z38" s="253" t="str">
        <f t="shared" si="8"/>
        <v/>
      </c>
      <c r="AA38" s="255" t="e">
        <f t="shared" si="9"/>
        <v>#VALUE!</v>
      </c>
      <c r="AB38" s="253" t="str">
        <f>IF(Z38="","",RANK(Z38,Z:Z,0)+COUNTIF($Z$1:Z37,Z38))</f>
        <v/>
      </c>
      <c r="AC38" s="254" t="str">
        <f t="shared" si="10"/>
        <v/>
      </c>
      <c r="AD38" s="253">
        <f t="shared" si="11"/>
        <v>0</v>
      </c>
      <c r="AE38" t="str">
        <f t="shared" si="12"/>
        <v/>
      </c>
      <c r="AF38">
        <f t="shared" si="13"/>
        <v>0</v>
      </c>
    </row>
    <row r="39" spans="21:32">
      <c r="U39" s="253" t="str">
        <f t="shared" si="3"/>
        <v/>
      </c>
      <c r="V39" s="253" t="str">
        <f t="shared" si="4"/>
        <v/>
      </c>
      <c r="W39" s="255" t="str">
        <f t="shared" si="5"/>
        <v/>
      </c>
      <c r="X39" s="253" t="str">
        <f t="shared" si="6"/>
        <v/>
      </c>
      <c r="Y39" s="254" t="str">
        <f t="shared" si="7"/>
        <v/>
      </c>
      <c r="Z39" s="253" t="str">
        <f t="shared" si="8"/>
        <v/>
      </c>
      <c r="AA39" s="255" t="e">
        <f t="shared" si="9"/>
        <v>#VALUE!</v>
      </c>
      <c r="AB39" s="253" t="str">
        <f>IF(Z39="","",RANK(Z39,Z:Z,0)+COUNTIF($Z$1:Z38,Z39))</f>
        <v/>
      </c>
      <c r="AC39" s="254" t="str">
        <f t="shared" si="10"/>
        <v/>
      </c>
      <c r="AD39" s="253">
        <f t="shared" si="11"/>
        <v>0</v>
      </c>
      <c r="AE39" t="str">
        <f t="shared" si="12"/>
        <v/>
      </c>
      <c r="AF39">
        <f t="shared" si="13"/>
        <v>0</v>
      </c>
    </row>
    <row r="40" spans="21:32">
      <c r="U40" s="253" t="str">
        <f t="shared" si="3"/>
        <v/>
      </c>
      <c r="V40" s="253" t="str">
        <f t="shared" si="4"/>
        <v/>
      </c>
      <c r="W40" s="255" t="str">
        <f t="shared" si="5"/>
        <v/>
      </c>
      <c r="X40" s="253" t="str">
        <f t="shared" si="6"/>
        <v/>
      </c>
      <c r="Y40" s="254" t="str">
        <f t="shared" si="7"/>
        <v/>
      </c>
      <c r="Z40" s="253" t="str">
        <f t="shared" si="8"/>
        <v/>
      </c>
      <c r="AA40" s="255" t="e">
        <f t="shared" si="9"/>
        <v>#VALUE!</v>
      </c>
      <c r="AB40" s="253" t="str">
        <f>IF(Z40="","",RANK(Z40,Z:Z,0)+COUNTIF($Z$1:Z39,Z40))</f>
        <v/>
      </c>
      <c r="AC40" s="254" t="str">
        <f t="shared" si="10"/>
        <v/>
      </c>
      <c r="AD40" s="253">
        <f t="shared" si="11"/>
        <v>0</v>
      </c>
      <c r="AE40" t="str">
        <f t="shared" si="12"/>
        <v/>
      </c>
      <c r="AF40">
        <f t="shared" si="13"/>
        <v>0</v>
      </c>
    </row>
    <row r="41" spans="21:32">
      <c r="U41" s="253" t="str">
        <f t="shared" si="3"/>
        <v/>
      </c>
      <c r="V41" s="253" t="str">
        <f t="shared" si="4"/>
        <v/>
      </c>
      <c r="W41" s="255" t="str">
        <f t="shared" si="5"/>
        <v/>
      </c>
      <c r="X41" s="253" t="str">
        <f t="shared" si="6"/>
        <v/>
      </c>
      <c r="Y41" s="254" t="str">
        <f t="shared" si="7"/>
        <v/>
      </c>
      <c r="Z41" s="253" t="str">
        <f t="shared" si="8"/>
        <v/>
      </c>
      <c r="AA41" s="255" t="e">
        <f t="shared" si="9"/>
        <v>#VALUE!</v>
      </c>
      <c r="AB41" s="253" t="str">
        <f>IF(Z41="","",RANK(Z41,Z:Z,0)+COUNTIF($Z$1:Z40,Z41))</f>
        <v/>
      </c>
      <c r="AC41" s="254" t="str">
        <f t="shared" si="10"/>
        <v/>
      </c>
      <c r="AD41" s="253">
        <f t="shared" si="11"/>
        <v>0</v>
      </c>
      <c r="AE41" t="str">
        <f t="shared" si="12"/>
        <v/>
      </c>
      <c r="AF41">
        <f t="shared" si="13"/>
        <v>0</v>
      </c>
    </row>
    <row r="42" spans="21:32">
      <c r="U42" s="253" t="str">
        <f t="shared" si="3"/>
        <v/>
      </c>
      <c r="V42" s="253" t="str">
        <f t="shared" si="4"/>
        <v/>
      </c>
      <c r="W42" s="255" t="str">
        <f t="shared" si="5"/>
        <v/>
      </c>
      <c r="X42" s="253" t="str">
        <f t="shared" si="6"/>
        <v/>
      </c>
      <c r="Y42" s="254" t="str">
        <f t="shared" si="7"/>
        <v/>
      </c>
      <c r="Z42" s="253" t="str">
        <f t="shared" si="8"/>
        <v/>
      </c>
      <c r="AA42" s="255" t="e">
        <f t="shared" si="9"/>
        <v>#VALUE!</v>
      </c>
      <c r="AB42" s="253" t="str">
        <f>IF(Z42="","",RANK(Z42,Z:Z,0)+COUNTIF($Z$1:Z41,Z42))</f>
        <v/>
      </c>
      <c r="AC42" s="254" t="str">
        <f t="shared" si="10"/>
        <v/>
      </c>
      <c r="AD42" s="253">
        <f t="shared" si="11"/>
        <v>0</v>
      </c>
      <c r="AE42" t="str">
        <f t="shared" si="12"/>
        <v/>
      </c>
      <c r="AF42">
        <f t="shared" si="13"/>
        <v>0</v>
      </c>
    </row>
    <row r="43" spans="21:32">
      <c r="U43" s="253" t="str">
        <f t="shared" si="3"/>
        <v/>
      </c>
      <c r="V43" s="253" t="str">
        <f t="shared" si="4"/>
        <v/>
      </c>
      <c r="W43" s="255" t="str">
        <f t="shared" si="5"/>
        <v/>
      </c>
      <c r="X43" s="253" t="str">
        <f t="shared" si="6"/>
        <v/>
      </c>
      <c r="Y43" s="254" t="str">
        <f t="shared" si="7"/>
        <v/>
      </c>
      <c r="Z43" s="253" t="str">
        <f t="shared" si="8"/>
        <v/>
      </c>
      <c r="AA43" s="255" t="e">
        <f t="shared" si="9"/>
        <v>#VALUE!</v>
      </c>
      <c r="AB43" s="253" t="str">
        <f>IF(Z43="","",RANK(Z43,Z:Z,0)+COUNTIF($Z$1:Z42,Z43))</f>
        <v/>
      </c>
      <c r="AC43" s="254" t="str">
        <f t="shared" si="10"/>
        <v/>
      </c>
      <c r="AD43" s="253">
        <f t="shared" si="11"/>
        <v>0</v>
      </c>
      <c r="AE43" t="str">
        <f t="shared" si="12"/>
        <v/>
      </c>
      <c r="AF43">
        <f t="shared" si="13"/>
        <v>0</v>
      </c>
    </row>
    <row r="44" spans="21:32">
      <c r="U44" s="253" t="str">
        <f t="shared" si="3"/>
        <v/>
      </c>
      <c r="V44" s="253" t="str">
        <f t="shared" si="4"/>
        <v/>
      </c>
      <c r="W44" s="255" t="str">
        <f t="shared" si="5"/>
        <v/>
      </c>
      <c r="X44" s="253" t="str">
        <f t="shared" si="6"/>
        <v/>
      </c>
      <c r="Y44" s="254" t="str">
        <f t="shared" si="7"/>
        <v/>
      </c>
      <c r="Z44" s="253" t="str">
        <f t="shared" si="8"/>
        <v/>
      </c>
      <c r="AA44" s="255" t="e">
        <f t="shared" si="9"/>
        <v>#VALUE!</v>
      </c>
      <c r="AB44" s="253" t="str">
        <f>IF(Z44="","",RANK(Z44,Z:Z,0)+COUNTIF($Z$1:Z43,Z44))</f>
        <v/>
      </c>
      <c r="AC44" s="254" t="str">
        <f t="shared" si="10"/>
        <v/>
      </c>
      <c r="AD44" s="253">
        <f t="shared" si="11"/>
        <v>0</v>
      </c>
      <c r="AE44" t="str">
        <f t="shared" si="12"/>
        <v/>
      </c>
      <c r="AF44">
        <f t="shared" si="13"/>
        <v>0</v>
      </c>
    </row>
    <row r="45" spans="21:32">
      <c r="U45" s="253" t="str">
        <f t="shared" si="3"/>
        <v/>
      </c>
      <c r="V45" s="253" t="str">
        <f t="shared" si="4"/>
        <v/>
      </c>
      <c r="W45" s="255" t="str">
        <f t="shared" si="5"/>
        <v/>
      </c>
      <c r="X45" s="253" t="str">
        <f t="shared" si="6"/>
        <v/>
      </c>
      <c r="Y45" s="254" t="str">
        <f t="shared" si="7"/>
        <v/>
      </c>
      <c r="Z45" s="253" t="str">
        <f t="shared" si="8"/>
        <v/>
      </c>
      <c r="AA45" s="255" t="e">
        <f t="shared" si="9"/>
        <v>#VALUE!</v>
      </c>
      <c r="AB45" s="253" t="str">
        <f>IF(Z45="","",RANK(Z45,Z:Z,0)+COUNTIF($Z$1:Z44,Z45))</f>
        <v/>
      </c>
      <c r="AC45" s="254" t="str">
        <f t="shared" si="10"/>
        <v/>
      </c>
      <c r="AD45" s="253">
        <f t="shared" si="11"/>
        <v>0</v>
      </c>
      <c r="AE45" t="str">
        <f t="shared" si="12"/>
        <v/>
      </c>
      <c r="AF45">
        <f t="shared" si="13"/>
        <v>0</v>
      </c>
    </row>
    <row r="46" spans="21:32">
      <c r="U46" s="253" t="str">
        <f t="shared" si="3"/>
        <v/>
      </c>
      <c r="V46" s="253" t="str">
        <f t="shared" si="4"/>
        <v/>
      </c>
      <c r="W46" s="255" t="str">
        <f t="shared" si="5"/>
        <v/>
      </c>
      <c r="X46" s="253" t="str">
        <f t="shared" si="6"/>
        <v/>
      </c>
      <c r="Y46" s="254" t="str">
        <f t="shared" si="7"/>
        <v/>
      </c>
      <c r="Z46" s="253" t="str">
        <f t="shared" si="8"/>
        <v/>
      </c>
      <c r="AA46" s="255" t="e">
        <f t="shared" si="9"/>
        <v>#VALUE!</v>
      </c>
      <c r="AB46" s="253" t="str">
        <f>IF(Z46="","",RANK(Z46,Z:Z,0)+COUNTIF($Z$1:Z45,Z46))</f>
        <v/>
      </c>
      <c r="AC46" s="254" t="str">
        <f t="shared" si="10"/>
        <v/>
      </c>
      <c r="AD46" s="253">
        <f t="shared" si="11"/>
        <v>0</v>
      </c>
      <c r="AE46" t="str">
        <f t="shared" si="12"/>
        <v/>
      </c>
      <c r="AF46">
        <f t="shared" si="13"/>
        <v>0</v>
      </c>
    </row>
    <row r="47" spans="21:32">
      <c r="U47" s="253" t="str">
        <f t="shared" si="3"/>
        <v/>
      </c>
      <c r="V47" s="253" t="str">
        <f t="shared" si="4"/>
        <v/>
      </c>
      <c r="W47" s="255" t="str">
        <f t="shared" si="5"/>
        <v/>
      </c>
      <c r="X47" s="253" t="str">
        <f t="shared" si="6"/>
        <v/>
      </c>
      <c r="Y47" s="254" t="str">
        <f t="shared" si="7"/>
        <v/>
      </c>
      <c r="Z47" s="253" t="str">
        <f t="shared" si="8"/>
        <v/>
      </c>
      <c r="AA47" s="255" t="e">
        <f t="shared" si="9"/>
        <v>#VALUE!</v>
      </c>
      <c r="AB47" s="253" t="str">
        <f>IF(Z47="","",RANK(Z47,Z:Z,0)+COUNTIF($Z$1:Z46,Z47))</f>
        <v/>
      </c>
      <c r="AC47" s="254" t="str">
        <f t="shared" si="10"/>
        <v/>
      </c>
      <c r="AD47" s="253">
        <f t="shared" si="11"/>
        <v>0</v>
      </c>
      <c r="AE47" t="str">
        <f t="shared" si="12"/>
        <v/>
      </c>
      <c r="AF47">
        <f t="shared" si="13"/>
        <v>0</v>
      </c>
    </row>
    <row r="48" spans="21:32">
      <c r="U48" s="253" t="str">
        <f t="shared" si="3"/>
        <v/>
      </c>
      <c r="V48" s="253" t="str">
        <f t="shared" si="4"/>
        <v/>
      </c>
      <c r="W48" s="255" t="str">
        <f t="shared" si="5"/>
        <v/>
      </c>
      <c r="X48" s="253" t="str">
        <f t="shared" si="6"/>
        <v/>
      </c>
      <c r="Y48" s="254" t="str">
        <f t="shared" si="7"/>
        <v/>
      </c>
      <c r="Z48" s="253" t="str">
        <f t="shared" si="8"/>
        <v/>
      </c>
      <c r="AA48" s="255" t="e">
        <f t="shared" si="9"/>
        <v>#VALUE!</v>
      </c>
      <c r="AB48" s="253" t="str">
        <f>IF(Z48="","",RANK(Z48,Z:Z,0)+COUNTIF($Z$1:Z47,Z48))</f>
        <v/>
      </c>
      <c r="AC48" s="254" t="str">
        <f t="shared" si="10"/>
        <v/>
      </c>
      <c r="AD48" s="253">
        <f t="shared" si="11"/>
        <v>0</v>
      </c>
      <c r="AE48" t="str">
        <f t="shared" si="12"/>
        <v/>
      </c>
      <c r="AF48">
        <f t="shared" si="13"/>
        <v>0</v>
      </c>
    </row>
    <row r="49" spans="21:32">
      <c r="U49" s="253" t="str">
        <f t="shared" si="3"/>
        <v/>
      </c>
      <c r="V49" s="253" t="str">
        <f t="shared" si="4"/>
        <v/>
      </c>
      <c r="W49" s="255" t="str">
        <f t="shared" si="5"/>
        <v/>
      </c>
      <c r="X49" s="253" t="str">
        <f t="shared" si="6"/>
        <v/>
      </c>
      <c r="Y49" s="254" t="str">
        <f t="shared" si="7"/>
        <v/>
      </c>
      <c r="Z49" s="253" t="str">
        <f t="shared" si="8"/>
        <v/>
      </c>
      <c r="AA49" s="255" t="e">
        <f t="shared" si="9"/>
        <v>#VALUE!</v>
      </c>
      <c r="AB49" s="253" t="str">
        <f>IF(Z49="","",RANK(Z49,Z:Z,0)+COUNTIF($Z$1:Z48,Z49))</f>
        <v/>
      </c>
      <c r="AC49" s="254" t="str">
        <f t="shared" si="10"/>
        <v/>
      </c>
      <c r="AD49" s="253">
        <f t="shared" si="11"/>
        <v>0</v>
      </c>
      <c r="AE49" t="str">
        <f t="shared" si="12"/>
        <v/>
      </c>
      <c r="AF49">
        <f t="shared" si="13"/>
        <v>0</v>
      </c>
    </row>
    <row r="50" spans="21:32">
      <c r="U50" s="253" t="str">
        <f t="shared" si="3"/>
        <v/>
      </c>
      <c r="V50" s="253" t="str">
        <f t="shared" si="4"/>
        <v/>
      </c>
      <c r="W50" s="255" t="str">
        <f t="shared" si="5"/>
        <v/>
      </c>
      <c r="X50" s="253" t="str">
        <f t="shared" si="6"/>
        <v/>
      </c>
      <c r="Y50" s="254" t="str">
        <f t="shared" si="7"/>
        <v/>
      </c>
      <c r="Z50" s="253" t="str">
        <f t="shared" si="8"/>
        <v/>
      </c>
      <c r="AA50" s="255" t="e">
        <f t="shared" si="9"/>
        <v>#VALUE!</v>
      </c>
      <c r="AB50" s="253" t="str">
        <f>IF(Z50="","",RANK(Z50,Z:Z,0)+COUNTIF($Z$1:Z49,Z50))</f>
        <v/>
      </c>
      <c r="AC50" s="254" t="str">
        <f t="shared" si="10"/>
        <v/>
      </c>
      <c r="AD50" s="253">
        <f t="shared" si="11"/>
        <v>0</v>
      </c>
      <c r="AE50" t="str">
        <f t="shared" si="12"/>
        <v/>
      </c>
      <c r="AF50">
        <f t="shared" si="13"/>
        <v>0</v>
      </c>
    </row>
    <row r="51" spans="21:32">
      <c r="U51" s="253" t="str">
        <f t="shared" si="3"/>
        <v/>
      </c>
      <c r="V51" s="253" t="str">
        <f t="shared" si="4"/>
        <v/>
      </c>
      <c r="W51" s="255" t="str">
        <f t="shared" si="5"/>
        <v/>
      </c>
      <c r="X51" s="253" t="str">
        <f t="shared" si="6"/>
        <v/>
      </c>
      <c r="Y51" s="254" t="str">
        <f t="shared" si="7"/>
        <v/>
      </c>
      <c r="Z51" s="253" t="str">
        <f t="shared" si="8"/>
        <v/>
      </c>
      <c r="AA51" s="255" t="e">
        <f t="shared" si="9"/>
        <v>#VALUE!</v>
      </c>
      <c r="AB51" s="253" t="str">
        <f>IF(Z51="","",RANK(Z51,Z:Z,0)+COUNTIF($Z$1:Z50,Z51))</f>
        <v/>
      </c>
      <c r="AC51" s="254" t="str">
        <f t="shared" si="10"/>
        <v/>
      </c>
      <c r="AD51" s="253">
        <f t="shared" si="11"/>
        <v>0</v>
      </c>
      <c r="AE51" t="str">
        <f t="shared" si="12"/>
        <v/>
      </c>
      <c r="AF51">
        <f t="shared" si="13"/>
        <v>0</v>
      </c>
    </row>
    <row r="52" spans="21:32">
      <c r="U52" s="253" t="str">
        <f t="shared" si="3"/>
        <v/>
      </c>
      <c r="V52" s="253" t="str">
        <f t="shared" si="4"/>
        <v/>
      </c>
      <c r="W52" s="255" t="str">
        <f t="shared" si="5"/>
        <v/>
      </c>
      <c r="X52" s="253" t="str">
        <f t="shared" si="6"/>
        <v/>
      </c>
      <c r="Y52" s="254" t="str">
        <f t="shared" si="7"/>
        <v/>
      </c>
      <c r="Z52" s="253" t="str">
        <f t="shared" si="8"/>
        <v/>
      </c>
      <c r="AA52" s="255" t="e">
        <f t="shared" si="9"/>
        <v>#VALUE!</v>
      </c>
      <c r="AB52" s="253" t="str">
        <f>IF(Z52="","",RANK(Z52,Z:Z,0)+COUNTIF($Z$1:Z51,Z52))</f>
        <v/>
      </c>
      <c r="AC52" s="254" t="str">
        <f t="shared" si="10"/>
        <v/>
      </c>
      <c r="AD52" s="253">
        <f t="shared" si="11"/>
        <v>0</v>
      </c>
      <c r="AE52" t="str">
        <f t="shared" si="12"/>
        <v/>
      </c>
      <c r="AF52">
        <f t="shared" si="13"/>
        <v>0</v>
      </c>
    </row>
    <row r="53" spans="21:32">
      <c r="U53" s="253" t="str">
        <f t="shared" si="3"/>
        <v/>
      </c>
      <c r="V53" s="253" t="str">
        <f t="shared" si="4"/>
        <v/>
      </c>
      <c r="W53" s="255" t="str">
        <f t="shared" si="5"/>
        <v/>
      </c>
      <c r="X53" s="253" t="str">
        <f t="shared" si="6"/>
        <v/>
      </c>
      <c r="Y53" s="254" t="str">
        <f t="shared" si="7"/>
        <v/>
      </c>
      <c r="Z53" s="253" t="str">
        <f t="shared" si="8"/>
        <v/>
      </c>
      <c r="AA53" s="255" t="e">
        <f t="shared" si="9"/>
        <v>#VALUE!</v>
      </c>
      <c r="AB53" s="253" t="str">
        <f>IF(Z53="","",RANK(Z53,Z:Z,0)+COUNTIF($Z$1:Z52,Z53))</f>
        <v/>
      </c>
      <c r="AC53" s="254" t="str">
        <f t="shared" si="10"/>
        <v/>
      </c>
      <c r="AD53" s="253">
        <f t="shared" si="11"/>
        <v>0</v>
      </c>
      <c r="AE53" t="str">
        <f t="shared" si="12"/>
        <v/>
      </c>
      <c r="AF53">
        <f t="shared" si="13"/>
        <v>0</v>
      </c>
    </row>
    <row r="54" spans="21:32">
      <c r="U54" s="253" t="str">
        <f t="shared" si="3"/>
        <v/>
      </c>
      <c r="V54" s="253" t="str">
        <f t="shared" si="4"/>
        <v/>
      </c>
      <c r="W54" s="255" t="str">
        <f t="shared" si="5"/>
        <v/>
      </c>
      <c r="X54" s="253" t="str">
        <f t="shared" si="6"/>
        <v/>
      </c>
      <c r="Y54" s="254" t="str">
        <f t="shared" si="7"/>
        <v/>
      </c>
      <c r="Z54" s="253" t="str">
        <f t="shared" si="8"/>
        <v/>
      </c>
      <c r="AA54" s="255" t="e">
        <f t="shared" si="9"/>
        <v>#VALUE!</v>
      </c>
      <c r="AB54" s="253" t="str">
        <f>IF(Z54="","",RANK(Z54,Z:Z,0)+COUNTIF($Z$1:Z53,Z54))</f>
        <v/>
      </c>
      <c r="AC54" s="254" t="str">
        <f t="shared" si="10"/>
        <v/>
      </c>
      <c r="AD54" s="253">
        <f t="shared" si="11"/>
        <v>0</v>
      </c>
      <c r="AE54" t="str">
        <f t="shared" si="12"/>
        <v/>
      </c>
      <c r="AF54">
        <f t="shared" si="13"/>
        <v>0</v>
      </c>
    </row>
    <row r="55" spans="21:32">
      <c r="U55" s="253" t="str">
        <f t="shared" si="3"/>
        <v/>
      </c>
      <c r="V55" s="253" t="str">
        <f t="shared" si="4"/>
        <v/>
      </c>
      <c r="W55" s="255" t="str">
        <f t="shared" si="5"/>
        <v/>
      </c>
      <c r="X55" s="253" t="str">
        <f t="shared" si="6"/>
        <v/>
      </c>
      <c r="Y55" s="254" t="str">
        <f t="shared" si="7"/>
        <v/>
      </c>
      <c r="Z55" s="253" t="str">
        <f t="shared" si="8"/>
        <v/>
      </c>
      <c r="AA55" s="255" t="e">
        <f t="shared" si="9"/>
        <v>#VALUE!</v>
      </c>
      <c r="AB55" s="253" t="str">
        <f>IF(Z55="","",RANK(Z55,Z:Z,0)+COUNTIF($Z$1:Z54,Z55))</f>
        <v/>
      </c>
      <c r="AC55" s="254" t="str">
        <f t="shared" si="10"/>
        <v/>
      </c>
      <c r="AD55" s="253">
        <f t="shared" si="11"/>
        <v>0</v>
      </c>
      <c r="AE55" t="str">
        <f t="shared" si="12"/>
        <v/>
      </c>
      <c r="AF55">
        <f t="shared" si="13"/>
        <v>0</v>
      </c>
    </row>
    <row r="56" spans="21:32">
      <c r="U56" s="253" t="str">
        <f t="shared" si="3"/>
        <v/>
      </c>
      <c r="V56" s="253" t="str">
        <f t="shared" si="4"/>
        <v/>
      </c>
      <c r="W56" s="255" t="str">
        <f t="shared" si="5"/>
        <v/>
      </c>
      <c r="X56" s="253" t="str">
        <f t="shared" si="6"/>
        <v/>
      </c>
      <c r="Y56" s="254" t="str">
        <f t="shared" si="7"/>
        <v/>
      </c>
      <c r="Z56" s="253" t="str">
        <f t="shared" si="8"/>
        <v/>
      </c>
      <c r="AA56" s="255" t="e">
        <f t="shared" si="9"/>
        <v>#VALUE!</v>
      </c>
      <c r="AB56" s="253" t="str">
        <f>IF(Z56="","",RANK(Z56,Z:Z,0)+COUNTIF($Z$1:Z55,Z56))</f>
        <v/>
      </c>
      <c r="AC56" s="254" t="str">
        <f t="shared" si="10"/>
        <v/>
      </c>
      <c r="AD56" s="253">
        <f t="shared" si="11"/>
        <v>0</v>
      </c>
      <c r="AE56" t="str">
        <f t="shared" si="12"/>
        <v/>
      </c>
      <c r="AF56">
        <f t="shared" si="13"/>
        <v>0</v>
      </c>
    </row>
    <row r="57" spans="21:32">
      <c r="U57" s="253" t="str">
        <f t="shared" si="3"/>
        <v/>
      </c>
      <c r="V57" s="253" t="str">
        <f t="shared" si="4"/>
        <v/>
      </c>
      <c r="W57" s="255" t="str">
        <f t="shared" si="5"/>
        <v/>
      </c>
      <c r="X57" s="253" t="str">
        <f t="shared" si="6"/>
        <v/>
      </c>
      <c r="Y57" s="254" t="str">
        <f t="shared" si="7"/>
        <v/>
      </c>
      <c r="Z57" s="253" t="str">
        <f t="shared" si="8"/>
        <v/>
      </c>
      <c r="AA57" s="255" t="e">
        <f t="shared" si="9"/>
        <v>#VALUE!</v>
      </c>
      <c r="AB57" s="253" t="str">
        <f>IF(Z57="","",RANK(Z57,Z:Z,0)+COUNTIF($Z$1:Z56,Z57))</f>
        <v/>
      </c>
      <c r="AC57" s="254" t="str">
        <f t="shared" si="10"/>
        <v/>
      </c>
      <c r="AD57" s="253">
        <f t="shared" si="11"/>
        <v>0</v>
      </c>
      <c r="AE57" t="str">
        <f t="shared" si="12"/>
        <v/>
      </c>
      <c r="AF57">
        <f t="shared" si="13"/>
        <v>0</v>
      </c>
    </row>
    <row r="58" spans="21:32">
      <c r="U58" s="253" t="str">
        <f t="shared" si="3"/>
        <v/>
      </c>
      <c r="V58" s="253" t="str">
        <f t="shared" si="4"/>
        <v/>
      </c>
      <c r="W58" s="255" t="str">
        <f t="shared" si="5"/>
        <v/>
      </c>
      <c r="X58" s="253" t="str">
        <f t="shared" si="6"/>
        <v/>
      </c>
      <c r="Y58" s="254" t="str">
        <f t="shared" si="7"/>
        <v/>
      </c>
      <c r="Z58" s="253" t="str">
        <f t="shared" si="8"/>
        <v/>
      </c>
      <c r="AA58" s="255" t="e">
        <f t="shared" si="9"/>
        <v>#VALUE!</v>
      </c>
      <c r="AB58" s="253" t="str">
        <f>IF(Z58="","",RANK(Z58,Z:Z,0)+COUNTIF($Z$1:Z57,Z58))</f>
        <v/>
      </c>
      <c r="AC58" s="254" t="str">
        <f t="shared" si="10"/>
        <v/>
      </c>
      <c r="AD58" s="253">
        <f t="shared" si="11"/>
        <v>0</v>
      </c>
      <c r="AE58" t="str">
        <f t="shared" si="12"/>
        <v/>
      </c>
      <c r="AF58">
        <f t="shared" si="13"/>
        <v>0</v>
      </c>
    </row>
    <row r="59" spans="21:32">
      <c r="U59" s="253" t="str">
        <f t="shared" si="3"/>
        <v/>
      </c>
      <c r="V59" s="253" t="str">
        <f t="shared" si="4"/>
        <v/>
      </c>
      <c r="W59" s="255" t="str">
        <f t="shared" si="5"/>
        <v/>
      </c>
      <c r="X59" s="253" t="str">
        <f t="shared" si="6"/>
        <v/>
      </c>
      <c r="Y59" s="254" t="str">
        <f t="shared" si="7"/>
        <v/>
      </c>
      <c r="Z59" s="253" t="str">
        <f t="shared" si="8"/>
        <v/>
      </c>
      <c r="AA59" s="255" t="e">
        <f t="shared" si="9"/>
        <v>#VALUE!</v>
      </c>
      <c r="AB59" s="253" t="str">
        <f>IF(Z59="","",RANK(Z59,Z:Z,0)+COUNTIF($Z$1:Z58,Z59))</f>
        <v/>
      </c>
      <c r="AC59" s="254" t="str">
        <f t="shared" si="10"/>
        <v/>
      </c>
      <c r="AD59" s="253">
        <f t="shared" si="11"/>
        <v>0</v>
      </c>
      <c r="AE59" t="str">
        <f t="shared" si="12"/>
        <v/>
      </c>
      <c r="AF59">
        <f t="shared" si="13"/>
        <v>0</v>
      </c>
    </row>
    <row r="60" spans="21:32">
      <c r="U60" s="253" t="str">
        <f t="shared" si="3"/>
        <v/>
      </c>
      <c r="V60" s="253" t="str">
        <f t="shared" si="4"/>
        <v/>
      </c>
      <c r="W60" s="255" t="str">
        <f t="shared" si="5"/>
        <v/>
      </c>
      <c r="X60" s="253" t="str">
        <f t="shared" si="6"/>
        <v/>
      </c>
      <c r="Y60" s="254" t="str">
        <f t="shared" si="7"/>
        <v/>
      </c>
      <c r="Z60" s="253" t="str">
        <f t="shared" si="8"/>
        <v/>
      </c>
      <c r="AA60" s="255" t="e">
        <f t="shared" si="9"/>
        <v>#VALUE!</v>
      </c>
      <c r="AB60" s="253" t="str">
        <f>IF(Z60="","",RANK(Z60,Z:Z,0)+COUNTIF($Z$1:Z59,Z60))</f>
        <v/>
      </c>
      <c r="AC60" s="254" t="str">
        <f t="shared" si="10"/>
        <v/>
      </c>
      <c r="AD60" s="253">
        <f t="shared" si="11"/>
        <v>0</v>
      </c>
      <c r="AE60" t="str">
        <f t="shared" si="12"/>
        <v/>
      </c>
      <c r="AF60">
        <f t="shared" si="13"/>
        <v>0</v>
      </c>
    </row>
    <row r="61" spans="21:32">
      <c r="U61" s="253" t="str">
        <f t="shared" si="3"/>
        <v/>
      </c>
      <c r="V61" s="253" t="str">
        <f t="shared" si="4"/>
        <v/>
      </c>
      <c r="W61" s="255" t="str">
        <f t="shared" si="5"/>
        <v/>
      </c>
      <c r="X61" s="253" t="str">
        <f t="shared" si="6"/>
        <v/>
      </c>
      <c r="Y61" s="254" t="str">
        <f t="shared" si="7"/>
        <v/>
      </c>
      <c r="Z61" s="253" t="str">
        <f t="shared" si="8"/>
        <v/>
      </c>
      <c r="AA61" s="255" t="e">
        <f t="shared" si="9"/>
        <v>#VALUE!</v>
      </c>
      <c r="AB61" s="253" t="str">
        <f>IF(Z61="","",RANK(Z61,Z:Z,0)+COUNTIF($Z$1:Z60,Z61))</f>
        <v/>
      </c>
      <c r="AC61" s="254" t="str">
        <f t="shared" si="10"/>
        <v/>
      </c>
      <c r="AD61" s="253">
        <f t="shared" si="11"/>
        <v>0</v>
      </c>
      <c r="AE61" t="str">
        <f t="shared" si="12"/>
        <v/>
      </c>
      <c r="AF61">
        <f t="shared" si="13"/>
        <v>0</v>
      </c>
    </row>
    <row r="62" spans="21:32">
      <c r="U62" s="253" t="str">
        <f t="shared" si="3"/>
        <v/>
      </c>
      <c r="V62" s="253" t="str">
        <f t="shared" si="4"/>
        <v/>
      </c>
      <c r="W62" s="255" t="str">
        <f t="shared" si="5"/>
        <v/>
      </c>
      <c r="X62" s="253" t="str">
        <f t="shared" si="6"/>
        <v/>
      </c>
      <c r="Y62" s="254" t="str">
        <f t="shared" si="7"/>
        <v/>
      </c>
      <c r="Z62" s="253" t="str">
        <f t="shared" si="8"/>
        <v/>
      </c>
      <c r="AA62" s="255" t="e">
        <f t="shared" si="9"/>
        <v>#VALUE!</v>
      </c>
      <c r="AB62" s="253" t="str">
        <f>IF(Z62="","",RANK(Z62,Z:Z,0)+COUNTIF($Z$1:Z61,Z62))</f>
        <v/>
      </c>
      <c r="AC62" s="254" t="str">
        <f t="shared" si="10"/>
        <v/>
      </c>
      <c r="AD62" s="253">
        <f t="shared" si="11"/>
        <v>0</v>
      </c>
      <c r="AE62" t="str">
        <f t="shared" si="12"/>
        <v/>
      </c>
      <c r="AF62">
        <f t="shared" si="13"/>
        <v>0</v>
      </c>
    </row>
    <row r="63" spans="21:32">
      <c r="U63" s="253" t="str">
        <f t="shared" si="3"/>
        <v/>
      </c>
      <c r="V63" s="253" t="str">
        <f t="shared" si="4"/>
        <v/>
      </c>
      <c r="W63" s="255" t="str">
        <f t="shared" si="5"/>
        <v/>
      </c>
      <c r="X63" s="253" t="str">
        <f t="shared" si="6"/>
        <v/>
      </c>
      <c r="Y63" s="254" t="str">
        <f t="shared" si="7"/>
        <v/>
      </c>
      <c r="Z63" s="253" t="str">
        <f t="shared" si="8"/>
        <v/>
      </c>
      <c r="AA63" s="255" t="e">
        <f t="shared" si="9"/>
        <v>#VALUE!</v>
      </c>
      <c r="AB63" s="253" t="str">
        <f>IF(Z63="","",RANK(Z63,Z:Z,0)+COUNTIF($Z$1:Z62,Z63))</f>
        <v/>
      </c>
      <c r="AC63" s="254" t="str">
        <f t="shared" si="10"/>
        <v/>
      </c>
      <c r="AD63" s="253">
        <f t="shared" si="11"/>
        <v>0</v>
      </c>
      <c r="AE63" t="str">
        <f t="shared" si="12"/>
        <v/>
      </c>
      <c r="AF63">
        <f t="shared" si="13"/>
        <v>0</v>
      </c>
    </row>
    <row r="64" spans="21:32">
      <c r="U64" s="253" t="str">
        <f t="shared" si="3"/>
        <v/>
      </c>
      <c r="V64" s="253" t="str">
        <f t="shared" si="4"/>
        <v/>
      </c>
      <c r="W64" s="255" t="str">
        <f t="shared" si="5"/>
        <v/>
      </c>
      <c r="X64" s="253" t="str">
        <f t="shared" si="6"/>
        <v/>
      </c>
      <c r="Y64" s="254" t="str">
        <f t="shared" si="7"/>
        <v/>
      </c>
      <c r="Z64" s="253" t="str">
        <f t="shared" si="8"/>
        <v/>
      </c>
      <c r="AA64" s="255" t="e">
        <f t="shared" si="9"/>
        <v>#VALUE!</v>
      </c>
      <c r="AB64" s="253" t="str">
        <f>IF(Z64="","",RANK(Z64,Z:Z,0)+COUNTIF($Z$1:Z63,Z64))</f>
        <v/>
      </c>
      <c r="AC64" s="254" t="str">
        <f t="shared" si="10"/>
        <v/>
      </c>
      <c r="AD64" s="253">
        <f t="shared" si="11"/>
        <v>0</v>
      </c>
      <c r="AE64" t="str">
        <f t="shared" si="12"/>
        <v/>
      </c>
      <c r="AF64">
        <f t="shared" si="13"/>
        <v>0</v>
      </c>
    </row>
    <row r="65" spans="21:32">
      <c r="U65" s="253" t="str">
        <f t="shared" si="3"/>
        <v/>
      </c>
      <c r="V65" s="253" t="str">
        <f t="shared" si="4"/>
        <v/>
      </c>
      <c r="W65" s="255" t="str">
        <f t="shared" si="5"/>
        <v/>
      </c>
      <c r="X65" s="253" t="str">
        <f t="shared" si="6"/>
        <v/>
      </c>
      <c r="Y65" s="254" t="str">
        <f t="shared" si="7"/>
        <v/>
      </c>
      <c r="Z65" s="253" t="str">
        <f t="shared" si="8"/>
        <v/>
      </c>
      <c r="AA65" s="255" t="e">
        <f t="shared" si="9"/>
        <v>#VALUE!</v>
      </c>
      <c r="AB65" s="253" t="str">
        <f>IF(Z65="","",RANK(Z65,Z:Z,0)+COUNTIF($Z$1:Z64,Z65))</f>
        <v/>
      </c>
      <c r="AC65" s="254" t="str">
        <f t="shared" si="10"/>
        <v/>
      </c>
      <c r="AD65" s="253">
        <f t="shared" si="11"/>
        <v>0</v>
      </c>
      <c r="AE65" t="str">
        <f t="shared" si="12"/>
        <v/>
      </c>
      <c r="AF65">
        <f t="shared" si="13"/>
        <v>0</v>
      </c>
    </row>
    <row r="66" spans="21:32">
      <c r="U66" s="253" t="str">
        <f t="shared" si="3"/>
        <v/>
      </c>
      <c r="V66" s="253" t="str">
        <f t="shared" si="4"/>
        <v/>
      </c>
      <c r="W66" s="255" t="str">
        <f t="shared" si="5"/>
        <v/>
      </c>
      <c r="X66" s="253" t="str">
        <f t="shared" si="6"/>
        <v/>
      </c>
      <c r="Y66" s="254" t="str">
        <f t="shared" si="7"/>
        <v/>
      </c>
      <c r="Z66" s="253" t="str">
        <f t="shared" si="8"/>
        <v/>
      </c>
      <c r="AA66" s="255" t="e">
        <f t="shared" si="9"/>
        <v>#VALUE!</v>
      </c>
      <c r="AB66" s="253" t="str">
        <f>IF(Z66="","",RANK(Z66,Z:Z,0)+COUNTIF($Z$1:Z65,Z66))</f>
        <v/>
      </c>
      <c r="AC66" s="254" t="str">
        <f t="shared" si="10"/>
        <v/>
      </c>
      <c r="AD66" s="253">
        <f t="shared" si="11"/>
        <v>0</v>
      </c>
      <c r="AE66" t="str">
        <f t="shared" si="12"/>
        <v/>
      </c>
      <c r="AF66">
        <f t="shared" si="13"/>
        <v>0</v>
      </c>
    </row>
    <row r="67" spans="21:32">
      <c r="U67" s="253" t="str">
        <f t="shared" ref="U67:U75" si="14">IF(Y67="","",_xlfn.RANK.EQ(AC67,AC:AC,0))</f>
        <v/>
      </c>
      <c r="V67" s="253" t="str">
        <f t="shared" ref="V67:V75" si="15">IF(U67="","",_xlfn.RANK.EQ(U67,U:U,1))</f>
        <v/>
      </c>
      <c r="W67" s="255" t="str">
        <f t="shared" ref="W67:W75" si="16">IF(C67&lt;&gt;"Organic","",IF(B67="","",DATE(RIGHT(F67,4),LEFT(F67,2),MID(F67,4,2))))</f>
        <v/>
      </c>
      <c r="X67" s="253" t="str">
        <f t="shared" ref="X67:X75" si="17">IF(C67&lt;&gt;"Organic","",IF(B67="","",SUM(O67:Q67,M67)))</f>
        <v/>
      </c>
      <c r="Y67" s="254" t="str">
        <f t="shared" ref="Y67:Y75" si="18">IFERROR(IF(C67&lt;&gt;"Organic","",X67/J67),"")</f>
        <v/>
      </c>
      <c r="Z67" s="253" t="str">
        <f t="shared" ref="Z67:Z75" si="19">IF(C67="","",IFERROR(IF(OR(C67="Sponsored",C67="total"),"",IF(C68="sponsored",K68-K69,K67)),""))</f>
        <v/>
      </c>
      <c r="AA67" s="255" t="e">
        <f t="shared" ref="AA67:AA75" si="20">DATE(RIGHT(F67,4),LEFT(F67,2),MID(F67,4,2))</f>
        <v>#VALUE!</v>
      </c>
      <c r="AB67" s="253" t="str">
        <f>IF(Z67="","",RANK(Z67,Z:Z,0)+COUNTIF($Z$1:Z66,Z67))</f>
        <v/>
      </c>
      <c r="AC67" s="254" t="str">
        <f t="shared" ref="AC67:AC75" si="21">IFERROR((0.6*Z67+1.4*M67+O67+P67+Q67)/J67,Y67)</f>
        <v/>
      </c>
      <c r="AD67" s="253">
        <f t="shared" ref="AD67:AD75" si="22">IF(C67="total","",J67)</f>
        <v>0</v>
      </c>
      <c r="AE67" t="str">
        <f t="shared" ref="AE67:AE75" si="23">IF(C67="organic",M67+O67+P67+Q67,"")</f>
        <v/>
      </c>
      <c r="AF67">
        <f t="shared" ref="AF67:AF75" si="24">IF(C67="total","",M67+O67+P67+Q67)</f>
        <v>0</v>
      </c>
    </row>
    <row r="68" spans="21:32">
      <c r="U68" s="253" t="str">
        <f t="shared" si="14"/>
        <v/>
      </c>
      <c r="V68" s="253" t="str">
        <f t="shared" si="15"/>
        <v/>
      </c>
      <c r="W68" s="255" t="str">
        <f t="shared" si="16"/>
        <v/>
      </c>
      <c r="X68" s="253" t="str">
        <f t="shared" si="17"/>
        <v/>
      </c>
      <c r="Y68" s="254" t="str">
        <f t="shared" si="18"/>
        <v/>
      </c>
      <c r="Z68" s="253" t="str">
        <f t="shared" si="19"/>
        <v/>
      </c>
      <c r="AA68" s="255" t="e">
        <f t="shared" si="20"/>
        <v>#VALUE!</v>
      </c>
      <c r="AB68" s="253" t="str">
        <f>IF(Z68="","",RANK(Z68,Z:Z,0)+COUNTIF($Z$1:Z67,Z68))</f>
        <v/>
      </c>
      <c r="AC68" s="254" t="str">
        <f t="shared" si="21"/>
        <v/>
      </c>
      <c r="AD68" s="253">
        <f t="shared" si="22"/>
        <v>0</v>
      </c>
      <c r="AE68" t="str">
        <f t="shared" si="23"/>
        <v/>
      </c>
      <c r="AF68">
        <f t="shared" si="24"/>
        <v>0</v>
      </c>
    </row>
    <row r="69" spans="21:32">
      <c r="U69" s="253" t="str">
        <f t="shared" si="14"/>
        <v/>
      </c>
      <c r="V69" s="253" t="str">
        <f t="shared" si="15"/>
        <v/>
      </c>
      <c r="W69" s="255" t="str">
        <f t="shared" si="16"/>
        <v/>
      </c>
      <c r="X69" s="253" t="str">
        <f t="shared" si="17"/>
        <v/>
      </c>
      <c r="Y69" s="254" t="str">
        <f t="shared" si="18"/>
        <v/>
      </c>
      <c r="Z69" s="253" t="str">
        <f t="shared" si="19"/>
        <v/>
      </c>
      <c r="AA69" s="255" t="e">
        <f t="shared" si="20"/>
        <v>#VALUE!</v>
      </c>
      <c r="AB69" s="253" t="str">
        <f>IF(Z69="","",RANK(Z69,Z:Z,0)+COUNTIF($Z$1:Z68,Z69))</f>
        <v/>
      </c>
      <c r="AC69" s="254" t="str">
        <f t="shared" si="21"/>
        <v/>
      </c>
      <c r="AD69" s="253">
        <f t="shared" si="22"/>
        <v>0</v>
      </c>
      <c r="AE69" t="str">
        <f t="shared" si="23"/>
        <v/>
      </c>
      <c r="AF69">
        <f t="shared" si="24"/>
        <v>0</v>
      </c>
    </row>
    <row r="70" spans="21:32">
      <c r="U70" s="253" t="str">
        <f t="shared" si="14"/>
        <v/>
      </c>
      <c r="V70" s="253" t="str">
        <f t="shared" si="15"/>
        <v/>
      </c>
      <c r="W70" s="255" t="str">
        <f t="shared" si="16"/>
        <v/>
      </c>
      <c r="X70" s="253" t="str">
        <f t="shared" si="17"/>
        <v/>
      </c>
      <c r="Y70" s="254" t="str">
        <f t="shared" si="18"/>
        <v/>
      </c>
      <c r="Z70" s="253" t="str">
        <f t="shared" si="19"/>
        <v/>
      </c>
      <c r="AA70" s="255" t="e">
        <f t="shared" si="20"/>
        <v>#VALUE!</v>
      </c>
      <c r="AB70" s="253" t="str">
        <f>IF(Z70="","",RANK(Z70,Z:Z,0)+COUNTIF($Z$1:Z69,Z70))</f>
        <v/>
      </c>
      <c r="AC70" s="254" t="str">
        <f t="shared" si="21"/>
        <v/>
      </c>
      <c r="AD70" s="253">
        <f t="shared" si="22"/>
        <v>0</v>
      </c>
      <c r="AE70" t="str">
        <f t="shared" si="23"/>
        <v/>
      </c>
      <c r="AF70">
        <f t="shared" si="24"/>
        <v>0</v>
      </c>
    </row>
    <row r="71" spans="21:32">
      <c r="U71" s="253" t="str">
        <f t="shared" si="14"/>
        <v/>
      </c>
      <c r="V71" s="253" t="str">
        <f t="shared" si="15"/>
        <v/>
      </c>
      <c r="W71" s="255" t="str">
        <f t="shared" si="16"/>
        <v/>
      </c>
      <c r="X71" s="253" t="str">
        <f t="shared" si="17"/>
        <v/>
      </c>
      <c r="Y71" s="254" t="str">
        <f t="shared" si="18"/>
        <v/>
      </c>
      <c r="Z71" s="253" t="str">
        <f t="shared" si="19"/>
        <v/>
      </c>
      <c r="AA71" s="255" t="e">
        <f t="shared" si="20"/>
        <v>#VALUE!</v>
      </c>
      <c r="AB71" s="253" t="str">
        <f>IF(Z71="","",RANK(Z71,Z:Z,0)+COUNTIF($Z$1:Z70,Z71))</f>
        <v/>
      </c>
      <c r="AC71" s="254" t="str">
        <f t="shared" si="21"/>
        <v/>
      </c>
      <c r="AD71" s="253">
        <f t="shared" si="22"/>
        <v>0</v>
      </c>
      <c r="AE71" t="str">
        <f t="shared" si="23"/>
        <v/>
      </c>
      <c r="AF71">
        <f t="shared" si="24"/>
        <v>0</v>
      </c>
    </row>
    <row r="72" spans="21:32">
      <c r="U72" s="253" t="str">
        <f t="shared" si="14"/>
        <v/>
      </c>
      <c r="V72" s="253" t="str">
        <f t="shared" si="15"/>
        <v/>
      </c>
      <c r="W72" s="255" t="str">
        <f t="shared" si="16"/>
        <v/>
      </c>
      <c r="X72" s="253" t="str">
        <f t="shared" si="17"/>
        <v/>
      </c>
      <c r="Y72" s="254" t="str">
        <f t="shared" si="18"/>
        <v/>
      </c>
      <c r="Z72" s="253" t="str">
        <f t="shared" si="19"/>
        <v/>
      </c>
      <c r="AA72" s="255" t="e">
        <f t="shared" si="20"/>
        <v>#VALUE!</v>
      </c>
      <c r="AB72" s="253" t="str">
        <f>IF(Z72="","",RANK(Z72,Z:Z,0)+COUNTIF($Z$1:Z71,Z72))</f>
        <v/>
      </c>
      <c r="AC72" s="254" t="str">
        <f t="shared" si="21"/>
        <v/>
      </c>
      <c r="AD72" s="253">
        <f t="shared" si="22"/>
        <v>0</v>
      </c>
      <c r="AE72" t="str">
        <f t="shared" si="23"/>
        <v/>
      </c>
      <c r="AF72">
        <f t="shared" si="24"/>
        <v>0</v>
      </c>
    </row>
    <row r="73" spans="21:32">
      <c r="U73" s="253" t="str">
        <f t="shared" si="14"/>
        <v/>
      </c>
      <c r="V73" s="253" t="str">
        <f t="shared" si="15"/>
        <v/>
      </c>
      <c r="W73" s="255" t="str">
        <f t="shared" si="16"/>
        <v/>
      </c>
      <c r="X73" s="253" t="str">
        <f t="shared" si="17"/>
        <v/>
      </c>
      <c r="Y73" s="254" t="str">
        <f t="shared" si="18"/>
        <v/>
      </c>
      <c r="Z73" s="253" t="str">
        <f t="shared" si="19"/>
        <v/>
      </c>
      <c r="AA73" s="255" t="e">
        <f t="shared" si="20"/>
        <v>#VALUE!</v>
      </c>
      <c r="AB73" s="253" t="str">
        <f>IF(Z73="","",RANK(Z73,Z:Z,0)+COUNTIF($Z$1:Z72,Z73))</f>
        <v/>
      </c>
      <c r="AC73" s="254" t="str">
        <f t="shared" si="21"/>
        <v/>
      </c>
      <c r="AD73" s="253">
        <f t="shared" si="22"/>
        <v>0</v>
      </c>
      <c r="AE73" t="str">
        <f t="shared" si="23"/>
        <v/>
      </c>
      <c r="AF73">
        <f t="shared" si="24"/>
        <v>0</v>
      </c>
    </row>
    <row r="74" spans="21:32">
      <c r="U74" s="253" t="str">
        <f t="shared" si="14"/>
        <v/>
      </c>
      <c r="V74" s="253" t="str">
        <f t="shared" si="15"/>
        <v/>
      </c>
      <c r="W74" s="255" t="str">
        <f t="shared" si="16"/>
        <v/>
      </c>
      <c r="X74" s="253" t="str">
        <f t="shared" si="17"/>
        <v/>
      </c>
      <c r="Y74" s="254" t="str">
        <f t="shared" si="18"/>
        <v/>
      </c>
      <c r="Z74" s="253" t="str">
        <f t="shared" si="19"/>
        <v/>
      </c>
      <c r="AA74" s="255" t="e">
        <f t="shared" si="20"/>
        <v>#VALUE!</v>
      </c>
      <c r="AB74" s="253" t="str">
        <f>IF(Z74="","",RANK(Z74,Z:Z,0)+COUNTIF($Z$1:Z73,Z74))</f>
        <v/>
      </c>
      <c r="AC74" s="254" t="str">
        <f t="shared" si="21"/>
        <v/>
      </c>
      <c r="AD74" s="253">
        <f t="shared" si="22"/>
        <v>0</v>
      </c>
      <c r="AE74" t="str">
        <f t="shared" si="23"/>
        <v/>
      </c>
      <c r="AF74">
        <f t="shared" si="24"/>
        <v>0</v>
      </c>
    </row>
    <row r="75" spans="21:32">
      <c r="U75" s="253" t="str">
        <f t="shared" si="14"/>
        <v/>
      </c>
      <c r="V75" s="253" t="str">
        <f t="shared" si="15"/>
        <v/>
      </c>
      <c r="W75" s="255" t="str">
        <f t="shared" si="16"/>
        <v/>
      </c>
      <c r="X75" s="253" t="str">
        <f t="shared" si="17"/>
        <v/>
      </c>
      <c r="Y75" s="254" t="str">
        <f t="shared" si="18"/>
        <v/>
      </c>
      <c r="Z75" s="253" t="str">
        <f t="shared" si="19"/>
        <v/>
      </c>
      <c r="AA75" s="255" t="e">
        <f t="shared" si="20"/>
        <v>#VALUE!</v>
      </c>
      <c r="AB75" s="253" t="str">
        <f>IF(Z75="","",RANK(Z75,Z:Z,0)+COUNTIF($Z$1:Z74,Z75))</f>
        <v/>
      </c>
      <c r="AC75" s="254" t="str">
        <f t="shared" si="21"/>
        <v/>
      </c>
      <c r="AD75" s="253">
        <f t="shared" si="22"/>
        <v>0</v>
      </c>
      <c r="AE75" t="str">
        <f t="shared" si="23"/>
        <v/>
      </c>
      <c r="AF75">
        <f t="shared" si="24"/>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B2E3A-E26E-4A5C-A586-B08229FAB9C4}">
  <sheetPr>
    <tabColor rgb="FFFFFF00"/>
  </sheetPr>
  <dimension ref="A1:H74"/>
  <sheetViews>
    <sheetView workbookViewId="0">
      <selection activeCell="B15" sqref="B15"/>
    </sheetView>
  </sheetViews>
  <sheetFormatPr defaultRowHeight="16.5"/>
  <cols>
    <col min="2" max="2" width="121.75" customWidth="1"/>
    <col min="3" max="4" width="22.125" customWidth="1"/>
    <col min="5" max="5" width="22" customWidth="1"/>
    <col min="6" max="6" width="15.25" customWidth="1"/>
    <col min="7" max="7" width="12" customWidth="1"/>
  </cols>
  <sheetData>
    <row r="1" spans="1:8">
      <c r="A1" s="112" t="s">
        <v>100</v>
      </c>
      <c r="B1" s="113" t="s">
        <v>101</v>
      </c>
      <c r="C1" s="113" t="s">
        <v>102</v>
      </c>
      <c r="D1" s="118"/>
      <c r="E1" s="114" t="s">
        <v>103</v>
      </c>
    </row>
    <row r="2" spans="1:8">
      <c r="A2" s="110">
        <v>1</v>
      </c>
      <c r="B2" s="17" t="str">
        <f>IFERROR(INDEX(contents!A:A,MATCH(A2,contents!V:V,0),1),"")</f>
        <v xml:space="preserve">Join Us at BIO International Convention 2024, Booth #5815!
SK bioscience encourages you to explore our pioneering solutions. Our expert team is ready to address your inquiries with professionalism and enthusiasm.
Discover how SK bioscience is leading the way in global healthcare.
Special thanks to Koeun Lee, Tae-Gyun Kim, Soyoun Kim Junghae Yun Elijah Yea Won Youn, Saewhan Park
#SKbioscience #FromPreventionToCure #BIOInternationalConvention </v>
      </c>
      <c r="C2" s="2">
        <v>111</v>
      </c>
      <c r="D2" s="119" t="s">
        <v>105</v>
      </c>
      <c r="E2" s="4" t="s">
        <v>662</v>
      </c>
      <c r="F2" s="109">
        <f>IFERROR(INDEX(contents!AA:AA,MATCH(A2,contents!V:V,0),1),"")</f>
        <v>45448</v>
      </c>
      <c r="G2" s="108" t="str">
        <f>IFERROR(INDEX(contents!B:B,MATCH(A2,contents!V:V,0),1),"")</f>
        <v>https://www.linkedin.com/feed/update/urn:li:activity:7203963676708511744</v>
      </c>
      <c r="H2" s="108" t="str">
        <f>IFERROR(VLOOKUP('contents 추가정보'!G2,contents!B:AB,27,FALSE),"")</f>
        <v/>
      </c>
    </row>
    <row r="3" spans="1:8">
      <c r="A3" s="110">
        <v>2</v>
      </c>
      <c r="B3" s="17" t="str">
        <f>IFERROR(INDEX(contents!A:A,MATCH(A3,contents!V:V,0),1),"")</f>
        <v xml:space="preserve">SK bioscience DNA, a series of stories about SK bioscience told by our Caring Professionals, is back!
This time, we interviewed Jiseon Han (Ji-seon Han), manager in the Biologic Business Development Team. We asked about her work, atmosphere in the team, what her does and what her thinks about SK bioscience.
Jiseon says that SK bioscience is "Opportunity". Let's find out more about her story.
#SKbioscience #FromPreventionToCure #Interview #SKbioscienceDNA </v>
      </c>
      <c r="C3" s="2">
        <v>222</v>
      </c>
      <c r="D3" s="119" t="s">
        <v>96</v>
      </c>
      <c r="E3" s="4" t="s">
        <v>663</v>
      </c>
      <c r="F3" s="109">
        <f>IFERROR(INDEX(contents!AA:AA,MATCH(A3,contents!V:V,0),1),"")</f>
        <v>45463</v>
      </c>
      <c r="G3" s="108" t="str">
        <f>IFERROR(INDEX(contents!B:B,MATCH(A3,contents!V:V,0),1),"")</f>
        <v>https://www.linkedin.com/feed/update/urn:li:activity:7209476224069378049</v>
      </c>
      <c r="H3" s="108">
        <f>IFERROR(VLOOKUP('contents 추가정보'!G3,contents!B:AB,27,FALSE),"")</f>
        <v>1</v>
      </c>
    </row>
    <row r="4" spans="1:8">
      <c r="A4" s="110">
        <v>3</v>
      </c>
      <c r="B4" s="17" t="str">
        <f>IFERROR(INDEX(contents!A:A,MATCH(A4,contents!V:V,0),1),"")</f>
        <v>Find out the highlights of SK bioscience and SK Biopharmaceuticals at BIO International Convention 2024!
As leaders committed to advancing global public health, we are excited to share our pioneering solutions and innovations. Thank you for your continuous support as we strive to lead, innovate, and improve global healthcare.
Together, we shape a healthier future for all.</v>
      </c>
      <c r="C4" s="2">
        <v>333</v>
      </c>
      <c r="D4" s="119" t="s">
        <v>96</v>
      </c>
      <c r="E4" s="4" t="s">
        <v>663</v>
      </c>
      <c r="F4" s="109">
        <f>IFERROR(INDEX(contents!AA:AA,MATCH(A4,contents!V:V,0),1),"")</f>
        <v>45454</v>
      </c>
      <c r="G4" s="108" t="str">
        <f>IFERROR(INDEX(contents!B:B,MATCH(A4,contents!V:V,0),1),"")</f>
        <v>https://www.linkedin.com/feed/update/urn:li:activity:7206215781401993216</v>
      </c>
      <c r="H4" s="108">
        <f>IFERROR(VLOOKUP('contents 추가정보'!G4,contents!B:AB,27,FALSE),"")</f>
        <v>2</v>
      </c>
    </row>
    <row r="5" spans="1:8">
      <c r="A5" s="110">
        <v>4</v>
      </c>
      <c r="B5" s="17" t="str">
        <f>IFERROR(INDEX(contents!A:A,MATCH(A5,contents!V:V,0),1),"")</f>
        <v>Curious about the Future of Biotechnology? Visit SK at BIO International Convention 2024! 
Come by Booth #5815, where biotech leaders shape the future. Discover SK bioscience's groundbreaking advancements, SK biopharmaceuticals' pioneering solutions, and engaging presentations at SK innovation stage.
Meet the industry leaders in our dedicated networking area.
Experience firsthand why SK is at the forefront of global biotech innovation.
Don't just watch from a distance—join us and be part of our better future!
#SKbioscience #FromPreventionToCure #BIOInternationalConvention #Booth</v>
      </c>
      <c r="C5" s="2">
        <v>444</v>
      </c>
      <c r="D5" s="119" t="s">
        <v>96</v>
      </c>
      <c r="E5" s="4" t="s">
        <v>664</v>
      </c>
      <c r="F5" s="109">
        <f>IFERROR(INDEX(contents!AA:AA,MATCH(A5,contents!V:V,0),1),"")</f>
        <v>45443</v>
      </c>
      <c r="G5" s="108" t="str">
        <f>IFERROR(INDEX(contents!B:B,MATCH(A5,contents!V:V,0),1),"")</f>
        <v>https://www.linkedin.com/feed/update/urn:li:activity:7203893282613981185</v>
      </c>
      <c r="H5" s="108" t="str">
        <f>IFERROR(VLOOKUP('contents 추가정보'!G5,contents!B:AB,27,FALSE),"")</f>
        <v/>
      </c>
    </row>
    <row r="6" spans="1:8">
      <c r="A6" s="110">
        <v>5</v>
      </c>
      <c r="B6" s="17" t="str">
        <f>IFERROR(INDEX(contents!A:A,MATCH(A6,contents!V:V,0),1),"")</f>
        <v>SK bioscience Hits 20K LinkedIn Followers! 🎉 🎈 
We’ve reached 20,000 followers thanks to your incredible support! 
Here's to more innovation and a brighter future together. Thank you for being with us!
#SKbioscience #FromPreventionToCure #20Kfollowers</v>
      </c>
      <c r="C6" s="2">
        <v>555</v>
      </c>
      <c r="D6" s="119" t="s">
        <v>105</v>
      </c>
      <c r="E6" s="4" t="s">
        <v>662</v>
      </c>
      <c r="F6" s="109">
        <f>IFERROR(INDEX(contents!AA:AA,MATCH(A6,contents!V:V,0),1),"")</f>
        <v>45467</v>
      </c>
      <c r="G6" s="108" t="str">
        <f>IFERROR(INDEX(contents!B:B,MATCH(A6,contents!V:V,0),1),"")</f>
        <v>https://www.linkedin.com/feed/update/urn:li:activity:7210813880493568000</v>
      </c>
      <c r="H6" s="108" t="str">
        <f>IFERROR(VLOOKUP('contents 추가정보'!G6,contents!B:AB,27,FALSE),"")</f>
        <v/>
      </c>
    </row>
    <row r="7" spans="1:8">
      <c r="A7" s="110">
        <v>6</v>
      </c>
      <c r="B7" s="17" t="str">
        <f>IFERROR(INDEX(contents!A:A,MATCH(A7,contents!V:V,0),1),"")</f>
        <v xml:space="preserve">📢 We're pleased to announce that we acquired a German company, IDT Biologika, one of the top 10 global vaccine contract manufacturers.
The IDT Biologika is a global company with an enterprise value of KRW 656 billion. This is regarded to be a notable transaction that will drive the growth of Korea’s biotechnology industry. With this acquisition, SK bioscience will gain a new growth engine and prepare for a leap forward into global markets in earnest.
SK bioscience has signed an agreement with Klocke Group, a German biopharmaceutical group, to acquire the controlling stake in Klocke Group’s affiliate, IDT Biologika, a contract development manufacturing organization (CDMO) company.
Read more: https://lnkd.in/gzRySrvz </v>
      </c>
      <c r="C7" s="2">
        <v>666</v>
      </c>
      <c r="D7" s="119" t="s">
        <v>105</v>
      </c>
      <c r="E7" s="4" t="s">
        <v>662</v>
      </c>
      <c r="F7" s="109">
        <f>IFERROR(INDEX(contents!AA:AA,MATCH(A7,contents!V:V,0),1),"")</f>
        <v>45470</v>
      </c>
      <c r="G7" s="108" t="str">
        <f>IFERROR(INDEX(contents!B:B,MATCH(A7,contents!V:V,0),1),"")</f>
        <v>https://www.linkedin.com/feed/update/urn:li:activity:7211998575419871232</v>
      </c>
      <c r="H7" s="108" t="str">
        <f>IFERROR(VLOOKUP('contents 추가정보'!G7,contents!B:AB,27,FALSE),"")</f>
        <v/>
      </c>
    </row>
    <row r="8" spans="1:8">
      <c r="A8" s="110">
        <v>7</v>
      </c>
      <c r="B8" s="17" t="str">
        <f>IFERROR(INDEX(contents!A:A,MATCH(A8,contents!V:V,0),1),"")</f>
        <v xml:space="preserve">Today, we honor the incredible generosity of blood donors worldwide who save many lives and support global health. 
At SK bioscience, we recognize the vital role that blood donation plays in healthcare and emergency medicine.
Join us in celebrating this special day and consider blood donation as well as spreading awareness about its importance. Together, we can make a difference and support those in need.
#SKbioscience #FromPreventionToCure #WorldBloodDonorDay </v>
      </c>
      <c r="C8" s="2">
        <v>777</v>
      </c>
      <c r="D8" s="119" t="s">
        <v>97</v>
      </c>
      <c r="E8" s="4" t="s">
        <v>665</v>
      </c>
      <c r="F8" s="109">
        <f>IFERROR(INDEX(contents!AA:AA,MATCH(A8,contents!V:V,0),1),"")</f>
        <v>45457</v>
      </c>
      <c r="G8" s="108" t="str">
        <f>IFERROR(INDEX(contents!B:B,MATCH(A8,contents!V:V,0),1),"")</f>
        <v>https://www.linkedin.com/feed/update/urn:li:activity:7207175150889230338</v>
      </c>
      <c r="H8" s="108" t="str">
        <f>IFERROR(VLOOKUP('contents 추가정보'!G8,contents!B:AB,27,FALSE),"")</f>
        <v/>
      </c>
    </row>
    <row r="9" spans="1:8">
      <c r="A9" s="110">
        <v>8</v>
      </c>
      <c r="B9" s="17" t="str">
        <f>IFERROR(INDEX(contents!A:A,MATCH(A9,contents!V:V,0),1),"")</f>
        <v>The importance of vaccinations should always be emphasized, as many people still suffer from various diseases.
However, from 2000 to 2022, millions of people around the world were infected with preventable diseases such as measles and mumps.
Most diseases can be prevented by vaccination. Remember, you can protect your health and the health of your community by getting immunized!
#SKbioscience #FromPreventionToCure #Vaccinate #Measles #Mumps </v>
      </c>
      <c r="C9" s="2">
        <v>888</v>
      </c>
      <c r="D9" s="119" t="s">
        <v>98</v>
      </c>
      <c r="E9" s="4" t="s">
        <v>665</v>
      </c>
      <c r="F9" s="109">
        <f>IFERROR(INDEX(contents!AA:AA,MATCH(A9,contents!V:V,0),1),"")</f>
        <v>45469</v>
      </c>
      <c r="G9" s="108" t="str">
        <f>IFERROR(INDEX(contents!B:B,MATCH(A9,contents!V:V,0),1),"")</f>
        <v>https://www.linkedin.com/feed/update/urn:li:activity:7211625410931871746</v>
      </c>
      <c r="H9" s="108" t="str">
        <f>IFERROR(VLOOKUP('contents 추가정보'!G9,contents!B:AB,27,FALSE),"")</f>
        <v/>
      </c>
    </row>
    <row r="10" spans="1:8">
      <c r="A10" s="110">
        <v>9</v>
      </c>
      <c r="B10" s="17" t="str">
        <f>IFERROR(INDEX(contents!A:A,MATCH(A10,contents!V:V,0),1),"")</f>
        <v xml:space="preserve">[Myth vs Truth] Getting vaccinated is a responsible act for both your own well-being and the health of your community.💉
There's a lot of misinformation out there about vaccines, leading some people to mistakenly believe it.
One myth that won't seem to go away is that vaccine causes serious side-effects such as illness or even death. However, many studies have shown that rumor is not true.
#SKbioscience #FromPreventionToCure #MythvsTruth #Vaccine </v>
      </c>
      <c r="C10" s="2">
        <v>999</v>
      </c>
      <c r="D10" s="119" t="s">
        <v>99</v>
      </c>
      <c r="E10" s="4" t="s">
        <v>664</v>
      </c>
      <c r="F10" s="109">
        <f>IFERROR(INDEX(contents!AA:AA,MATCH(A10,contents!V:V,0),1),"")</f>
        <v>45456</v>
      </c>
      <c r="G10" s="108" t="str">
        <f>IFERROR(INDEX(contents!B:B,MATCH(A10,contents!V:V,0),1),"")</f>
        <v>https://www.linkedin.com/feed/update/urn:li:activity:7206820351257763840</v>
      </c>
      <c r="H10" s="108" t="str">
        <f>IFERROR(VLOOKUP('contents 추가정보'!G10,contents!B:AB,27,FALSE),"")</f>
        <v/>
      </c>
    </row>
    <row r="11" spans="1:8">
      <c r="A11" s="110">
        <v>10</v>
      </c>
      <c r="B11" s="17" t="str">
        <f>IFERROR(INDEX(contents!A:A,MATCH(A11,contents!V:V,0),1),"")</f>
        <v>Leading the Future with Innovative Pharmaceutical and Biotechnology Solutions - Meet SK bioscience at BIO International Convention 2024!
Excited to see the future of healthcare? Visit us at Booth #5815 to explore pioneering solutions and groundbreaking innovations. 
Don't miss your chance to be a part of transformation in global healthcare!
#Skbioscience #FromPreventionToCure #BIOInternationalConvention</v>
      </c>
      <c r="C11" s="2">
        <v>11111</v>
      </c>
      <c r="D11" s="119" t="s">
        <v>99</v>
      </c>
      <c r="E11" s="4" t="s">
        <v>665</v>
      </c>
      <c r="F11" s="109">
        <f>IFERROR(INDEX(contents!AA:AA,MATCH(A11,contents!V:V,0),1),"")</f>
        <v>45442</v>
      </c>
      <c r="G11" s="108" t="str">
        <f>IFERROR(INDEX(contents!B:B,MATCH(A11,contents!V:V,0),1),"")</f>
        <v>https://www.linkedin.com/feed/update/urn:li:activity:7203168516215115777</v>
      </c>
      <c r="H11" s="108" t="str">
        <f>IFERROR(VLOOKUP('contents 추가정보'!G11,contents!B:AB,27,FALSE),"")</f>
        <v/>
      </c>
    </row>
    <row r="12" spans="1:8">
      <c r="A12" s="110">
        <v>11</v>
      </c>
      <c r="B12" s="17" t="str">
        <f>IFERROR(INDEX(contents!A:A,MATCH(A12,contents!V:V,0),1),"")</f>
        <v xml:space="preserve">📢 We're pleased to announce the establishment of the ADO (AI-based Design space Optimization System), an IT-optimized system that analyzes data and predicts the success probabilities during the Design of Experiments (DoE) for vaccine processes. This marks the first time AI has been incorporated in vaccine development processes in Korea.
ADO was developed through approximately one and a half years of research by SK bioscience in collaboration with DX Lab, the dedicated AI/digital transformation organization within the SK discovery Group. After completing the final Proof of Concept (POC) for ADO last month, SK Bioscience officially launched the system and is currently building a database of various experimental design data.
Read more: https://lnkd.in/gzfGcJmU </v>
      </c>
      <c r="C12" s="2">
        <v>22222</v>
      </c>
      <c r="D12" s="119" t="s">
        <v>99</v>
      </c>
      <c r="E12" s="4" t="s">
        <v>662</v>
      </c>
      <c r="F12" s="109">
        <f>IFERROR(INDEX(contents!AA:AA,MATCH(A12,contents!V:V,0),1),"")</f>
        <v>45464</v>
      </c>
      <c r="G12" s="108" t="str">
        <f>IFERROR(INDEX(contents!B:B,MATCH(A12,contents!V:V,0),1),"")</f>
        <v>https://www.linkedin.com/feed/update/urn:li:activity:7209753697956810754</v>
      </c>
      <c r="H12" s="108" t="str">
        <f>IFERROR(VLOOKUP('contents 추가정보'!G12,contents!B:AB,27,FALSE),"")</f>
        <v/>
      </c>
    </row>
    <row r="13" spans="1:8">
      <c r="A13" s="110">
        <v>12</v>
      </c>
      <c r="B13" s="17" t="str">
        <f>IFERROR(INDEX(contents!A:A,MATCH(A13,contents!V:V,0),1),"")</f>
        <v>We've reached 20K followers!
Thanks to your continued interest and support, our LinkedIn channel has reached an exciting milestone. 
What kind of content would you like to see more of on the SK bioscience LinkedIn channel? We'd love to hear your thoughts and bring you more engaging and informative contents! 
#SKbioscience #FromPreventionToCure #20KFollowers</v>
      </c>
      <c r="C13" s="2">
        <v>33333</v>
      </c>
      <c r="D13" s="119" t="s">
        <v>99</v>
      </c>
      <c r="E13" s="4" t="s">
        <v>664</v>
      </c>
      <c r="F13" s="109">
        <f>IFERROR(INDEX(contents!AA:AA,MATCH(A13,contents!V:V,0),1),"")</f>
        <v>45460</v>
      </c>
      <c r="G13" s="108" t="str">
        <f>IFERROR(INDEX(contents!B:B,MATCH(A13,contents!V:V,0),1),"")</f>
        <v>https://www.linkedin.com/feed/update/urn:li:activity:7208342783089135616</v>
      </c>
      <c r="H13" s="108" t="str">
        <f>IFERROR(VLOOKUP('contents 추가정보'!G13,contents!B:AB,27,FALSE),"")</f>
        <v/>
      </c>
    </row>
    <row r="14" spans="1:8">
      <c r="A14" s="110">
        <v>13</v>
      </c>
      <c r="B14" s="17" t="str">
        <f>IFERROR(INDEX(contents!A:A,MATCH(A14,contents!V:V,0),1),"")</f>
        <v/>
      </c>
      <c r="C14" s="2"/>
      <c r="D14" s="119"/>
      <c r="E14" s="4"/>
      <c r="F14" s="109" t="str">
        <f>IFERROR(INDEX(contents!AA:AA,MATCH(A14,contents!V:V,0),1),"")</f>
        <v/>
      </c>
      <c r="G14" s="108" t="str">
        <f>IFERROR(INDEX(contents!B:B,MATCH(A14,contents!V:V,0),1),"")</f>
        <v/>
      </c>
      <c r="H14" s="108" t="str">
        <f>IFERROR(VLOOKUP('contents 추가정보'!G14,contents!B:AB,27,FALSE),"")</f>
        <v/>
      </c>
    </row>
    <row r="15" spans="1:8">
      <c r="A15" s="110">
        <v>14</v>
      </c>
      <c r="B15" s="17" t="str">
        <f>IFERROR(INDEX(contents!A:A,MATCH(A15,contents!V:V,0),1),"")</f>
        <v/>
      </c>
      <c r="C15" s="2"/>
      <c r="D15" s="119"/>
      <c r="E15" s="4"/>
      <c r="F15" s="109" t="str">
        <f>IFERROR(INDEX(contents!AA:AA,MATCH(A15,contents!V:V,0),1),"")</f>
        <v/>
      </c>
      <c r="G15" s="108" t="str">
        <f>IFERROR(INDEX(contents!B:B,MATCH(A15,contents!V:V,0),1),"")</f>
        <v/>
      </c>
      <c r="H15" s="108" t="str">
        <f>IFERROR(VLOOKUP('contents 추가정보'!G15,contents!B:AB,27,FALSE),"")</f>
        <v/>
      </c>
    </row>
    <row r="16" spans="1:8">
      <c r="A16" s="110">
        <v>15</v>
      </c>
      <c r="B16" s="17" t="str">
        <f>IFERROR(INDEX(contents!A:A,MATCH(A16,contents!V:V,0),1),"")</f>
        <v/>
      </c>
      <c r="C16" s="2"/>
      <c r="D16" s="119"/>
      <c r="E16" s="4"/>
      <c r="F16" s="109" t="str">
        <f>IFERROR(INDEX(contents!AA:AA,MATCH(A16,contents!V:V,0),1),"")</f>
        <v/>
      </c>
      <c r="G16" s="108" t="str">
        <f>IFERROR(INDEX(contents!B:B,MATCH(A16,contents!V:V,0),1),"")</f>
        <v/>
      </c>
      <c r="H16" s="108" t="str">
        <f>IFERROR(VLOOKUP('contents 추가정보'!G16,contents!B:AB,27,FALSE),"")</f>
        <v/>
      </c>
    </row>
    <row r="17" spans="1:8">
      <c r="A17" s="110">
        <v>16</v>
      </c>
      <c r="B17" s="17" t="str">
        <f>IFERROR(INDEX(contents!A:A,MATCH(A17,contents!V:V,0),1),"")</f>
        <v/>
      </c>
      <c r="C17" s="2"/>
      <c r="D17" s="119"/>
      <c r="E17" s="4"/>
      <c r="F17" s="109" t="str">
        <f>IFERROR(INDEX(contents!AA:AA,MATCH(A17,contents!V:V,0),1),"")</f>
        <v/>
      </c>
      <c r="G17" s="108" t="str">
        <f>IFERROR(INDEX(contents!B:B,MATCH(A17,contents!V:V,0),1),"")</f>
        <v/>
      </c>
      <c r="H17" s="108" t="str">
        <f>IFERROR(VLOOKUP('contents 추가정보'!G17,contents!B:AB,27,FALSE),"")</f>
        <v/>
      </c>
    </row>
    <row r="18" spans="1:8">
      <c r="A18" s="110">
        <v>17</v>
      </c>
      <c r="B18" s="17" t="str">
        <f>IFERROR(INDEX(contents!A:A,MATCH(A18,contents!V:V,0),1),"")</f>
        <v/>
      </c>
      <c r="C18" s="2"/>
      <c r="D18" s="119"/>
      <c r="E18" s="4"/>
      <c r="F18" s="109" t="str">
        <f>IFERROR(INDEX(contents!AA:AA,MATCH(A18,contents!V:V,0),1),"")</f>
        <v/>
      </c>
      <c r="G18" s="108" t="str">
        <f>IFERROR(INDEX(contents!B:B,MATCH(A18,contents!V:V,0),1),"")</f>
        <v/>
      </c>
      <c r="H18" s="108" t="str">
        <f>IFERROR(VLOOKUP('contents 추가정보'!G18,contents!B:AB,27,FALSE),"")</f>
        <v/>
      </c>
    </row>
    <row r="19" spans="1:8">
      <c r="A19" s="110">
        <v>18</v>
      </c>
      <c r="B19" s="17" t="str">
        <f>IFERROR(INDEX(contents!A:A,MATCH(A19,contents!V:V,0),1),"")</f>
        <v/>
      </c>
      <c r="C19" s="2"/>
      <c r="D19" s="119"/>
      <c r="E19" s="4"/>
      <c r="F19" s="109" t="str">
        <f>IFERROR(INDEX(contents!AA:AA,MATCH(A19,contents!V:V,0),1),"")</f>
        <v/>
      </c>
      <c r="G19" s="108" t="str">
        <f>IFERROR(INDEX(contents!B:B,MATCH(A19,contents!V:V,0),1),"")</f>
        <v/>
      </c>
      <c r="H19" s="108" t="str">
        <f>IFERROR(VLOOKUP('contents 추가정보'!G19,contents!B:AB,27,FALSE),"")</f>
        <v/>
      </c>
    </row>
    <row r="20" spans="1:8">
      <c r="A20" s="110">
        <v>19</v>
      </c>
      <c r="B20" s="17" t="str">
        <f>IFERROR(INDEX(contents!A:A,MATCH(A20,contents!V:V,0),1),"")</f>
        <v/>
      </c>
      <c r="C20" s="2"/>
      <c r="D20" s="119"/>
      <c r="E20" s="4"/>
      <c r="F20" s="109" t="str">
        <f>IFERROR(INDEX(contents!AA:AA,MATCH(A20,contents!V:V,0),1),"")</f>
        <v/>
      </c>
      <c r="G20" s="108" t="str">
        <f>IFERROR(INDEX(contents!B:B,MATCH(A20,contents!V:V,0),1),"")</f>
        <v/>
      </c>
      <c r="H20" s="108" t="str">
        <f>IFERROR(VLOOKUP('contents 추가정보'!G20,contents!B:AB,27,FALSE),"")</f>
        <v/>
      </c>
    </row>
    <row r="21" spans="1:8">
      <c r="A21" s="110">
        <v>20</v>
      </c>
      <c r="B21" s="17" t="str">
        <f>IFERROR(INDEX(contents!A:A,MATCH(A21,contents!V:V,0),1),"")</f>
        <v/>
      </c>
      <c r="C21" s="2"/>
      <c r="D21" s="119"/>
      <c r="E21" s="4"/>
      <c r="F21" s="109" t="str">
        <f>IFERROR(INDEX(contents!AA:AA,MATCH(A21,contents!V:V,0),1),"")</f>
        <v/>
      </c>
      <c r="G21" s="108" t="str">
        <f>IFERROR(INDEX(contents!B:B,MATCH(A21,contents!V:V,0),1),"")</f>
        <v/>
      </c>
      <c r="H21" s="108" t="str">
        <f>IFERROR(VLOOKUP('contents 추가정보'!G21,contents!B:AB,27,FALSE),"")</f>
        <v/>
      </c>
    </row>
    <row r="22" spans="1:8">
      <c r="A22" s="110">
        <v>21</v>
      </c>
      <c r="B22" s="17" t="str">
        <f>IFERROR(INDEX(contents!A:A,MATCH(A22,contents!V:V,0),1),"")</f>
        <v/>
      </c>
      <c r="C22" s="2"/>
      <c r="D22" s="119"/>
      <c r="E22" s="4"/>
      <c r="F22" s="109" t="str">
        <f>IFERROR(INDEX(contents!AA:AA,MATCH(A22,contents!V:V,0),1),"")</f>
        <v/>
      </c>
      <c r="G22" s="108" t="str">
        <f>IFERROR(INDEX(contents!B:B,MATCH(A22,contents!V:V,0),1),"")</f>
        <v/>
      </c>
      <c r="H22" s="108" t="str">
        <f>IFERROR(VLOOKUP('contents 추가정보'!G22,contents!B:AB,27,FALSE),"")</f>
        <v/>
      </c>
    </row>
    <row r="23" spans="1:8">
      <c r="A23" s="110">
        <v>22</v>
      </c>
      <c r="B23" s="17" t="str">
        <f>IFERROR(INDEX(contents!A:A,MATCH(A23,contents!V:V,0),1),"")</f>
        <v/>
      </c>
      <c r="C23" s="2"/>
      <c r="D23" s="119"/>
      <c r="E23" s="4"/>
      <c r="F23" s="109" t="str">
        <f>IFERROR(INDEX(contents!AA:AA,MATCH(A23,contents!V:V,0),1),"")</f>
        <v/>
      </c>
      <c r="G23" s="108" t="str">
        <f>IFERROR(INDEX(contents!B:B,MATCH(A23,contents!V:V,0),1),"")</f>
        <v/>
      </c>
      <c r="H23" s="108" t="str">
        <f>IFERROR(VLOOKUP('contents 추가정보'!G23,contents!B:AB,27,FALSE),"")</f>
        <v/>
      </c>
    </row>
    <row r="24" spans="1:8">
      <c r="A24" s="110">
        <v>23</v>
      </c>
      <c r="B24" s="17" t="str">
        <f>IFERROR(INDEX(contents!A:A,MATCH(A24,contents!V:V,0),1),"")</f>
        <v/>
      </c>
      <c r="C24" s="2"/>
      <c r="D24" s="119"/>
      <c r="E24" s="4"/>
      <c r="F24" s="109" t="str">
        <f>IFERROR(INDEX(contents!AA:AA,MATCH(A24,contents!V:V,0),1),"")</f>
        <v/>
      </c>
      <c r="G24" s="108" t="str">
        <f>IFERROR(INDEX(contents!B:B,MATCH(A24,contents!V:V,0),1),"")</f>
        <v/>
      </c>
      <c r="H24" s="108" t="str">
        <f>IFERROR(VLOOKUP('contents 추가정보'!G24,contents!B:AB,27,FALSE),"")</f>
        <v/>
      </c>
    </row>
    <row r="25" spans="1:8">
      <c r="A25" s="110">
        <v>24</v>
      </c>
      <c r="B25" s="17" t="str">
        <f>IFERROR(INDEX(contents!A:A,MATCH(A25,contents!V:V,0),1),"")</f>
        <v/>
      </c>
      <c r="C25" s="2"/>
      <c r="D25" s="119"/>
      <c r="E25" s="4"/>
      <c r="F25" s="109" t="str">
        <f>IFERROR(INDEX(contents!AA:AA,MATCH(A25,contents!V:V,0),1),"")</f>
        <v/>
      </c>
      <c r="G25" s="108" t="str">
        <f>IFERROR(INDEX(contents!B:B,MATCH(A25,contents!V:V,0),1),"")</f>
        <v/>
      </c>
      <c r="H25" s="108" t="str">
        <f>IFERROR(VLOOKUP('contents 추가정보'!G25,contents!B:AB,27,FALSE),"")</f>
        <v/>
      </c>
    </row>
    <row r="26" spans="1:8">
      <c r="A26" s="110">
        <v>25</v>
      </c>
      <c r="B26" s="17" t="str">
        <f>IFERROR(INDEX(contents!A:A,MATCH(A26,contents!V:V,0),1),"")</f>
        <v/>
      </c>
      <c r="C26" s="2"/>
      <c r="D26" s="119"/>
      <c r="E26" s="4"/>
      <c r="F26" s="109" t="str">
        <f>IFERROR(INDEX(contents!AA:AA,MATCH(A26,contents!V:V,0),1),"")</f>
        <v/>
      </c>
      <c r="G26" s="108" t="str">
        <f>IFERROR(INDEX(contents!B:B,MATCH(A26,contents!V:V,0),1),"")</f>
        <v/>
      </c>
      <c r="H26" s="108" t="str">
        <f>IFERROR(VLOOKUP('contents 추가정보'!G26,contents!B:AB,27,FALSE),"")</f>
        <v/>
      </c>
    </row>
    <row r="27" spans="1:8">
      <c r="A27" s="110">
        <v>26</v>
      </c>
      <c r="B27" s="17" t="str">
        <f>IFERROR(INDEX(contents!A:A,MATCH(A27,contents!V:V,0),1),"")</f>
        <v/>
      </c>
      <c r="C27" s="2"/>
      <c r="D27" s="119"/>
      <c r="E27" s="4"/>
      <c r="F27" s="109" t="str">
        <f>IFERROR(INDEX(contents!AA:AA,MATCH(A27,contents!V:V,0),1),"")</f>
        <v/>
      </c>
      <c r="G27" s="108" t="str">
        <f>IFERROR(INDEX(contents!B:B,MATCH(A27,contents!V:V,0),1),"")</f>
        <v/>
      </c>
      <c r="H27" s="108" t="str">
        <f>IFERROR(VLOOKUP('contents 추가정보'!G27,contents!B:AB,27,FALSE),"")</f>
        <v/>
      </c>
    </row>
    <row r="28" spans="1:8">
      <c r="A28" s="110">
        <v>27</v>
      </c>
      <c r="B28" s="17" t="str">
        <f>IFERROR(INDEX(contents!A:A,MATCH(A28,contents!V:V,0),1),"")</f>
        <v/>
      </c>
      <c r="C28" s="2"/>
      <c r="D28" s="119"/>
      <c r="E28" s="4"/>
      <c r="F28" s="109" t="str">
        <f>IFERROR(INDEX(contents!AA:AA,MATCH(A28,contents!V:V,0),1),"")</f>
        <v/>
      </c>
      <c r="G28" s="108" t="str">
        <f>IFERROR(INDEX(contents!B:B,MATCH(A28,contents!V:V,0),1),"")</f>
        <v/>
      </c>
      <c r="H28" s="108" t="str">
        <f>IFERROR(VLOOKUP('contents 추가정보'!G28,contents!B:AB,27,FALSE),"")</f>
        <v/>
      </c>
    </row>
    <row r="29" spans="1:8">
      <c r="A29" s="110">
        <v>28</v>
      </c>
      <c r="B29" s="17" t="str">
        <f>IFERROR(INDEX(contents!A:A,MATCH(A29,contents!V:V,0),1),"")</f>
        <v/>
      </c>
      <c r="C29" s="2"/>
      <c r="D29" s="119"/>
      <c r="E29" s="4"/>
      <c r="F29" s="109" t="str">
        <f>IFERROR(INDEX(contents!AA:AA,MATCH(A29,contents!V:V,0),1),"")</f>
        <v/>
      </c>
      <c r="G29" s="108" t="str">
        <f>IFERROR(INDEX(contents!B:B,MATCH(A29,contents!V:V,0),1),"")</f>
        <v/>
      </c>
      <c r="H29" s="108" t="str">
        <f>IFERROR(VLOOKUP('contents 추가정보'!G29,contents!B:AB,27,FALSE),"")</f>
        <v/>
      </c>
    </row>
    <row r="30" spans="1:8">
      <c r="A30" s="110">
        <v>29</v>
      </c>
      <c r="B30" s="17" t="str">
        <f>IFERROR(INDEX(contents!A:A,MATCH(A30,contents!V:V,0),1),"")</f>
        <v/>
      </c>
      <c r="C30" s="2"/>
      <c r="D30" s="119"/>
      <c r="E30" s="4"/>
      <c r="F30" s="109" t="str">
        <f>IFERROR(INDEX(contents!AA:AA,MATCH(A30,contents!V:V,0),1),"")</f>
        <v/>
      </c>
      <c r="G30" s="108" t="str">
        <f>IFERROR(INDEX(contents!B:B,MATCH(A30,contents!V:V,0),1),"")</f>
        <v/>
      </c>
      <c r="H30" s="108" t="str">
        <f>IFERROR(VLOOKUP('contents 추가정보'!G30,contents!B:AB,27,FALSE),"")</f>
        <v/>
      </c>
    </row>
    <row r="31" spans="1:8">
      <c r="A31" s="110">
        <v>30</v>
      </c>
      <c r="B31" s="17" t="str">
        <f>IFERROR(INDEX(contents!A:A,MATCH(A31,contents!V:V,0),1),"")</f>
        <v/>
      </c>
      <c r="C31" s="2"/>
      <c r="D31" s="119"/>
      <c r="E31" s="4"/>
      <c r="F31" s="109" t="str">
        <f>IFERROR(INDEX(contents!AA:AA,MATCH(A31,contents!V:V,0),1),"")</f>
        <v/>
      </c>
      <c r="G31" s="108" t="str">
        <f>IFERROR(INDEX(contents!B:B,MATCH(A31,contents!V:V,0),1),"")</f>
        <v/>
      </c>
      <c r="H31" s="108" t="str">
        <f>IFERROR(VLOOKUP('contents 추가정보'!G31,contents!B:AB,27,FALSE),"")</f>
        <v/>
      </c>
    </row>
    <row r="32" spans="1:8">
      <c r="A32" s="110">
        <v>31</v>
      </c>
      <c r="B32" s="17" t="str">
        <f>IFERROR(INDEX(contents!A:A,MATCH(A32,contents!V:V,0),1),"")</f>
        <v/>
      </c>
      <c r="C32" s="2"/>
      <c r="D32" s="119"/>
      <c r="E32" s="4"/>
      <c r="F32" s="109" t="str">
        <f>IFERROR(INDEX(contents!AA:AA,MATCH(A32,contents!V:V,0),1),"")</f>
        <v/>
      </c>
      <c r="G32" s="108" t="str">
        <f>IFERROR(INDEX(contents!B:B,MATCH(A32,contents!V:V,0),1),"")</f>
        <v/>
      </c>
      <c r="H32" s="108" t="str">
        <f>IFERROR(VLOOKUP('contents 추가정보'!G32,contents!B:AB,27,FALSE),"")</f>
        <v/>
      </c>
    </row>
    <row r="33" spans="1:8">
      <c r="A33" s="110">
        <v>32</v>
      </c>
      <c r="B33" s="17" t="str">
        <f>IFERROR(INDEX(contents!A:A,MATCH(A33,contents!V:V,0),1),"")</f>
        <v/>
      </c>
      <c r="C33" s="2"/>
      <c r="D33" s="119"/>
      <c r="E33" s="4"/>
      <c r="F33" s="109" t="str">
        <f>IFERROR(INDEX(contents!AA:AA,MATCH(A33,contents!V:V,0),1),"")</f>
        <v/>
      </c>
      <c r="G33" s="108" t="str">
        <f>IFERROR(INDEX(contents!B:B,MATCH(A33,contents!V:V,0),1),"")</f>
        <v/>
      </c>
      <c r="H33" s="108" t="str">
        <f>IFERROR(VLOOKUP('contents 추가정보'!G33,contents!B:AB,27,FALSE),"")</f>
        <v/>
      </c>
    </row>
    <row r="34" spans="1:8">
      <c r="A34" s="110">
        <v>33</v>
      </c>
      <c r="B34" s="17" t="str">
        <f>IFERROR(INDEX(contents!A:A,MATCH(A34,contents!V:V,0),1),"")</f>
        <v/>
      </c>
      <c r="C34" s="2"/>
      <c r="D34" s="119"/>
      <c r="E34" s="4"/>
      <c r="F34" s="109" t="str">
        <f>IFERROR(INDEX(contents!AA:AA,MATCH(A34,contents!V:V,0),1),"")</f>
        <v/>
      </c>
      <c r="G34" s="108" t="str">
        <f>IFERROR(INDEX(contents!B:B,MATCH(A34,contents!V:V,0),1),"")</f>
        <v/>
      </c>
      <c r="H34" s="108" t="str">
        <f>IFERROR(VLOOKUP('contents 추가정보'!G34,contents!B:AB,27,FALSE),"")</f>
        <v/>
      </c>
    </row>
    <row r="35" spans="1:8">
      <c r="A35" s="110">
        <v>34</v>
      </c>
      <c r="B35" s="17" t="str">
        <f>IFERROR(INDEX(contents!A:A,MATCH(A35,contents!V:V,0),1),"")</f>
        <v/>
      </c>
      <c r="C35" s="2"/>
      <c r="D35" s="119"/>
      <c r="E35" s="4"/>
      <c r="F35" s="109" t="str">
        <f>IFERROR(INDEX(contents!AA:AA,MATCH(A35,contents!V:V,0),1),"")</f>
        <v/>
      </c>
      <c r="G35" s="108" t="str">
        <f>IFERROR(INDEX(contents!B:B,MATCH(A35,contents!V:V,0),1),"")</f>
        <v/>
      </c>
      <c r="H35" s="108" t="str">
        <f>IFERROR(VLOOKUP('contents 추가정보'!G35,contents!B:AB,27,FALSE),"")</f>
        <v/>
      </c>
    </row>
    <row r="36" spans="1:8">
      <c r="A36" s="110">
        <v>35</v>
      </c>
      <c r="B36" s="17" t="str">
        <f>IFERROR(INDEX(contents!A:A,MATCH(A36,contents!V:V,0),1),"")</f>
        <v/>
      </c>
      <c r="C36" s="2"/>
      <c r="D36" s="119"/>
      <c r="E36" s="4"/>
      <c r="F36" s="109" t="str">
        <f>IFERROR(INDEX(contents!AA:AA,MATCH(A36,contents!V:V,0),1),"")</f>
        <v/>
      </c>
      <c r="G36" s="108" t="str">
        <f>IFERROR(INDEX(contents!B:B,MATCH(A36,contents!V:V,0),1),"")</f>
        <v/>
      </c>
      <c r="H36" s="108" t="str">
        <f>IFERROR(VLOOKUP('contents 추가정보'!G36,contents!B:AB,27,FALSE),"")</f>
        <v/>
      </c>
    </row>
    <row r="37" spans="1:8">
      <c r="A37" s="110">
        <v>36</v>
      </c>
      <c r="B37" s="17" t="str">
        <f>IFERROR(INDEX(contents!A:A,MATCH(A37,contents!V:V,0),1),"")</f>
        <v/>
      </c>
      <c r="C37" s="2"/>
      <c r="D37" s="119"/>
      <c r="E37" s="4"/>
      <c r="F37" s="109" t="str">
        <f>IFERROR(INDEX(contents!AA:AA,MATCH(A37,contents!V:V,0),1),"")</f>
        <v/>
      </c>
      <c r="G37" s="108" t="str">
        <f>IFERROR(INDEX(contents!B:B,MATCH(A37,contents!V:V,0),1),"")</f>
        <v/>
      </c>
      <c r="H37" s="108" t="str">
        <f>IFERROR(VLOOKUP('contents 추가정보'!G37,contents!B:AB,27,FALSE),"")</f>
        <v/>
      </c>
    </row>
    <row r="38" spans="1:8">
      <c r="A38" s="110">
        <v>37</v>
      </c>
      <c r="B38" s="17" t="str">
        <f>IFERROR(INDEX(contents!A:A,MATCH(A38,contents!V:V,0),1),"")</f>
        <v/>
      </c>
      <c r="C38" s="2"/>
      <c r="D38" s="119"/>
      <c r="E38" s="4"/>
      <c r="F38" s="109" t="str">
        <f>IFERROR(INDEX(contents!AA:AA,MATCH(A38,contents!V:V,0),1),"")</f>
        <v/>
      </c>
      <c r="G38" s="108" t="str">
        <f>IFERROR(INDEX(contents!B:B,MATCH(A38,contents!V:V,0),1),"")</f>
        <v/>
      </c>
      <c r="H38" s="108" t="str">
        <f>IFERROR(VLOOKUP('contents 추가정보'!G38,contents!B:AB,27,FALSE),"")</f>
        <v/>
      </c>
    </row>
    <row r="39" spans="1:8">
      <c r="A39" s="110">
        <v>38</v>
      </c>
      <c r="B39" s="17" t="str">
        <f>IFERROR(INDEX(contents!A:A,MATCH(A39,contents!V:V,0),1),"")</f>
        <v/>
      </c>
      <c r="C39" s="2"/>
      <c r="D39" s="119"/>
      <c r="E39" s="4"/>
      <c r="F39" s="109" t="str">
        <f>IFERROR(INDEX(contents!AA:AA,MATCH(A39,contents!V:V,0),1),"")</f>
        <v/>
      </c>
      <c r="G39" s="108" t="str">
        <f>IFERROR(INDEX(contents!B:B,MATCH(A39,contents!V:V,0),1),"")</f>
        <v/>
      </c>
      <c r="H39" s="108" t="str">
        <f>IFERROR(VLOOKUP('contents 추가정보'!G39,contents!B:AB,27,FALSE),"")</f>
        <v/>
      </c>
    </row>
    <row r="40" spans="1:8">
      <c r="A40" s="110">
        <v>39</v>
      </c>
      <c r="B40" s="17" t="str">
        <f>IFERROR(INDEX(contents!A:A,MATCH(A40,contents!V:V,0),1),"")</f>
        <v/>
      </c>
      <c r="C40" s="2"/>
      <c r="D40" s="119"/>
      <c r="E40" s="4"/>
      <c r="F40" s="109" t="str">
        <f>IFERROR(INDEX(contents!AA:AA,MATCH(A40,contents!V:V,0),1),"")</f>
        <v/>
      </c>
      <c r="G40" s="108" t="str">
        <f>IFERROR(INDEX(contents!B:B,MATCH(A40,contents!V:V,0),1),"")</f>
        <v/>
      </c>
      <c r="H40" s="108" t="str">
        <f>IFERROR(VLOOKUP('contents 추가정보'!G40,contents!B:AB,27,FALSE),"")</f>
        <v/>
      </c>
    </row>
    <row r="41" spans="1:8">
      <c r="A41" s="110">
        <v>40</v>
      </c>
      <c r="B41" s="17" t="str">
        <f>IFERROR(INDEX(contents!A:A,MATCH(A41,contents!V:V,0),1),"")</f>
        <v/>
      </c>
      <c r="C41" s="2"/>
      <c r="D41" s="119"/>
      <c r="E41" s="4"/>
      <c r="F41" s="109" t="str">
        <f>IFERROR(INDEX(contents!AA:AA,MATCH(A41,contents!V:V,0),1),"")</f>
        <v/>
      </c>
      <c r="G41" s="108" t="str">
        <f>IFERROR(INDEX(contents!B:B,MATCH(A41,contents!V:V,0),1),"")</f>
        <v/>
      </c>
      <c r="H41" s="108" t="str">
        <f>IFERROR(VLOOKUP('contents 추가정보'!G41,contents!B:AB,27,FALSE),"")</f>
        <v/>
      </c>
    </row>
    <row r="42" spans="1:8">
      <c r="A42" s="110">
        <v>41</v>
      </c>
      <c r="B42" s="17" t="str">
        <f>IFERROR(INDEX(contents!A:A,MATCH(A42,contents!V:V,0),1),"")</f>
        <v/>
      </c>
      <c r="C42" s="2"/>
      <c r="D42" s="119"/>
      <c r="E42" s="4"/>
      <c r="F42" s="109" t="str">
        <f>IFERROR(INDEX(contents!AA:AA,MATCH(A42,contents!V:V,0),1),"")</f>
        <v/>
      </c>
      <c r="G42" s="108" t="str">
        <f>IFERROR(INDEX(contents!B:B,MATCH(A42,contents!V:V,0),1),"")</f>
        <v/>
      </c>
      <c r="H42" s="108" t="str">
        <f>IFERROR(VLOOKUP('contents 추가정보'!G42,contents!B:AB,27,FALSE),"")</f>
        <v/>
      </c>
    </row>
    <row r="43" spans="1:8">
      <c r="A43" s="110">
        <v>42</v>
      </c>
      <c r="B43" s="17" t="str">
        <f>IFERROR(INDEX(contents!A:A,MATCH(A43,contents!V:V,0),1),"")</f>
        <v/>
      </c>
      <c r="C43" s="2"/>
      <c r="D43" s="119"/>
      <c r="E43" s="4"/>
      <c r="F43" s="109" t="str">
        <f>IFERROR(INDEX(contents!AA:AA,MATCH(A43,contents!V:V,0),1),"")</f>
        <v/>
      </c>
      <c r="G43" s="108" t="str">
        <f>IFERROR(INDEX(contents!B:B,MATCH(A43,contents!V:V,0),1),"")</f>
        <v/>
      </c>
      <c r="H43" s="108" t="str">
        <f>IFERROR(VLOOKUP('contents 추가정보'!G43,contents!B:AB,27,FALSE),"")</f>
        <v/>
      </c>
    </row>
    <row r="44" spans="1:8">
      <c r="A44" s="110">
        <v>43</v>
      </c>
      <c r="B44" s="17" t="str">
        <f>IFERROR(INDEX(contents!A:A,MATCH(A44,contents!V:V,0),1),"")</f>
        <v/>
      </c>
      <c r="C44" s="2"/>
      <c r="D44" s="119"/>
      <c r="E44" s="4"/>
      <c r="F44" s="109" t="str">
        <f>IFERROR(INDEX(contents!AA:AA,MATCH(A44,contents!V:V,0),1),"")</f>
        <v/>
      </c>
      <c r="G44" s="108" t="str">
        <f>IFERROR(INDEX(contents!B:B,MATCH(A44,contents!V:V,0),1),"")</f>
        <v/>
      </c>
      <c r="H44" s="108" t="str">
        <f>IFERROR(VLOOKUP('contents 추가정보'!G44,contents!B:AB,27,FALSE),"")</f>
        <v/>
      </c>
    </row>
    <row r="45" spans="1:8">
      <c r="A45" s="110">
        <v>44</v>
      </c>
      <c r="B45" s="17" t="str">
        <f>IFERROR(INDEX(contents!A:A,MATCH(A45,contents!V:V,0),1),"")</f>
        <v/>
      </c>
      <c r="C45" s="2"/>
      <c r="D45" s="119"/>
      <c r="E45" s="4"/>
      <c r="F45" s="109" t="str">
        <f>IFERROR(INDEX(contents!AA:AA,MATCH(A45,contents!V:V,0),1),"")</f>
        <v/>
      </c>
      <c r="G45" s="108" t="str">
        <f>IFERROR(INDEX(contents!B:B,MATCH(A45,contents!V:V,0),1),"")</f>
        <v/>
      </c>
      <c r="H45" s="108" t="str">
        <f>IFERROR(VLOOKUP('contents 추가정보'!G45,contents!B:AB,27,FALSE),"")</f>
        <v/>
      </c>
    </row>
    <row r="46" spans="1:8">
      <c r="A46" s="110">
        <v>45</v>
      </c>
      <c r="B46" s="17" t="str">
        <f>IFERROR(INDEX(contents!A:A,MATCH(A46,contents!V:V,0),1),"")</f>
        <v/>
      </c>
      <c r="C46" s="2"/>
      <c r="D46" s="119"/>
      <c r="E46" s="4"/>
      <c r="F46" s="109" t="str">
        <f>IFERROR(INDEX(contents!AA:AA,MATCH(A46,contents!V:V,0),1),"")</f>
        <v/>
      </c>
      <c r="G46" s="108" t="str">
        <f>IFERROR(INDEX(contents!B:B,MATCH(A46,contents!V:V,0),1),"")</f>
        <v/>
      </c>
      <c r="H46" s="108" t="str">
        <f>IFERROR(VLOOKUP('contents 추가정보'!G46,contents!B:AB,27,FALSE),"")</f>
        <v/>
      </c>
    </row>
    <row r="47" spans="1:8">
      <c r="A47" s="110">
        <v>46</v>
      </c>
      <c r="B47" s="17" t="str">
        <f>IFERROR(INDEX(contents!A:A,MATCH(A47,contents!V:V,0),1),"")</f>
        <v/>
      </c>
      <c r="C47" s="2"/>
      <c r="D47" s="119"/>
      <c r="E47" s="4"/>
      <c r="F47" s="109" t="str">
        <f>IFERROR(INDEX(contents!AA:AA,MATCH(A47,contents!V:V,0),1),"")</f>
        <v/>
      </c>
      <c r="G47" s="108" t="str">
        <f>IFERROR(INDEX(contents!B:B,MATCH(A47,contents!V:V,0),1),"")</f>
        <v/>
      </c>
      <c r="H47" s="108" t="str">
        <f>IFERROR(VLOOKUP('contents 추가정보'!G47,contents!B:AB,27,FALSE),"")</f>
        <v/>
      </c>
    </row>
    <row r="48" spans="1:8">
      <c r="A48" s="110">
        <v>47</v>
      </c>
      <c r="B48" s="17" t="str">
        <f>IFERROR(INDEX(contents!A:A,MATCH(A48,contents!V:V,0),1),"")</f>
        <v/>
      </c>
      <c r="C48" s="2"/>
      <c r="D48" s="119"/>
      <c r="E48" s="4"/>
      <c r="F48" s="109" t="str">
        <f>IFERROR(INDEX(contents!AA:AA,MATCH(A48,contents!V:V,0),1),"")</f>
        <v/>
      </c>
      <c r="G48" s="108" t="str">
        <f>IFERROR(INDEX(contents!B:B,MATCH(A48,contents!V:V,0),1),"")</f>
        <v/>
      </c>
      <c r="H48" s="108" t="str">
        <f>IFERROR(VLOOKUP('contents 추가정보'!G48,contents!B:AB,27,FALSE),"")</f>
        <v/>
      </c>
    </row>
    <row r="49" spans="1:8">
      <c r="A49" s="110">
        <v>48</v>
      </c>
      <c r="B49" s="17" t="str">
        <f>IFERROR(INDEX(contents!A:A,MATCH(A49,contents!V:V,0),1),"")</f>
        <v/>
      </c>
      <c r="C49" s="2"/>
      <c r="D49" s="119"/>
      <c r="E49" s="4"/>
      <c r="F49" s="109" t="str">
        <f>IFERROR(INDEX(contents!AA:AA,MATCH(A49,contents!V:V,0),1),"")</f>
        <v/>
      </c>
      <c r="G49" s="108" t="str">
        <f>IFERROR(INDEX(contents!B:B,MATCH(A49,contents!V:V,0),1),"")</f>
        <v/>
      </c>
      <c r="H49" s="108" t="str">
        <f>IFERROR(VLOOKUP('contents 추가정보'!G49,contents!B:AB,27,FALSE),"")</f>
        <v/>
      </c>
    </row>
    <row r="50" spans="1:8">
      <c r="A50" s="110">
        <v>49</v>
      </c>
      <c r="B50" s="17" t="str">
        <f>IFERROR(INDEX(contents!A:A,MATCH(A50,contents!V:V,0),1),"")</f>
        <v/>
      </c>
      <c r="C50" s="2"/>
      <c r="D50" s="119"/>
      <c r="E50" s="4"/>
      <c r="F50" s="109" t="str">
        <f>IFERROR(INDEX(contents!AA:AA,MATCH(A50,contents!V:V,0),1),"")</f>
        <v/>
      </c>
      <c r="G50" s="108" t="str">
        <f>IFERROR(INDEX(contents!B:B,MATCH(A50,contents!V:V,0),1),"")</f>
        <v/>
      </c>
      <c r="H50" s="108" t="str">
        <f>IFERROR(VLOOKUP('contents 추가정보'!G50,contents!B:AB,27,FALSE),"")</f>
        <v/>
      </c>
    </row>
    <row r="51" spans="1:8">
      <c r="A51" s="110">
        <v>50</v>
      </c>
      <c r="B51" s="17" t="str">
        <f>IFERROR(INDEX(contents!A:A,MATCH(A51,contents!V:V,0),1),"")</f>
        <v/>
      </c>
      <c r="C51" s="2"/>
      <c r="D51" s="119"/>
      <c r="E51" s="4"/>
      <c r="F51" s="109" t="str">
        <f>IFERROR(INDEX(contents!AA:AA,MATCH(A51,contents!V:V,0),1),"")</f>
        <v/>
      </c>
      <c r="G51" s="108" t="str">
        <f>IFERROR(INDEX(contents!B:B,MATCH(A51,contents!V:V,0),1),"")</f>
        <v/>
      </c>
      <c r="H51" s="108" t="str">
        <f>IFERROR(VLOOKUP('contents 추가정보'!G51,contents!B:AB,27,FALSE),"")</f>
        <v/>
      </c>
    </row>
    <row r="52" spans="1:8">
      <c r="A52" s="110">
        <v>51</v>
      </c>
      <c r="B52" s="17" t="str">
        <f>IFERROR(INDEX(contents!A:A,MATCH(A52,contents!V:V,0),1),"")</f>
        <v/>
      </c>
      <c r="C52" s="2"/>
      <c r="D52" s="119"/>
      <c r="E52" s="4"/>
      <c r="F52" s="109" t="str">
        <f>IFERROR(INDEX(contents!AA:AA,MATCH(A52,contents!V:V,0),1),"")</f>
        <v/>
      </c>
      <c r="G52" s="108" t="str">
        <f>IFERROR(INDEX(contents!B:B,MATCH(A52,contents!V:V,0),1),"")</f>
        <v/>
      </c>
      <c r="H52" s="108" t="str">
        <f>IFERROR(VLOOKUP('contents 추가정보'!G52,contents!B:AB,27,FALSE),"")</f>
        <v/>
      </c>
    </row>
    <row r="53" spans="1:8">
      <c r="A53" s="110">
        <v>52</v>
      </c>
      <c r="B53" s="17" t="str">
        <f>IFERROR(INDEX(contents!A:A,MATCH(A53,contents!V:V,0),1),"")</f>
        <v/>
      </c>
      <c r="C53" s="2"/>
      <c r="D53" s="119"/>
      <c r="E53" s="4"/>
      <c r="F53" s="109" t="str">
        <f>IFERROR(INDEX(contents!AA:AA,MATCH(A53,contents!V:V,0),1),"")</f>
        <v/>
      </c>
      <c r="G53" s="108" t="str">
        <f>IFERROR(INDEX(contents!B:B,MATCH(A53,contents!V:V,0),1),"")</f>
        <v/>
      </c>
      <c r="H53" s="108" t="str">
        <f>IFERROR(VLOOKUP('contents 추가정보'!G53,contents!B:AB,27,FALSE),"")</f>
        <v/>
      </c>
    </row>
    <row r="54" spans="1:8">
      <c r="A54" s="110">
        <v>53</v>
      </c>
      <c r="B54" s="17" t="str">
        <f>IFERROR(INDEX(contents!A:A,MATCH(A54,contents!V:V,0),1),"")</f>
        <v/>
      </c>
      <c r="C54" s="2"/>
      <c r="D54" s="119"/>
      <c r="E54" s="4"/>
      <c r="F54" s="109" t="str">
        <f>IFERROR(INDEX(contents!AA:AA,MATCH(A54,contents!V:V,0),1),"")</f>
        <v/>
      </c>
      <c r="G54" s="108" t="str">
        <f>IFERROR(INDEX(contents!B:B,MATCH(A54,contents!V:V,0),1),"")</f>
        <v/>
      </c>
      <c r="H54" s="108" t="str">
        <f>IFERROR(VLOOKUP('contents 추가정보'!G54,contents!B:AB,27,FALSE),"")</f>
        <v/>
      </c>
    </row>
    <row r="55" spans="1:8">
      <c r="A55" s="110">
        <v>54</v>
      </c>
      <c r="B55" s="17" t="str">
        <f>IFERROR(INDEX(contents!A:A,MATCH(A55,contents!V:V,0),1),"")</f>
        <v/>
      </c>
      <c r="C55" s="2"/>
      <c r="D55" s="119"/>
      <c r="E55" s="4"/>
      <c r="F55" s="109" t="str">
        <f>IFERROR(INDEX(contents!AA:AA,MATCH(A55,contents!V:V,0),1),"")</f>
        <v/>
      </c>
      <c r="G55" s="108" t="str">
        <f>IFERROR(INDEX(contents!B:B,MATCH(A55,contents!V:V,0),1),"")</f>
        <v/>
      </c>
      <c r="H55" s="108" t="str">
        <f>IFERROR(VLOOKUP('contents 추가정보'!G55,contents!B:AB,27,FALSE),"")</f>
        <v/>
      </c>
    </row>
    <row r="56" spans="1:8">
      <c r="A56" s="110">
        <v>55</v>
      </c>
      <c r="B56" s="17" t="str">
        <f>IFERROR(INDEX(contents!A:A,MATCH(A56,contents!V:V,0),1),"")</f>
        <v/>
      </c>
      <c r="C56" s="2"/>
      <c r="D56" s="119"/>
      <c r="E56" s="4"/>
      <c r="F56" s="109" t="str">
        <f>IFERROR(INDEX(contents!AA:AA,MATCH(A56,contents!V:V,0),1),"")</f>
        <v/>
      </c>
      <c r="G56" s="108" t="str">
        <f>IFERROR(INDEX(contents!B:B,MATCH(A56,contents!V:V,0),1),"")</f>
        <v/>
      </c>
      <c r="H56" s="108" t="str">
        <f>IFERROR(VLOOKUP('contents 추가정보'!G56,contents!B:AB,27,FALSE),"")</f>
        <v/>
      </c>
    </row>
    <row r="57" spans="1:8">
      <c r="A57" s="110">
        <v>56</v>
      </c>
      <c r="B57" s="17" t="str">
        <f>IFERROR(INDEX(contents!A:A,MATCH(A57,contents!V:V,0),1),"")</f>
        <v/>
      </c>
      <c r="C57" s="2"/>
      <c r="D57" s="119"/>
      <c r="E57" s="4"/>
      <c r="F57" s="109" t="str">
        <f>IFERROR(INDEX(contents!AA:AA,MATCH(A57,contents!V:V,0),1),"")</f>
        <v/>
      </c>
      <c r="G57" s="108" t="str">
        <f>IFERROR(INDEX(contents!B:B,MATCH(A57,contents!V:V,0),1),"")</f>
        <v/>
      </c>
      <c r="H57" s="108" t="str">
        <f>IFERROR(VLOOKUP('contents 추가정보'!G57,contents!B:AB,27,FALSE),"")</f>
        <v/>
      </c>
    </row>
    <row r="58" spans="1:8">
      <c r="A58" s="110">
        <v>57</v>
      </c>
      <c r="B58" s="17" t="str">
        <f>IFERROR(INDEX(contents!A:A,MATCH(A58,contents!V:V,0),1),"")</f>
        <v/>
      </c>
      <c r="C58" s="2"/>
      <c r="D58" s="119"/>
      <c r="E58" s="4"/>
      <c r="F58" s="109" t="str">
        <f>IFERROR(INDEX(contents!AA:AA,MATCH(A58,contents!V:V,0),1),"")</f>
        <v/>
      </c>
      <c r="G58" s="108" t="str">
        <f>IFERROR(INDEX(contents!B:B,MATCH(A58,contents!V:V,0),1),"")</f>
        <v/>
      </c>
      <c r="H58" s="108" t="str">
        <f>IFERROR(VLOOKUP('contents 추가정보'!G58,contents!B:AB,27,FALSE),"")</f>
        <v/>
      </c>
    </row>
    <row r="59" spans="1:8">
      <c r="A59" s="110">
        <v>58</v>
      </c>
      <c r="B59" s="17" t="str">
        <f>IFERROR(INDEX(contents!A:A,MATCH(A59,contents!V:V,0),1),"")</f>
        <v/>
      </c>
      <c r="C59" s="2"/>
      <c r="D59" s="119"/>
      <c r="E59" s="4"/>
      <c r="F59" s="109" t="str">
        <f>IFERROR(INDEX(contents!AA:AA,MATCH(A59,contents!V:V,0),1),"")</f>
        <v/>
      </c>
      <c r="G59" s="108" t="str">
        <f>IFERROR(INDEX(contents!B:B,MATCH(A59,contents!V:V,0),1),"")</f>
        <v/>
      </c>
      <c r="H59" s="108" t="str">
        <f>IFERROR(VLOOKUP('contents 추가정보'!G59,contents!B:AB,27,FALSE),"")</f>
        <v/>
      </c>
    </row>
    <row r="60" spans="1:8">
      <c r="A60" s="110">
        <v>59</v>
      </c>
      <c r="B60" s="17" t="str">
        <f>IFERROR(INDEX(contents!A:A,MATCH(A60,contents!V:V,0),1),"")</f>
        <v/>
      </c>
      <c r="C60" s="2"/>
      <c r="D60" s="119"/>
      <c r="E60" s="4"/>
      <c r="F60" s="109" t="str">
        <f>IFERROR(INDEX(contents!AA:AA,MATCH(A60,contents!V:V,0),1),"")</f>
        <v/>
      </c>
      <c r="G60" s="108" t="str">
        <f>IFERROR(INDEX(contents!B:B,MATCH(A60,contents!V:V,0),1),"")</f>
        <v/>
      </c>
      <c r="H60" s="108" t="str">
        <f>IFERROR(VLOOKUP('contents 추가정보'!G60,contents!B:AB,27,FALSE),"")</f>
        <v/>
      </c>
    </row>
    <row r="61" spans="1:8">
      <c r="A61" s="110">
        <v>60</v>
      </c>
      <c r="B61" s="17" t="str">
        <f>IFERROR(INDEX(contents!A:A,MATCH(A61,contents!V:V,0),1),"")</f>
        <v/>
      </c>
      <c r="C61" s="2"/>
      <c r="D61" s="119"/>
      <c r="E61" s="4"/>
      <c r="F61" s="109" t="str">
        <f>IFERROR(INDEX(contents!AA:AA,MATCH(A61,contents!V:V,0),1),"")</f>
        <v/>
      </c>
      <c r="G61" s="108" t="str">
        <f>IFERROR(INDEX(contents!B:B,MATCH(A61,contents!V:V,0),1),"")</f>
        <v/>
      </c>
      <c r="H61" s="108" t="str">
        <f>IFERROR(VLOOKUP('contents 추가정보'!G61,contents!B:AB,27,FALSE),"")</f>
        <v/>
      </c>
    </row>
    <row r="62" spans="1:8">
      <c r="A62" s="110">
        <v>61</v>
      </c>
      <c r="B62" s="17" t="str">
        <f>IFERROR(INDEX(contents!A:A,MATCH(A62,contents!V:V,0),1),"")</f>
        <v/>
      </c>
      <c r="C62" s="2"/>
      <c r="D62" s="119"/>
      <c r="E62" s="4"/>
      <c r="F62" s="109" t="str">
        <f>IFERROR(INDEX(contents!AA:AA,MATCH(A62,contents!V:V,0),1),"")</f>
        <v/>
      </c>
      <c r="G62" s="108" t="str">
        <f>IFERROR(INDEX(contents!B:B,MATCH(A62,contents!V:V,0),1),"")</f>
        <v/>
      </c>
      <c r="H62" s="108" t="str">
        <f>IFERROR(VLOOKUP('contents 추가정보'!G62,contents!B:AB,27,FALSE),"")</f>
        <v/>
      </c>
    </row>
    <row r="63" spans="1:8">
      <c r="A63" s="110">
        <v>62</v>
      </c>
      <c r="B63" s="17" t="str">
        <f>IFERROR(INDEX(contents!A:A,MATCH(A63,contents!V:V,0),1),"")</f>
        <v/>
      </c>
      <c r="C63" s="2"/>
      <c r="D63" s="119"/>
      <c r="E63" s="4"/>
      <c r="F63" s="109" t="str">
        <f>IFERROR(INDEX(contents!AA:AA,MATCH(A63,contents!V:V,0),1),"")</f>
        <v/>
      </c>
      <c r="G63" s="108" t="str">
        <f>IFERROR(INDEX(contents!B:B,MATCH(A63,contents!V:V,0),1),"")</f>
        <v/>
      </c>
      <c r="H63" s="108" t="str">
        <f>IFERROR(VLOOKUP('contents 추가정보'!G63,contents!B:AB,27,FALSE),"")</f>
        <v/>
      </c>
    </row>
    <row r="64" spans="1:8">
      <c r="A64" s="110">
        <v>63</v>
      </c>
      <c r="B64" s="17" t="str">
        <f>IFERROR(INDEX(contents!A:A,MATCH(A64,contents!V:V,0),1),"")</f>
        <v/>
      </c>
      <c r="C64" s="2"/>
      <c r="D64" s="119"/>
      <c r="E64" s="4"/>
      <c r="F64" s="109" t="str">
        <f>IFERROR(INDEX(contents!AA:AA,MATCH(A64,contents!V:V,0),1),"")</f>
        <v/>
      </c>
      <c r="G64" s="108" t="str">
        <f>IFERROR(INDEX(contents!B:B,MATCH(A64,contents!V:V,0),1),"")</f>
        <v/>
      </c>
      <c r="H64" s="108" t="str">
        <f>IFERROR(VLOOKUP('contents 추가정보'!G64,contents!B:AB,27,FALSE),"")</f>
        <v/>
      </c>
    </row>
    <row r="65" spans="1:8">
      <c r="A65" s="110">
        <v>64</v>
      </c>
      <c r="B65" s="17" t="str">
        <f>IFERROR(INDEX(contents!A:A,MATCH(A65,contents!V:V,0),1),"")</f>
        <v/>
      </c>
      <c r="C65" s="2"/>
      <c r="D65" s="119"/>
      <c r="E65" s="4"/>
      <c r="F65" s="109" t="str">
        <f>IFERROR(INDEX(contents!AA:AA,MATCH(A65,contents!V:V,0),1),"")</f>
        <v/>
      </c>
      <c r="G65" s="108" t="str">
        <f>IFERROR(INDEX(contents!B:B,MATCH(A65,contents!V:V,0),1),"")</f>
        <v/>
      </c>
      <c r="H65" s="108" t="str">
        <f>IFERROR(VLOOKUP('contents 추가정보'!G65,contents!B:AB,27,FALSE),"")</f>
        <v/>
      </c>
    </row>
    <row r="66" spans="1:8">
      <c r="A66" s="110">
        <v>65</v>
      </c>
      <c r="B66" s="17" t="str">
        <f>IFERROR(INDEX(contents!A:A,MATCH(A66,contents!V:V,0),1),"")</f>
        <v/>
      </c>
      <c r="C66" s="2"/>
      <c r="D66" s="119"/>
      <c r="E66" s="4"/>
      <c r="F66" s="109" t="str">
        <f>IFERROR(INDEX(contents!AA:AA,MATCH(A66,contents!V:V,0),1),"")</f>
        <v/>
      </c>
      <c r="G66" s="108" t="str">
        <f>IFERROR(INDEX(contents!B:B,MATCH(A66,contents!V:V,0),1),"")</f>
        <v/>
      </c>
      <c r="H66" s="108" t="str">
        <f>IFERROR(VLOOKUP('contents 추가정보'!G66,contents!B:AB,27,FALSE),"")</f>
        <v/>
      </c>
    </row>
    <row r="67" spans="1:8">
      <c r="A67" s="110">
        <v>66</v>
      </c>
      <c r="B67" s="17" t="str">
        <f>IFERROR(INDEX(contents!A:A,MATCH(A67,contents!V:V,0),1),"")</f>
        <v/>
      </c>
      <c r="C67" s="2"/>
      <c r="D67" s="119"/>
      <c r="E67" s="4"/>
      <c r="F67" s="109" t="str">
        <f>IFERROR(INDEX(contents!AA:AA,MATCH(A67,contents!V:V,0),1),"")</f>
        <v/>
      </c>
      <c r="G67" s="108" t="str">
        <f>IFERROR(INDEX(contents!B:B,MATCH(A67,contents!V:V,0),1),"")</f>
        <v/>
      </c>
      <c r="H67" s="108" t="str">
        <f>IFERROR(VLOOKUP('contents 추가정보'!G67,contents!B:AB,27,FALSE),"")</f>
        <v/>
      </c>
    </row>
    <row r="68" spans="1:8">
      <c r="A68" s="110">
        <v>67</v>
      </c>
      <c r="B68" s="17" t="str">
        <f>IFERROR(INDEX(contents!A:A,MATCH(A68,contents!V:V,0),1),"")</f>
        <v/>
      </c>
      <c r="C68" s="2"/>
      <c r="D68" s="119"/>
      <c r="E68" s="4"/>
      <c r="F68" s="109" t="str">
        <f>IFERROR(INDEX(contents!AA:AA,MATCH(A68,contents!V:V,0),1),"")</f>
        <v/>
      </c>
      <c r="G68" s="108" t="str">
        <f>IFERROR(INDEX(contents!B:B,MATCH(A68,contents!V:V,0),1),"")</f>
        <v/>
      </c>
      <c r="H68" s="108" t="str">
        <f>IFERROR(VLOOKUP('contents 추가정보'!G68,contents!B:AB,27,FALSE),"")</f>
        <v/>
      </c>
    </row>
    <row r="69" spans="1:8">
      <c r="A69" s="110">
        <v>68</v>
      </c>
      <c r="B69" s="17" t="str">
        <f>IFERROR(INDEX(contents!A:A,MATCH(A69,contents!V:V,0),1),"")</f>
        <v/>
      </c>
      <c r="C69" s="2"/>
      <c r="D69" s="119"/>
      <c r="E69" s="4"/>
      <c r="F69" s="109" t="str">
        <f>IFERROR(INDEX(contents!AA:AA,MATCH(A69,contents!V:V,0),1),"")</f>
        <v/>
      </c>
      <c r="G69" s="108" t="str">
        <f>IFERROR(INDEX(contents!B:B,MATCH(A69,contents!V:V,0),1),"")</f>
        <v/>
      </c>
      <c r="H69" s="108" t="str">
        <f>IFERROR(VLOOKUP('contents 추가정보'!G69,contents!B:AB,27,FALSE),"")</f>
        <v/>
      </c>
    </row>
    <row r="70" spans="1:8">
      <c r="A70" s="110">
        <v>69</v>
      </c>
      <c r="B70" s="17" t="str">
        <f>IFERROR(INDEX(contents!A:A,MATCH(A70,contents!V:V,0),1),"")</f>
        <v/>
      </c>
      <c r="C70" s="2"/>
      <c r="D70" s="119"/>
      <c r="E70" s="4"/>
      <c r="F70" s="109" t="str">
        <f>IFERROR(INDEX(contents!AA:AA,MATCH(A70,contents!V:V,0),1),"")</f>
        <v/>
      </c>
      <c r="G70" s="108" t="str">
        <f>IFERROR(INDEX(contents!B:B,MATCH(A70,contents!V:V,0),1),"")</f>
        <v/>
      </c>
      <c r="H70" s="108" t="str">
        <f>IFERROR(VLOOKUP('contents 추가정보'!G70,contents!B:AB,27,FALSE),"")</f>
        <v/>
      </c>
    </row>
    <row r="71" spans="1:8">
      <c r="A71" s="110">
        <v>70</v>
      </c>
      <c r="B71" s="17" t="str">
        <f>IFERROR(INDEX(contents!A:A,MATCH(A71,contents!V:V,0),1),"")</f>
        <v/>
      </c>
      <c r="C71" s="2"/>
      <c r="D71" s="119"/>
      <c r="E71" s="4"/>
      <c r="F71" s="109" t="str">
        <f>IFERROR(INDEX(contents!AA:AA,MATCH(A71,contents!V:V,0),1),"")</f>
        <v/>
      </c>
      <c r="G71" s="108" t="str">
        <f>IFERROR(INDEX(contents!B:B,MATCH(A71,contents!V:V,0),1),"")</f>
        <v/>
      </c>
      <c r="H71" s="108" t="str">
        <f>IFERROR(VLOOKUP('contents 추가정보'!G71,contents!B:AB,27,FALSE),"")</f>
        <v/>
      </c>
    </row>
    <row r="72" spans="1:8">
      <c r="A72" s="110">
        <v>71</v>
      </c>
      <c r="B72" s="17" t="str">
        <f>IFERROR(INDEX(contents!A:A,MATCH(A72,contents!V:V,0),1),"")</f>
        <v/>
      </c>
      <c r="C72" s="2"/>
      <c r="D72" s="119"/>
      <c r="E72" s="4"/>
      <c r="F72" s="109" t="str">
        <f>IFERROR(INDEX(contents!AA:AA,MATCH(A72,contents!V:V,0),1),"")</f>
        <v/>
      </c>
      <c r="G72" s="108" t="str">
        <f>IFERROR(INDEX(contents!B:B,MATCH(A72,contents!V:V,0),1),"")</f>
        <v/>
      </c>
      <c r="H72" s="108" t="str">
        <f>IFERROR(VLOOKUP('contents 추가정보'!G72,contents!B:AB,27,FALSE),"")</f>
        <v/>
      </c>
    </row>
    <row r="73" spans="1:8">
      <c r="A73" s="110">
        <v>72</v>
      </c>
      <c r="B73" s="17" t="str">
        <f>IFERROR(INDEX(contents!A:A,MATCH(A73,contents!V:V,0),1),"")</f>
        <v/>
      </c>
      <c r="C73" s="2"/>
      <c r="D73" s="119"/>
      <c r="E73" s="4"/>
      <c r="F73" s="109" t="str">
        <f>IFERROR(INDEX(contents!AA:AA,MATCH(A73,contents!V:V,0),1),"")</f>
        <v/>
      </c>
      <c r="G73" s="108" t="str">
        <f>IFERROR(INDEX(contents!B:B,MATCH(A73,contents!V:V,0),1),"")</f>
        <v/>
      </c>
      <c r="H73" s="108" t="str">
        <f>IFERROR(VLOOKUP('contents 추가정보'!G73,contents!B:AB,27,FALSE),"")</f>
        <v/>
      </c>
    </row>
    <row r="74" spans="1:8" ht="17.25" thickBot="1">
      <c r="A74" s="111">
        <v>73</v>
      </c>
      <c r="B74" s="19" t="str">
        <f>IFERROR(INDEX(contents!A:A,MATCH(A74,contents!V:V,0),1),"")</f>
        <v/>
      </c>
      <c r="C74" s="7"/>
      <c r="D74" s="120"/>
      <c r="E74" s="8"/>
      <c r="F74" s="109" t="str">
        <f>IFERROR(INDEX(contents!AA:AA,MATCH(A74,contents!V:V,0),1),"")</f>
        <v/>
      </c>
      <c r="G74" s="108" t="str">
        <f>IFERROR(INDEX(contents!B:B,MATCH(A74,contents!V:V,0),1),"")</f>
        <v/>
      </c>
      <c r="H74" s="108" t="str">
        <f>IFERROR(VLOOKUP('contents 추가정보'!G74,contents!B:AB,27,FALSE),"")</f>
        <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09C92-95D5-4C34-87DC-B359978D0323}">
  <sheetPr>
    <tabColor theme="7" tint="0.79998168889431442"/>
  </sheetPr>
  <dimension ref="A1:Y32"/>
  <sheetViews>
    <sheetView workbookViewId="0">
      <selection sqref="A1:T31"/>
    </sheetView>
  </sheetViews>
  <sheetFormatPr defaultRowHeight="16.5"/>
  <cols>
    <col min="21" max="21" width="11.125" bestFit="1" customWidth="1"/>
    <col min="24" max="24" width="17.875" bestFit="1" customWidth="1"/>
  </cols>
  <sheetData>
    <row r="1" spans="1:25">
      <c r="A1" s="107" t="s">
        <v>88</v>
      </c>
      <c r="B1" s="107" t="s">
        <v>108</v>
      </c>
      <c r="C1" s="107" t="s">
        <v>109</v>
      </c>
      <c r="D1" s="107" t="s">
        <v>110</v>
      </c>
      <c r="E1" s="107" t="s">
        <v>111</v>
      </c>
      <c r="F1" s="107" t="s">
        <v>112</v>
      </c>
      <c r="G1" s="107" t="s">
        <v>113</v>
      </c>
      <c r="H1" s="107" t="s">
        <v>114</v>
      </c>
      <c r="I1" s="107" t="s">
        <v>115</v>
      </c>
      <c r="J1" s="107" t="s">
        <v>116</v>
      </c>
      <c r="K1" s="107" t="s">
        <v>117</v>
      </c>
      <c r="L1" s="107" t="s">
        <v>118</v>
      </c>
      <c r="M1" s="107" t="s">
        <v>119</v>
      </c>
      <c r="N1" s="107" t="s">
        <v>120</v>
      </c>
      <c r="O1" s="107" t="s">
        <v>121</v>
      </c>
      <c r="P1" s="107" t="s">
        <v>122</v>
      </c>
      <c r="Q1" s="107" t="s">
        <v>972</v>
      </c>
      <c r="R1" s="107" t="s">
        <v>123</v>
      </c>
      <c r="S1" s="107" t="s">
        <v>124</v>
      </c>
      <c r="T1" s="107" t="s">
        <v>125</v>
      </c>
      <c r="X1" s="46" t="s">
        <v>673</v>
      </c>
      <c r="Y1" s="271">
        <v>31416</v>
      </c>
    </row>
    <row r="2" spans="1:25" ht="17.25" thickBot="1">
      <c r="A2" s="38" t="s">
        <v>973</v>
      </c>
      <c r="B2" s="38">
        <v>1415</v>
      </c>
      <c r="C2" s="38">
        <v>0</v>
      </c>
      <c r="D2" s="38">
        <v>1415</v>
      </c>
      <c r="E2" s="38">
        <v>546</v>
      </c>
      <c r="F2" s="38">
        <v>329</v>
      </c>
      <c r="G2" s="38">
        <v>0</v>
      </c>
      <c r="H2" s="38">
        <v>329</v>
      </c>
      <c r="I2" s="38">
        <v>26</v>
      </c>
      <c r="J2" s="38">
        <v>0</v>
      </c>
      <c r="K2" s="38">
        <v>26</v>
      </c>
      <c r="L2" s="38">
        <v>0</v>
      </c>
      <c r="M2" s="38">
        <v>0</v>
      </c>
      <c r="N2" s="38">
        <v>0</v>
      </c>
      <c r="O2" s="38">
        <v>0</v>
      </c>
      <c r="P2" s="38">
        <v>0</v>
      </c>
      <c r="Q2" s="38">
        <v>0</v>
      </c>
      <c r="R2" s="38">
        <v>0.25088339222614842</v>
      </c>
      <c r="S2" s="38">
        <v>0</v>
      </c>
      <c r="T2" s="38">
        <v>0.25088339222614803</v>
      </c>
      <c r="U2" s="255">
        <f>IFERROR(DATE(RIGHT(A2,4),LEFT(A2,2),MID(A2,4,2)),"")</f>
        <v>45383</v>
      </c>
      <c r="X2" s="47" t="s">
        <v>672</v>
      </c>
      <c r="Y2" s="20">
        <f>SUM(H:H)</f>
        <v>58544</v>
      </c>
    </row>
    <row r="3" spans="1:25">
      <c r="A3" s="38" t="s">
        <v>974</v>
      </c>
      <c r="B3" s="38">
        <v>1378</v>
      </c>
      <c r="C3" s="38">
        <v>0</v>
      </c>
      <c r="D3" s="38">
        <v>1378</v>
      </c>
      <c r="E3" s="38">
        <v>581</v>
      </c>
      <c r="F3" s="38">
        <v>283</v>
      </c>
      <c r="G3" s="38">
        <v>0</v>
      </c>
      <c r="H3" s="38">
        <v>283</v>
      </c>
      <c r="I3" s="38">
        <v>19</v>
      </c>
      <c r="J3" s="38">
        <v>0</v>
      </c>
      <c r="K3" s="38">
        <v>19</v>
      </c>
      <c r="L3" s="38">
        <v>0</v>
      </c>
      <c r="M3" s="38">
        <v>0</v>
      </c>
      <c r="N3" s="38">
        <v>0</v>
      </c>
      <c r="O3" s="38">
        <v>0</v>
      </c>
      <c r="P3" s="38">
        <v>0</v>
      </c>
      <c r="Q3" s="38">
        <v>0</v>
      </c>
      <c r="R3" s="38">
        <v>0.21915820029027577</v>
      </c>
      <c r="S3" s="38">
        <v>0</v>
      </c>
      <c r="T3" s="38">
        <v>0.21915820029027577</v>
      </c>
      <c r="U3" s="255">
        <f t="shared" ref="U3:U32" si="0">IFERROR(DATE(RIGHT(A3,4),LEFT(A3,2),MID(A3,4,2)),"")</f>
        <v>45384</v>
      </c>
      <c r="X3" s="46" t="s">
        <v>967</v>
      </c>
      <c r="Y3" s="271">
        <v>4506</v>
      </c>
    </row>
    <row r="4" spans="1:25" ht="17.25" thickBot="1">
      <c r="A4" s="38" t="s">
        <v>975</v>
      </c>
      <c r="B4" s="38">
        <v>1643</v>
      </c>
      <c r="C4" s="38">
        <v>0</v>
      </c>
      <c r="D4" s="38">
        <v>1643</v>
      </c>
      <c r="E4" s="38">
        <v>786</v>
      </c>
      <c r="F4" s="38">
        <v>200</v>
      </c>
      <c r="G4" s="38">
        <v>0</v>
      </c>
      <c r="H4" s="38">
        <v>200</v>
      </c>
      <c r="I4" s="38">
        <v>23</v>
      </c>
      <c r="J4" s="38">
        <v>0</v>
      </c>
      <c r="K4" s="38">
        <v>23</v>
      </c>
      <c r="L4" s="38">
        <v>0</v>
      </c>
      <c r="M4" s="38">
        <v>0</v>
      </c>
      <c r="N4" s="38">
        <v>0</v>
      </c>
      <c r="O4" s="38">
        <v>0</v>
      </c>
      <c r="P4" s="38">
        <v>0</v>
      </c>
      <c r="Q4" s="38">
        <v>0</v>
      </c>
      <c r="R4" s="38">
        <v>0.13572732805842971</v>
      </c>
      <c r="S4" s="38">
        <v>0</v>
      </c>
      <c r="T4" s="38">
        <v>0.13572732805842971</v>
      </c>
      <c r="U4" s="255">
        <f t="shared" si="0"/>
        <v>45385</v>
      </c>
      <c r="X4" s="47" t="s">
        <v>968</v>
      </c>
      <c r="Y4" s="20">
        <f>SUM(F:F)</f>
        <v>5141</v>
      </c>
    </row>
    <row r="5" spans="1:25">
      <c r="A5" s="38" t="s">
        <v>976</v>
      </c>
      <c r="B5" s="38">
        <v>1280</v>
      </c>
      <c r="C5" s="38">
        <v>0</v>
      </c>
      <c r="D5" s="38">
        <v>1280</v>
      </c>
      <c r="E5" s="38">
        <v>656</v>
      </c>
      <c r="F5" s="38">
        <v>229</v>
      </c>
      <c r="G5" s="38">
        <v>0</v>
      </c>
      <c r="H5" s="38">
        <v>229</v>
      </c>
      <c r="I5" s="38">
        <v>20</v>
      </c>
      <c r="J5" s="38">
        <v>0</v>
      </c>
      <c r="K5" s="38">
        <v>20</v>
      </c>
      <c r="L5" s="38">
        <v>2</v>
      </c>
      <c r="M5" s="38">
        <v>0</v>
      </c>
      <c r="N5" s="38">
        <v>2</v>
      </c>
      <c r="O5" s="38">
        <v>0</v>
      </c>
      <c r="P5" s="38">
        <v>0</v>
      </c>
      <c r="Q5" s="38">
        <v>0</v>
      </c>
      <c r="R5" s="38">
        <v>0.19609375000000001</v>
      </c>
      <c r="S5" s="38">
        <v>0</v>
      </c>
      <c r="T5" s="38">
        <v>0.19609375000000001</v>
      </c>
      <c r="U5" s="255">
        <f t="shared" si="0"/>
        <v>45386</v>
      </c>
    </row>
    <row r="6" spans="1:25">
      <c r="A6" s="38" t="s">
        <v>977</v>
      </c>
      <c r="B6" s="38">
        <v>3151</v>
      </c>
      <c r="C6" s="38">
        <v>0</v>
      </c>
      <c r="D6" s="38">
        <v>3151</v>
      </c>
      <c r="E6" s="38">
        <v>1679</v>
      </c>
      <c r="F6" s="38">
        <v>198</v>
      </c>
      <c r="G6" s="38">
        <v>0</v>
      </c>
      <c r="H6" s="38">
        <v>198</v>
      </c>
      <c r="I6" s="38">
        <v>22</v>
      </c>
      <c r="J6" s="38">
        <v>0</v>
      </c>
      <c r="K6" s="38">
        <v>22</v>
      </c>
      <c r="L6" s="38">
        <v>0</v>
      </c>
      <c r="M6" s="38">
        <v>0</v>
      </c>
      <c r="N6" s="38">
        <v>0</v>
      </c>
      <c r="O6" s="38">
        <v>0</v>
      </c>
      <c r="P6" s="38">
        <v>0</v>
      </c>
      <c r="Q6" s="38">
        <v>0</v>
      </c>
      <c r="R6" s="38">
        <v>6.9819105046017141E-2</v>
      </c>
      <c r="S6" s="38">
        <v>0</v>
      </c>
      <c r="T6" s="38">
        <v>6.9819105046017141E-2</v>
      </c>
      <c r="U6" s="255">
        <f t="shared" si="0"/>
        <v>45387</v>
      </c>
    </row>
    <row r="7" spans="1:25">
      <c r="A7" s="38" t="s">
        <v>978</v>
      </c>
      <c r="B7" s="38">
        <v>981</v>
      </c>
      <c r="C7" s="38">
        <v>0</v>
      </c>
      <c r="D7" s="38">
        <v>981</v>
      </c>
      <c r="E7" s="38">
        <v>510</v>
      </c>
      <c r="F7" s="38">
        <v>101</v>
      </c>
      <c r="G7" s="38">
        <v>0</v>
      </c>
      <c r="H7" s="38">
        <v>101</v>
      </c>
      <c r="I7" s="38">
        <v>9</v>
      </c>
      <c r="J7" s="38">
        <v>0</v>
      </c>
      <c r="K7" s="38">
        <v>9</v>
      </c>
      <c r="L7" s="38">
        <v>0</v>
      </c>
      <c r="M7" s="38">
        <v>0</v>
      </c>
      <c r="N7" s="38">
        <v>0</v>
      </c>
      <c r="O7" s="38">
        <v>0</v>
      </c>
      <c r="P7" s="38">
        <v>0</v>
      </c>
      <c r="Q7" s="38">
        <v>0</v>
      </c>
      <c r="R7" s="38">
        <v>0.11213047910295616</v>
      </c>
      <c r="S7" s="38">
        <v>0</v>
      </c>
      <c r="T7" s="38">
        <v>0.11213047910295616</v>
      </c>
      <c r="U7" s="255">
        <f t="shared" si="0"/>
        <v>45388</v>
      </c>
    </row>
    <row r="8" spans="1:25">
      <c r="A8" s="38" t="s">
        <v>979</v>
      </c>
      <c r="B8" s="38">
        <v>1309</v>
      </c>
      <c r="C8" s="38">
        <v>0</v>
      </c>
      <c r="D8" s="38">
        <v>1309</v>
      </c>
      <c r="E8" s="38">
        <v>760</v>
      </c>
      <c r="F8" s="38">
        <v>137</v>
      </c>
      <c r="G8" s="38">
        <v>0</v>
      </c>
      <c r="H8" s="38">
        <v>137</v>
      </c>
      <c r="I8" s="38">
        <v>31</v>
      </c>
      <c r="J8" s="38">
        <v>0</v>
      </c>
      <c r="K8" s="38">
        <v>31</v>
      </c>
      <c r="L8" s="38">
        <v>0</v>
      </c>
      <c r="M8" s="38">
        <v>0</v>
      </c>
      <c r="N8" s="38">
        <v>0</v>
      </c>
      <c r="O8" s="38">
        <v>0</v>
      </c>
      <c r="P8" s="38">
        <v>0</v>
      </c>
      <c r="Q8" s="38">
        <v>0</v>
      </c>
      <c r="R8" s="38">
        <v>0.12834224598930483</v>
      </c>
      <c r="S8" s="38">
        <v>0</v>
      </c>
      <c r="T8" s="38">
        <v>0.12834224598930483</v>
      </c>
      <c r="U8" s="255">
        <f t="shared" si="0"/>
        <v>45389</v>
      </c>
    </row>
    <row r="9" spans="1:25">
      <c r="A9" s="38" t="s">
        <v>980</v>
      </c>
      <c r="B9" s="38">
        <v>1475</v>
      </c>
      <c r="C9" s="38">
        <v>0</v>
      </c>
      <c r="D9" s="38">
        <v>1475</v>
      </c>
      <c r="E9" s="38">
        <v>577</v>
      </c>
      <c r="F9" s="38">
        <v>109</v>
      </c>
      <c r="G9" s="38">
        <v>0</v>
      </c>
      <c r="H9" s="38">
        <v>109</v>
      </c>
      <c r="I9" s="38">
        <v>21</v>
      </c>
      <c r="J9" s="38">
        <v>0</v>
      </c>
      <c r="K9" s="38">
        <v>21</v>
      </c>
      <c r="L9" s="38">
        <v>0</v>
      </c>
      <c r="M9" s="38">
        <v>0</v>
      </c>
      <c r="N9" s="38">
        <v>0</v>
      </c>
      <c r="O9" s="38">
        <v>0</v>
      </c>
      <c r="P9" s="38">
        <v>0</v>
      </c>
      <c r="Q9" s="38">
        <v>0</v>
      </c>
      <c r="R9" s="38">
        <v>8.8135593220338981E-2</v>
      </c>
      <c r="S9" s="38">
        <v>0</v>
      </c>
      <c r="T9" s="38">
        <v>8.8135593220338981E-2</v>
      </c>
      <c r="U9" s="255">
        <f t="shared" si="0"/>
        <v>45390</v>
      </c>
    </row>
    <row r="10" spans="1:25">
      <c r="A10" s="38" t="s">
        <v>981</v>
      </c>
      <c r="B10" s="38">
        <v>1533</v>
      </c>
      <c r="C10" s="38">
        <v>329629</v>
      </c>
      <c r="D10" s="38">
        <v>331162</v>
      </c>
      <c r="E10" s="38">
        <v>508</v>
      </c>
      <c r="F10" s="38">
        <v>114</v>
      </c>
      <c r="G10" s="38">
        <v>10282</v>
      </c>
      <c r="H10" s="38">
        <v>10396</v>
      </c>
      <c r="I10" s="38">
        <v>106</v>
      </c>
      <c r="J10" s="38">
        <v>972</v>
      </c>
      <c r="K10" s="38">
        <v>1078</v>
      </c>
      <c r="L10" s="38">
        <v>0</v>
      </c>
      <c r="M10" s="38">
        <v>16</v>
      </c>
      <c r="N10" s="38">
        <v>16</v>
      </c>
      <c r="O10" s="38">
        <v>0</v>
      </c>
      <c r="P10" s="38">
        <v>3</v>
      </c>
      <c r="Q10" s="38">
        <v>3</v>
      </c>
      <c r="R10" s="38">
        <v>0.14350945857795172</v>
      </c>
      <c r="S10" s="38">
        <v>3.4918044225477736E-2</v>
      </c>
      <c r="T10" s="38">
        <v>3.5420730639384952E-2</v>
      </c>
      <c r="U10" s="255">
        <f t="shared" si="0"/>
        <v>45391</v>
      </c>
    </row>
    <row r="11" spans="1:25">
      <c r="A11" s="38" t="s">
        <v>982</v>
      </c>
      <c r="B11" s="38">
        <v>807</v>
      </c>
      <c r="C11" s="38">
        <v>10041</v>
      </c>
      <c r="D11" s="38">
        <v>10848</v>
      </c>
      <c r="E11" s="38">
        <v>366</v>
      </c>
      <c r="F11" s="38">
        <v>89</v>
      </c>
      <c r="G11" s="38">
        <v>336</v>
      </c>
      <c r="H11" s="38">
        <v>425</v>
      </c>
      <c r="I11" s="38">
        <v>17</v>
      </c>
      <c r="J11" s="38">
        <v>10</v>
      </c>
      <c r="K11" s="38">
        <v>27</v>
      </c>
      <c r="L11" s="38">
        <v>0</v>
      </c>
      <c r="M11" s="38">
        <v>0</v>
      </c>
      <c r="N11" s="38">
        <v>0</v>
      </c>
      <c r="O11" s="38">
        <v>0</v>
      </c>
      <c r="P11" s="38">
        <v>1</v>
      </c>
      <c r="Q11" s="38">
        <v>1</v>
      </c>
      <c r="R11" s="38">
        <v>0.13135068153655513</v>
      </c>
      <c r="S11" s="38">
        <v>3.9039936261328553E-2</v>
      </c>
      <c r="T11" s="38">
        <v>4.5907079646017701E-2</v>
      </c>
      <c r="U11" s="255">
        <f t="shared" si="0"/>
        <v>45392</v>
      </c>
    </row>
    <row r="12" spans="1:25">
      <c r="A12" s="38" t="s">
        <v>983</v>
      </c>
      <c r="B12" s="38">
        <v>1175</v>
      </c>
      <c r="C12" s="38">
        <v>0</v>
      </c>
      <c r="D12" s="38">
        <v>1175</v>
      </c>
      <c r="E12" s="38">
        <v>347</v>
      </c>
      <c r="F12" s="38">
        <v>130</v>
      </c>
      <c r="G12" s="38">
        <v>0</v>
      </c>
      <c r="H12" s="38">
        <v>130</v>
      </c>
      <c r="I12" s="38">
        <v>12</v>
      </c>
      <c r="J12" s="38">
        <v>0</v>
      </c>
      <c r="K12" s="38">
        <v>12</v>
      </c>
      <c r="L12" s="38">
        <v>1</v>
      </c>
      <c r="M12" s="38">
        <v>0</v>
      </c>
      <c r="N12" s="38">
        <v>1</v>
      </c>
      <c r="O12" s="38">
        <v>0</v>
      </c>
      <c r="P12" s="38">
        <v>0</v>
      </c>
      <c r="Q12" s="38">
        <v>0</v>
      </c>
      <c r="R12" s="38">
        <v>0.12170212765957447</v>
      </c>
      <c r="S12" s="38">
        <v>0</v>
      </c>
      <c r="T12" s="38">
        <v>0.12170212765957447</v>
      </c>
      <c r="U12" s="255">
        <f t="shared" si="0"/>
        <v>45393</v>
      </c>
    </row>
    <row r="13" spans="1:25">
      <c r="A13" s="38" t="s">
        <v>984</v>
      </c>
      <c r="B13" s="38">
        <v>1865</v>
      </c>
      <c r="C13" s="38">
        <v>110310</v>
      </c>
      <c r="D13" s="38">
        <v>112175</v>
      </c>
      <c r="E13" s="38">
        <v>602</v>
      </c>
      <c r="F13" s="38">
        <v>165</v>
      </c>
      <c r="G13" s="38">
        <v>7026</v>
      </c>
      <c r="H13" s="38">
        <v>7191</v>
      </c>
      <c r="I13" s="38">
        <v>35</v>
      </c>
      <c r="J13" s="38">
        <v>156</v>
      </c>
      <c r="K13" s="38">
        <v>191</v>
      </c>
      <c r="L13" s="38">
        <v>1</v>
      </c>
      <c r="M13" s="38">
        <v>1</v>
      </c>
      <c r="N13" s="38">
        <v>2</v>
      </c>
      <c r="O13" s="38">
        <v>0</v>
      </c>
      <c r="P13" s="38">
        <v>1</v>
      </c>
      <c r="Q13" s="38">
        <v>1</v>
      </c>
      <c r="R13" s="38">
        <v>0.10777479892761394</v>
      </c>
      <c r="S13" s="38">
        <v>0.16078324721240142</v>
      </c>
      <c r="T13" s="38">
        <v>0.15990193893470026</v>
      </c>
      <c r="U13" s="255">
        <f t="shared" si="0"/>
        <v>45394</v>
      </c>
    </row>
    <row r="14" spans="1:25">
      <c r="A14" s="38" t="s">
        <v>985</v>
      </c>
      <c r="B14" s="38">
        <v>537</v>
      </c>
      <c r="C14" s="38">
        <v>8140</v>
      </c>
      <c r="D14" s="38">
        <v>8677</v>
      </c>
      <c r="E14" s="38">
        <v>231</v>
      </c>
      <c r="F14" s="38">
        <v>38</v>
      </c>
      <c r="G14" s="38">
        <v>339</v>
      </c>
      <c r="H14" s="38">
        <v>377</v>
      </c>
      <c r="I14" s="38">
        <v>6</v>
      </c>
      <c r="J14" s="38">
        <v>2</v>
      </c>
      <c r="K14" s="38">
        <v>8</v>
      </c>
      <c r="L14" s="38">
        <v>0</v>
      </c>
      <c r="M14" s="38">
        <v>0</v>
      </c>
      <c r="N14" s="38">
        <v>0</v>
      </c>
      <c r="O14" s="38">
        <v>0</v>
      </c>
      <c r="P14" s="38">
        <v>0</v>
      </c>
      <c r="Q14" s="38">
        <v>0</v>
      </c>
      <c r="R14" s="38">
        <v>8.1936685288640593E-2</v>
      </c>
      <c r="S14" s="38">
        <v>8.476658476658476E-2</v>
      </c>
      <c r="T14" s="38">
        <v>8.4591448657370061E-2</v>
      </c>
      <c r="U14" s="255">
        <f t="shared" si="0"/>
        <v>45395</v>
      </c>
    </row>
    <row r="15" spans="1:25">
      <c r="A15" s="38" t="s">
        <v>986</v>
      </c>
      <c r="B15" s="38">
        <v>615</v>
      </c>
      <c r="C15" s="38">
        <v>12091</v>
      </c>
      <c r="D15" s="38">
        <v>12706</v>
      </c>
      <c r="E15" s="38">
        <v>246</v>
      </c>
      <c r="F15" s="38">
        <v>108</v>
      </c>
      <c r="G15" s="38">
        <v>451</v>
      </c>
      <c r="H15" s="38">
        <v>559</v>
      </c>
      <c r="I15" s="38">
        <v>6</v>
      </c>
      <c r="J15" s="38">
        <v>1</v>
      </c>
      <c r="K15" s="38">
        <v>7</v>
      </c>
      <c r="L15" s="38">
        <v>0</v>
      </c>
      <c r="M15" s="38">
        <v>7</v>
      </c>
      <c r="N15" s="38">
        <v>7</v>
      </c>
      <c r="O15" s="38">
        <v>0</v>
      </c>
      <c r="P15" s="38">
        <v>0</v>
      </c>
      <c r="Q15" s="38">
        <v>0</v>
      </c>
      <c r="R15" s="38">
        <v>0.18536585365853658</v>
      </c>
      <c r="S15" s="38">
        <v>0.10214208915722438</v>
      </c>
      <c r="T15" s="38">
        <v>0.10617031323784039</v>
      </c>
      <c r="U15" s="255">
        <f t="shared" si="0"/>
        <v>45396</v>
      </c>
    </row>
    <row r="16" spans="1:25">
      <c r="A16" s="38" t="s">
        <v>987</v>
      </c>
      <c r="B16" s="38">
        <v>1820</v>
      </c>
      <c r="C16" s="38">
        <v>10349</v>
      </c>
      <c r="D16" s="38">
        <v>12169</v>
      </c>
      <c r="E16" s="38">
        <v>852</v>
      </c>
      <c r="F16" s="38">
        <v>178</v>
      </c>
      <c r="G16" s="38">
        <v>223</v>
      </c>
      <c r="H16" s="38">
        <v>401</v>
      </c>
      <c r="I16" s="38">
        <v>42</v>
      </c>
      <c r="J16" s="38">
        <v>4</v>
      </c>
      <c r="K16" s="38">
        <v>46</v>
      </c>
      <c r="L16" s="38">
        <v>1</v>
      </c>
      <c r="M16" s="38">
        <v>0</v>
      </c>
      <c r="N16" s="38">
        <v>1</v>
      </c>
      <c r="O16" s="38">
        <v>0</v>
      </c>
      <c r="P16" s="38">
        <v>1</v>
      </c>
      <c r="Q16" s="38">
        <v>1</v>
      </c>
      <c r="R16" s="38">
        <v>0.12142857142857143</v>
      </c>
      <c r="S16" s="38">
        <v>4.048700357522466E-2</v>
      </c>
      <c r="T16" s="38">
        <v>5.2592653463719288E-2</v>
      </c>
      <c r="U16" s="255">
        <f t="shared" si="0"/>
        <v>45397</v>
      </c>
    </row>
    <row r="17" spans="1:21">
      <c r="A17" s="38" t="s">
        <v>988</v>
      </c>
      <c r="B17" s="38">
        <v>995</v>
      </c>
      <c r="C17" s="38">
        <v>18308</v>
      </c>
      <c r="D17" s="38">
        <v>19303</v>
      </c>
      <c r="E17" s="38">
        <v>317</v>
      </c>
      <c r="F17" s="38">
        <v>56</v>
      </c>
      <c r="G17" s="38">
        <v>810</v>
      </c>
      <c r="H17" s="38">
        <v>866</v>
      </c>
      <c r="I17" s="38">
        <v>18</v>
      </c>
      <c r="J17" s="38">
        <v>107</v>
      </c>
      <c r="K17" s="38">
        <v>125</v>
      </c>
      <c r="L17" s="38">
        <v>1</v>
      </c>
      <c r="M17" s="38">
        <v>1</v>
      </c>
      <c r="N17" s="38">
        <v>2</v>
      </c>
      <c r="O17" s="38">
        <v>0</v>
      </c>
      <c r="P17" s="38">
        <v>1</v>
      </c>
      <c r="Q17" s="38">
        <v>1</v>
      </c>
      <c r="R17" s="38">
        <v>7.5376884422110546E-2</v>
      </c>
      <c r="S17" s="38">
        <v>5.4402447017697184E-2</v>
      </c>
      <c r="T17" s="38">
        <v>5.5483603584934982E-2</v>
      </c>
      <c r="U17" s="255">
        <f t="shared" si="0"/>
        <v>45398</v>
      </c>
    </row>
    <row r="18" spans="1:21">
      <c r="A18" s="38" t="s">
        <v>989</v>
      </c>
      <c r="B18" s="38">
        <v>2792</v>
      </c>
      <c r="C18" s="38">
        <v>2421</v>
      </c>
      <c r="D18" s="38">
        <v>5213</v>
      </c>
      <c r="E18" s="38">
        <v>1430</v>
      </c>
      <c r="F18" s="38">
        <v>161</v>
      </c>
      <c r="G18" s="38">
        <v>51</v>
      </c>
      <c r="H18" s="38">
        <v>212</v>
      </c>
      <c r="I18" s="38">
        <v>60</v>
      </c>
      <c r="J18" s="38">
        <v>6</v>
      </c>
      <c r="K18" s="38">
        <v>66</v>
      </c>
      <c r="L18" s="38">
        <v>0</v>
      </c>
      <c r="M18" s="38">
        <v>0</v>
      </c>
      <c r="N18" s="38">
        <v>0</v>
      </c>
      <c r="O18" s="38">
        <v>0</v>
      </c>
      <c r="P18" s="38">
        <v>0</v>
      </c>
      <c r="Q18" s="38">
        <v>0</v>
      </c>
      <c r="R18" s="38">
        <v>7.915472779369627E-2</v>
      </c>
      <c r="S18" s="38">
        <v>3.4696406443618343E-2</v>
      </c>
      <c r="T18" s="38">
        <v>5.8507577210819103E-2</v>
      </c>
      <c r="U18" s="255">
        <f t="shared" si="0"/>
        <v>45399</v>
      </c>
    </row>
    <row r="19" spans="1:21">
      <c r="A19" s="38" t="s">
        <v>990</v>
      </c>
      <c r="B19" s="38">
        <v>1489</v>
      </c>
      <c r="C19" s="38">
        <v>0</v>
      </c>
      <c r="D19" s="38">
        <v>1489</v>
      </c>
      <c r="E19" s="38">
        <v>594</v>
      </c>
      <c r="F19" s="38">
        <v>98</v>
      </c>
      <c r="G19" s="38">
        <v>0</v>
      </c>
      <c r="H19" s="38">
        <v>98</v>
      </c>
      <c r="I19" s="38">
        <v>20</v>
      </c>
      <c r="J19" s="38">
        <v>0</v>
      </c>
      <c r="K19" s="38">
        <v>20</v>
      </c>
      <c r="L19" s="38">
        <v>0</v>
      </c>
      <c r="M19" s="38">
        <v>0</v>
      </c>
      <c r="N19" s="38">
        <v>0</v>
      </c>
      <c r="O19" s="38">
        <v>0</v>
      </c>
      <c r="P19" s="38">
        <v>0</v>
      </c>
      <c r="Q19" s="38">
        <v>0</v>
      </c>
      <c r="R19" s="38">
        <v>7.9247817327065151E-2</v>
      </c>
      <c r="S19" s="38">
        <v>0</v>
      </c>
      <c r="T19" s="38">
        <v>7.9247817327065151E-2</v>
      </c>
      <c r="U19" s="255">
        <f t="shared" si="0"/>
        <v>45400</v>
      </c>
    </row>
    <row r="20" spans="1:21">
      <c r="A20" s="38" t="s">
        <v>991</v>
      </c>
      <c r="B20" s="38">
        <v>849</v>
      </c>
      <c r="C20" s="38">
        <v>0</v>
      </c>
      <c r="D20" s="38">
        <v>849</v>
      </c>
      <c r="E20" s="38">
        <v>377</v>
      </c>
      <c r="F20" s="38">
        <v>73</v>
      </c>
      <c r="G20" s="38">
        <v>0</v>
      </c>
      <c r="H20" s="38">
        <v>73</v>
      </c>
      <c r="I20" s="38">
        <v>11</v>
      </c>
      <c r="J20" s="38">
        <v>0</v>
      </c>
      <c r="K20" s="38">
        <v>11</v>
      </c>
      <c r="L20" s="38">
        <v>0</v>
      </c>
      <c r="M20" s="38">
        <v>0</v>
      </c>
      <c r="N20" s="38">
        <v>0</v>
      </c>
      <c r="O20" s="38">
        <v>0</v>
      </c>
      <c r="P20" s="38">
        <v>0</v>
      </c>
      <c r="Q20" s="38">
        <v>0</v>
      </c>
      <c r="R20" s="38">
        <v>9.8939929328621903E-2</v>
      </c>
      <c r="S20" s="38">
        <v>0</v>
      </c>
      <c r="T20" s="38">
        <v>9.8939929328621903E-2</v>
      </c>
      <c r="U20" s="255">
        <f t="shared" si="0"/>
        <v>45401</v>
      </c>
    </row>
    <row r="21" spans="1:21">
      <c r="A21" s="38" t="s">
        <v>992</v>
      </c>
      <c r="B21" s="38">
        <v>583</v>
      </c>
      <c r="C21" s="38">
        <v>0</v>
      </c>
      <c r="D21" s="38">
        <v>583</v>
      </c>
      <c r="E21" s="38">
        <v>274</v>
      </c>
      <c r="F21" s="38">
        <v>53</v>
      </c>
      <c r="G21" s="38">
        <v>0</v>
      </c>
      <c r="H21" s="38">
        <v>53</v>
      </c>
      <c r="I21" s="38">
        <v>2</v>
      </c>
      <c r="J21" s="38">
        <v>0</v>
      </c>
      <c r="K21" s="38">
        <v>2</v>
      </c>
      <c r="L21" s="38">
        <v>0</v>
      </c>
      <c r="M21" s="38">
        <v>0</v>
      </c>
      <c r="N21" s="38">
        <v>0</v>
      </c>
      <c r="O21" s="38">
        <v>0</v>
      </c>
      <c r="P21" s="38">
        <v>0</v>
      </c>
      <c r="Q21" s="38">
        <v>0</v>
      </c>
      <c r="R21" s="38">
        <v>9.4339622641509441E-2</v>
      </c>
      <c r="S21" s="38">
        <v>0</v>
      </c>
      <c r="T21" s="38">
        <v>9.4339622641509441E-2</v>
      </c>
      <c r="U21" s="255">
        <f t="shared" si="0"/>
        <v>45402</v>
      </c>
    </row>
    <row r="22" spans="1:21">
      <c r="A22" s="38" t="s">
        <v>993</v>
      </c>
      <c r="B22" s="38">
        <v>624</v>
      </c>
      <c r="C22" s="38">
        <v>0</v>
      </c>
      <c r="D22" s="38">
        <v>624</v>
      </c>
      <c r="E22" s="38">
        <v>273</v>
      </c>
      <c r="F22" s="38">
        <v>69</v>
      </c>
      <c r="G22" s="38">
        <v>0</v>
      </c>
      <c r="H22" s="38">
        <v>69</v>
      </c>
      <c r="I22" s="38">
        <v>4</v>
      </c>
      <c r="J22" s="38">
        <v>0</v>
      </c>
      <c r="K22" s="38">
        <v>4</v>
      </c>
      <c r="L22" s="38">
        <v>0</v>
      </c>
      <c r="M22" s="38">
        <v>0</v>
      </c>
      <c r="N22" s="38">
        <v>0</v>
      </c>
      <c r="O22" s="38">
        <v>0</v>
      </c>
      <c r="P22" s="38">
        <v>0</v>
      </c>
      <c r="Q22" s="38">
        <v>0</v>
      </c>
      <c r="R22" s="38">
        <v>0.11698717948717949</v>
      </c>
      <c r="S22" s="38">
        <v>0</v>
      </c>
      <c r="T22" s="38">
        <v>0.11698717948717949</v>
      </c>
      <c r="U22" s="255">
        <f t="shared" si="0"/>
        <v>45403</v>
      </c>
    </row>
    <row r="23" spans="1:21">
      <c r="A23" s="38" t="s">
        <v>994</v>
      </c>
      <c r="B23" s="38">
        <v>1721</v>
      </c>
      <c r="C23" s="38">
        <v>0</v>
      </c>
      <c r="D23" s="38">
        <v>1721</v>
      </c>
      <c r="E23" s="38">
        <v>805</v>
      </c>
      <c r="F23" s="38">
        <v>219</v>
      </c>
      <c r="G23" s="38">
        <v>0</v>
      </c>
      <c r="H23" s="38">
        <v>219</v>
      </c>
      <c r="I23" s="38">
        <v>25</v>
      </c>
      <c r="J23" s="38">
        <v>0</v>
      </c>
      <c r="K23" s="38">
        <v>25</v>
      </c>
      <c r="L23" s="38">
        <v>0</v>
      </c>
      <c r="M23" s="38">
        <v>0</v>
      </c>
      <c r="N23" s="38">
        <v>0</v>
      </c>
      <c r="O23" s="38">
        <v>0</v>
      </c>
      <c r="P23" s="38">
        <v>0</v>
      </c>
      <c r="Q23" s="38">
        <v>0</v>
      </c>
      <c r="R23" s="38">
        <v>0.14177803602556652</v>
      </c>
      <c r="S23" s="38">
        <v>0</v>
      </c>
      <c r="T23" s="38">
        <v>0.14177803602556652</v>
      </c>
      <c r="U23" s="255">
        <f t="shared" si="0"/>
        <v>45404</v>
      </c>
    </row>
    <row r="24" spans="1:21">
      <c r="A24" s="38" t="s">
        <v>995</v>
      </c>
      <c r="B24" s="38">
        <v>1961</v>
      </c>
      <c r="C24" s="38">
        <v>275588</v>
      </c>
      <c r="D24" s="38">
        <v>277549</v>
      </c>
      <c r="E24" s="38">
        <v>624</v>
      </c>
      <c r="F24" s="38">
        <v>161</v>
      </c>
      <c r="G24" s="38">
        <v>21003</v>
      </c>
      <c r="H24" s="38">
        <v>21164</v>
      </c>
      <c r="I24" s="38">
        <v>105</v>
      </c>
      <c r="J24" s="38">
        <v>603</v>
      </c>
      <c r="K24" s="38">
        <v>708</v>
      </c>
      <c r="L24" s="38">
        <v>5</v>
      </c>
      <c r="M24" s="38">
        <v>6</v>
      </c>
      <c r="N24" s="38">
        <v>11</v>
      </c>
      <c r="O24" s="38">
        <v>0</v>
      </c>
      <c r="P24" s="38">
        <v>5</v>
      </c>
      <c r="Q24" s="38">
        <v>5</v>
      </c>
      <c r="R24" s="38">
        <v>0.13819479857215705</v>
      </c>
      <c r="S24" s="38">
        <v>0.17767101615454955</v>
      </c>
      <c r="T24" s="38">
        <v>0.1773921001336701</v>
      </c>
      <c r="U24" s="255">
        <f t="shared" si="0"/>
        <v>45405</v>
      </c>
    </row>
    <row r="25" spans="1:21">
      <c r="A25" s="38" t="s">
        <v>996</v>
      </c>
      <c r="B25" s="38">
        <v>4052</v>
      </c>
      <c r="C25" s="38">
        <v>367585</v>
      </c>
      <c r="D25" s="38">
        <v>371637</v>
      </c>
      <c r="E25" s="38">
        <v>1718</v>
      </c>
      <c r="F25" s="38">
        <v>271</v>
      </c>
      <c r="G25" s="38">
        <v>12295</v>
      </c>
      <c r="H25" s="38">
        <v>12566</v>
      </c>
      <c r="I25" s="38">
        <v>141</v>
      </c>
      <c r="J25" s="38">
        <v>1157</v>
      </c>
      <c r="K25" s="38">
        <v>1298</v>
      </c>
      <c r="L25" s="38">
        <v>6</v>
      </c>
      <c r="M25" s="38">
        <v>14</v>
      </c>
      <c r="N25" s="38">
        <v>20</v>
      </c>
      <c r="O25" s="38">
        <v>0</v>
      </c>
      <c r="P25" s="38">
        <v>8</v>
      </c>
      <c r="Q25" s="38">
        <v>8</v>
      </c>
      <c r="R25" s="38">
        <v>0.1031589338598223</v>
      </c>
      <c r="S25" s="38">
        <v>4.2983255573540817E-2</v>
      </c>
      <c r="T25" s="38">
        <v>4.363935776039523E-2</v>
      </c>
      <c r="U25" s="255">
        <f t="shared" si="0"/>
        <v>45406</v>
      </c>
    </row>
    <row r="26" spans="1:21">
      <c r="A26" s="38" t="s">
        <v>997</v>
      </c>
      <c r="B26" s="38">
        <v>3630</v>
      </c>
      <c r="C26" s="38">
        <v>16901</v>
      </c>
      <c r="D26" s="38">
        <v>20531</v>
      </c>
      <c r="E26" s="38">
        <v>1700</v>
      </c>
      <c r="F26" s="38">
        <v>599</v>
      </c>
      <c r="G26" s="38">
        <v>587</v>
      </c>
      <c r="H26" s="38">
        <v>1186</v>
      </c>
      <c r="I26" s="38">
        <v>55</v>
      </c>
      <c r="J26" s="38">
        <v>41</v>
      </c>
      <c r="K26" s="38">
        <v>96</v>
      </c>
      <c r="L26" s="38">
        <v>0</v>
      </c>
      <c r="M26" s="38">
        <v>2</v>
      </c>
      <c r="N26" s="38">
        <v>2</v>
      </c>
      <c r="O26" s="38">
        <v>0</v>
      </c>
      <c r="P26" s="38">
        <v>0</v>
      </c>
      <c r="Q26" s="38">
        <v>0</v>
      </c>
      <c r="R26" s="38">
        <v>0.18016528925619835</v>
      </c>
      <c r="S26" s="38">
        <v>3.916927992426484E-2</v>
      </c>
      <c r="T26" s="38">
        <v>6.4098192976474594E-2</v>
      </c>
      <c r="U26" s="255">
        <f t="shared" si="0"/>
        <v>45407</v>
      </c>
    </row>
    <row r="27" spans="1:21">
      <c r="A27" s="38" t="s">
        <v>998</v>
      </c>
      <c r="B27" s="38">
        <v>4026</v>
      </c>
      <c r="C27" s="38">
        <v>0</v>
      </c>
      <c r="D27" s="38">
        <v>4026</v>
      </c>
      <c r="E27" s="38">
        <v>2052</v>
      </c>
      <c r="F27" s="38">
        <v>479</v>
      </c>
      <c r="G27" s="38">
        <v>0</v>
      </c>
      <c r="H27" s="38">
        <v>479</v>
      </c>
      <c r="I27" s="38">
        <v>73</v>
      </c>
      <c r="J27" s="38">
        <v>0</v>
      </c>
      <c r="K27" s="38">
        <v>73</v>
      </c>
      <c r="L27" s="38">
        <v>0</v>
      </c>
      <c r="M27" s="38">
        <v>0</v>
      </c>
      <c r="N27" s="38">
        <v>0</v>
      </c>
      <c r="O27" s="38">
        <v>0</v>
      </c>
      <c r="P27" s="38">
        <v>0</v>
      </c>
      <c r="Q27" s="38">
        <v>0</v>
      </c>
      <c r="R27" s="38">
        <v>0.13710879284649777</v>
      </c>
      <c r="S27" s="38">
        <v>0</v>
      </c>
      <c r="T27" s="38">
        <v>0.13710879284649777</v>
      </c>
      <c r="U27" s="255">
        <f t="shared" si="0"/>
        <v>45408</v>
      </c>
    </row>
    <row r="28" spans="1:21">
      <c r="A28" s="38" t="s">
        <v>999</v>
      </c>
      <c r="B28" s="38">
        <v>1367</v>
      </c>
      <c r="C28" s="38">
        <v>0</v>
      </c>
      <c r="D28" s="38">
        <v>1367</v>
      </c>
      <c r="E28" s="38">
        <v>534</v>
      </c>
      <c r="F28" s="38">
        <v>178</v>
      </c>
      <c r="G28" s="38">
        <v>0</v>
      </c>
      <c r="H28" s="38">
        <v>178</v>
      </c>
      <c r="I28" s="38">
        <v>32</v>
      </c>
      <c r="J28" s="38">
        <v>0</v>
      </c>
      <c r="K28" s="38">
        <v>32</v>
      </c>
      <c r="L28" s="38">
        <v>0</v>
      </c>
      <c r="M28" s="38">
        <v>0</v>
      </c>
      <c r="N28" s="38">
        <v>0</v>
      </c>
      <c r="O28" s="38">
        <v>0</v>
      </c>
      <c r="P28" s="38">
        <v>0</v>
      </c>
      <c r="Q28" s="38">
        <v>0</v>
      </c>
      <c r="R28" s="38">
        <v>0.15362106803218728</v>
      </c>
      <c r="S28" s="38">
        <v>0</v>
      </c>
      <c r="T28" s="38">
        <v>0.15362106803218728</v>
      </c>
      <c r="U28" s="255">
        <f t="shared" si="0"/>
        <v>45409</v>
      </c>
    </row>
    <row r="29" spans="1:21">
      <c r="A29" s="38" t="s">
        <v>1000</v>
      </c>
      <c r="B29" s="38">
        <v>1096</v>
      </c>
      <c r="C29" s="38">
        <v>0</v>
      </c>
      <c r="D29" s="38">
        <v>1096</v>
      </c>
      <c r="E29" s="38">
        <v>469</v>
      </c>
      <c r="F29" s="38">
        <v>135</v>
      </c>
      <c r="G29" s="38">
        <v>0</v>
      </c>
      <c r="H29" s="38">
        <v>135</v>
      </c>
      <c r="I29" s="38">
        <v>19</v>
      </c>
      <c r="J29" s="38">
        <v>0</v>
      </c>
      <c r="K29" s="38">
        <v>19</v>
      </c>
      <c r="L29" s="38">
        <v>0</v>
      </c>
      <c r="M29" s="38">
        <v>0</v>
      </c>
      <c r="N29" s="38">
        <v>0</v>
      </c>
      <c r="O29" s="38">
        <v>0</v>
      </c>
      <c r="P29" s="38">
        <v>0</v>
      </c>
      <c r="Q29" s="38">
        <v>0</v>
      </c>
      <c r="R29" s="38">
        <v>0.14051094890510948</v>
      </c>
      <c r="S29" s="38">
        <v>0</v>
      </c>
      <c r="T29" s="38">
        <v>0.14051094890510948</v>
      </c>
      <c r="U29" s="255">
        <f t="shared" si="0"/>
        <v>45410</v>
      </c>
    </row>
    <row r="30" spans="1:21">
      <c r="A30" s="38" t="s">
        <v>1001</v>
      </c>
      <c r="B30" s="38">
        <v>1073</v>
      </c>
      <c r="C30" s="38">
        <v>0</v>
      </c>
      <c r="D30" s="38">
        <v>1073</v>
      </c>
      <c r="E30" s="38">
        <v>447</v>
      </c>
      <c r="F30" s="38">
        <v>130</v>
      </c>
      <c r="G30" s="38">
        <v>0</v>
      </c>
      <c r="H30" s="38">
        <v>130</v>
      </c>
      <c r="I30" s="38">
        <v>11</v>
      </c>
      <c r="J30" s="38">
        <v>0</v>
      </c>
      <c r="K30" s="38">
        <v>11</v>
      </c>
      <c r="L30" s="38">
        <v>-1</v>
      </c>
      <c r="M30" s="38">
        <v>0</v>
      </c>
      <c r="N30" s="38">
        <v>-1</v>
      </c>
      <c r="O30" s="38">
        <v>0</v>
      </c>
      <c r="P30" s="38">
        <v>0</v>
      </c>
      <c r="Q30" s="38">
        <v>0</v>
      </c>
      <c r="R30" s="38">
        <v>0.13047530288909598</v>
      </c>
      <c r="S30" s="38">
        <v>0</v>
      </c>
      <c r="T30" s="38">
        <v>0.13047530288909598</v>
      </c>
      <c r="U30" s="255">
        <f t="shared" si="0"/>
        <v>45411</v>
      </c>
    </row>
    <row r="31" spans="1:21">
      <c r="A31" s="38" t="s">
        <v>1002</v>
      </c>
      <c r="B31" s="38">
        <v>854</v>
      </c>
      <c r="C31" s="38">
        <v>0</v>
      </c>
      <c r="D31" s="38">
        <v>854</v>
      </c>
      <c r="E31" s="38">
        <v>341</v>
      </c>
      <c r="F31" s="38">
        <v>51</v>
      </c>
      <c r="G31" s="38">
        <v>0</v>
      </c>
      <c r="H31" s="38">
        <v>51</v>
      </c>
      <c r="I31" s="38">
        <v>9</v>
      </c>
      <c r="J31" s="38">
        <v>0</v>
      </c>
      <c r="K31" s="38">
        <v>9</v>
      </c>
      <c r="L31" s="38">
        <v>0</v>
      </c>
      <c r="M31" s="38">
        <v>0</v>
      </c>
      <c r="N31" s="38">
        <v>0</v>
      </c>
      <c r="O31" s="38">
        <v>0</v>
      </c>
      <c r="P31" s="38">
        <v>0</v>
      </c>
      <c r="Q31" s="38">
        <v>0</v>
      </c>
      <c r="R31" s="38">
        <v>7.0257611241217793E-2</v>
      </c>
      <c r="S31" s="38">
        <v>0</v>
      </c>
      <c r="T31" s="38">
        <v>7.0257611241217793E-2</v>
      </c>
      <c r="U31" s="255">
        <f t="shared" si="0"/>
        <v>45412</v>
      </c>
    </row>
    <row r="32" spans="1:21">
      <c r="A32" s="38"/>
      <c r="B32" s="38"/>
      <c r="C32" s="38"/>
      <c r="D32" s="38"/>
      <c r="E32" s="38"/>
      <c r="F32" s="38"/>
      <c r="G32" s="38"/>
      <c r="H32" s="38"/>
      <c r="I32" s="38"/>
      <c r="J32" s="38"/>
      <c r="K32" s="38"/>
      <c r="L32" s="38"/>
      <c r="M32" s="38"/>
      <c r="N32" s="38"/>
      <c r="O32" s="38"/>
      <c r="P32" s="38"/>
      <c r="Q32" s="38"/>
      <c r="R32" s="38"/>
      <c r="S32" s="38"/>
      <c r="T32" s="38"/>
      <c r="U32" s="255" t="str">
        <f t="shared" si="0"/>
        <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5F66D-1770-4319-BA07-D07EA943AAF7}">
  <sheetPr>
    <tabColor theme="9" tint="0.79998168889431442"/>
  </sheetPr>
  <dimension ref="A3:P38"/>
  <sheetViews>
    <sheetView workbookViewId="0">
      <selection activeCell="O16" sqref="B5:O16"/>
    </sheetView>
  </sheetViews>
  <sheetFormatPr defaultRowHeight="16.5"/>
  <cols>
    <col min="2" max="2" width="4.875" customWidth="1"/>
    <col min="4" max="4" width="4.75" customWidth="1"/>
    <col min="5" max="5" width="12.625" bestFit="1" customWidth="1"/>
    <col min="6" max="6" width="67.375" customWidth="1"/>
    <col min="7" max="7" width="13.5" bestFit="1" customWidth="1"/>
    <col min="8" max="8" width="10.25" bestFit="1" customWidth="1"/>
    <col min="9" max="9" width="5.75" bestFit="1" customWidth="1"/>
    <col min="10" max="10" width="7.375" bestFit="1" customWidth="1"/>
    <col min="11" max="11" width="4.375" bestFit="1" customWidth="1"/>
    <col min="12" max="12" width="9.25" bestFit="1" customWidth="1"/>
    <col min="13" max="13" width="5.625" bestFit="1" customWidth="1"/>
    <col min="14" max="14" width="11.375" bestFit="1" customWidth="1"/>
    <col min="15" max="15" width="6.75" bestFit="1" customWidth="1"/>
  </cols>
  <sheetData>
    <row r="3" spans="1:16" ht="17.25" thickBot="1">
      <c r="A3" s="108"/>
      <c r="B3" s="108"/>
      <c r="C3" s="108"/>
      <c r="D3" s="108"/>
      <c r="E3" s="108"/>
      <c r="F3" s="108"/>
      <c r="G3" s="108"/>
      <c r="H3" s="108"/>
      <c r="I3" s="108"/>
      <c r="J3" s="108"/>
      <c r="K3" s="108"/>
      <c r="L3" s="108"/>
      <c r="M3" s="108"/>
      <c r="N3" s="108"/>
      <c r="O3" s="108"/>
      <c r="P3" s="108"/>
    </row>
    <row r="4" spans="1:16">
      <c r="A4" s="108"/>
      <c r="B4" s="303" t="s">
        <v>87</v>
      </c>
      <c r="C4" s="381" t="s">
        <v>88</v>
      </c>
      <c r="D4" s="382"/>
      <c r="E4" s="381" t="s">
        <v>89</v>
      </c>
      <c r="F4" s="382"/>
      <c r="G4" s="304" t="s">
        <v>90</v>
      </c>
      <c r="H4" s="304" t="s">
        <v>65</v>
      </c>
      <c r="I4" s="304" t="s">
        <v>68</v>
      </c>
      <c r="J4" s="304" t="s">
        <v>91</v>
      </c>
      <c r="K4" s="304" t="s">
        <v>92</v>
      </c>
      <c r="L4" s="304" t="s">
        <v>71</v>
      </c>
      <c r="M4" s="304" t="s">
        <v>93</v>
      </c>
      <c r="N4" s="305" t="s">
        <v>94</v>
      </c>
      <c r="O4" s="306" t="s">
        <v>95</v>
      </c>
      <c r="P4" s="108"/>
    </row>
    <row r="5" spans="1:16">
      <c r="A5" s="108"/>
      <c r="B5" s="307">
        <v>1</v>
      </c>
      <c r="C5" s="308" t="str">
        <f>IFERROR(TEXT(INDEX(contents!W:W,MATCH(B5,contents!V:V,0),0),"m/d"),"")</f>
        <v>6/5</v>
      </c>
      <c r="D5" s="309" t="str">
        <f>IFERROR(TEXT(INDEX(contents!W:W,MATCH(B5,contents!V:V,0),0),"aaa"),"")</f>
        <v>수</v>
      </c>
      <c r="E5" s="309" t="str">
        <f>IF(INDEX('contents 추가정보'!D:D,MATCH(B5,'contents 추가정보'!A:A,0),0)=0,"",INDEX('contents 추가정보'!D:D,MATCH(B5,'contents 추가정보'!A:A,0),0))</f>
        <v>카드뉴스 드로잉</v>
      </c>
      <c r="F5" s="310">
        <f>IF(INDEX('contents 추가정보'!C:C,MATCH(B5,'contents 추가정보'!A:A,0),0)=0,"",INDEX('contents 추가정보'!C:C,MATCH(B5,'contents 추가정보'!A:A,0),0))</f>
        <v>111</v>
      </c>
      <c r="G5" s="311" t="str">
        <f>IF(INDEX('contents 추가정보'!E:E,MATCH(B5,'contents 추가정보'!A:A,0),0)=0,"",INDEX('contents 추가정보'!E:E,MATCH(B5,'contents 추가정보'!A:A,0),0))</f>
        <v>News</v>
      </c>
      <c r="H5" s="311">
        <f>IFERROR(INDEX(contents!J:J,MATCH(B5,contents!V:V,0),0),"")</f>
        <v>7403</v>
      </c>
      <c r="I5" s="311">
        <f>IFERROR(INDEX(contents!M:M,MATCH(B5,contents!V:V,0),0),"")</f>
        <v>3744</v>
      </c>
      <c r="J5" s="312" t="str">
        <f>IFERROR(TEXT(INDEX(contents!N:N,MATCH(B5,contents!V:V,0),0),"0.00%"),"")</f>
        <v>50.57%</v>
      </c>
      <c r="K5" s="311">
        <f>IFERROR(INDEX(contents!O:O,MATCH(B5,contents!V:V,0),0),"")</f>
        <v>112</v>
      </c>
      <c r="L5" s="311">
        <f>IFERROR(INDEX(contents!P:P,MATCH(B5,contents!V:V,0),0),"")</f>
        <v>0</v>
      </c>
      <c r="M5" s="311">
        <f>IFERROR(INDEX(contents!Q:Q,MATCH(B5,contents!V:V,0),0),"")</f>
        <v>8</v>
      </c>
      <c r="N5" s="313">
        <f>IF(F5="","",SUM(I5,K5:M5))</f>
        <v>3864</v>
      </c>
      <c r="O5" s="314" t="str">
        <f>IFERROR(TEXT(INDEX(contents!AC:AC,MATCH(B5,contents!V:V,0),0),"0.00%"),"")</f>
        <v>52.20%</v>
      </c>
      <c r="P5" s="108"/>
    </row>
    <row r="6" spans="1:16">
      <c r="A6" s="108"/>
      <c r="B6" s="315">
        <v>2</v>
      </c>
      <c r="C6" s="308" t="str">
        <f>IFERROR(TEXT(INDEX(contents!W:W,MATCH(B6,contents!V:V,0),0),"m/d"),"")</f>
        <v>6/20</v>
      </c>
      <c r="D6" s="309" t="str">
        <f>IFERROR(TEXT(INDEX(contents!W:W,MATCH(B6,contents!V:V,0),0),"aaa"),"")</f>
        <v>목</v>
      </c>
      <c r="E6" s="309" t="str">
        <f>IF(INDEX('contents 추가정보'!D:D,MATCH(B6,'contents 추가정보'!A:A,0),0)=0,"",INDEX('contents 추가정보'!D:D,MATCH(B6,'contents 추가정보'!A:A,0),0))</f>
        <v>영상</v>
      </c>
      <c r="F6" s="310">
        <f>IF(INDEX('contents 추가정보'!C:C,MATCH(B6,'contents 추가정보'!A:A,0),0)=0,"",INDEX('contents 추가정보'!C:C,MATCH(B6,'contents 추가정보'!A:A,0),0))</f>
        <v>222</v>
      </c>
      <c r="G6" s="311" t="str">
        <f>IF(INDEX('contents 추가정보'!E:E,MATCH(B6,'contents 추가정보'!A:A,0),0)=0,"",INDEX('contents 추가정보'!E:E,MATCH(B6,'contents 추가정보'!A:A,0),0))</f>
        <v>People &amp; Culture</v>
      </c>
      <c r="H6" s="311">
        <f>IFERROR(INDEX(contents!J:J,MATCH(B6,contents!V:V,0),0),"")</f>
        <v>6991</v>
      </c>
      <c r="I6" s="311">
        <f>IFERROR(INDEX(contents!M:M,MATCH(B6,contents!V:V,0),0),"")</f>
        <v>554</v>
      </c>
      <c r="J6" s="312" t="str">
        <f>IFERROR(TEXT(INDEX(contents!N:N,MATCH(B6,contents!V:V,0),0),"0.00%"),"")</f>
        <v>7.92%</v>
      </c>
      <c r="K6" s="311">
        <f>IFERROR(INDEX(contents!O:O,MATCH(B6,contents!V:V,0),0),"")</f>
        <v>105</v>
      </c>
      <c r="L6" s="311">
        <f>IFERROR(INDEX(contents!P:P,MATCH(B6,contents!V:V,0),0),"")</f>
        <v>9</v>
      </c>
      <c r="M6" s="311">
        <f>IFERROR(INDEX(contents!Q:Q,MATCH(B6,contents!V:V,0),0),"")</f>
        <v>6</v>
      </c>
      <c r="N6" s="313">
        <f t="shared" ref="N6:N37" si="0">IF(F6="","",SUM(I6,K6:M6))</f>
        <v>674</v>
      </c>
      <c r="O6" s="314" t="str">
        <f>IFERROR(TEXT(INDEX(contents!AC:AC,MATCH(B6,contents!V:V,0),0),"0.00%"),"")</f>
        <v>41.93%</v>
      </c>
      <c r="P6" s="108"/>
    </row>
    <row r="7" spans="1:16">
      <c r="A7" s="108"/>
      <c r="B7" s="315">
        <v>3</v>
      </c>
      <c r="C7" s="308" t="str">
        <f>IFERROR(TEXT(INDEX(contents!W:W,MATCH(B7,contents!V:V,0),0),"m/d"),"")</f>
        <v>6/11</v>
      </c>
      <c r="D7" s="309" t="str">
        <f>IFERROR(TEXT(INDEX(contents!W:W,MATCH(B7,contents!V:V,0),0),"aaa"),"")</f>
        <v>화</v>
      </c>
      <c r="E7" s="309" t="str">
        <f>IF(INDEX('contents 추가정보'!D:D,MATCH(B7,'contents 추가정보'!A:A,0),0)=0,"",INDEX('contents 추가정보'!D:D,MATCH(B7,'contents 추가정보'!A:A,0),0))</f>
        <v>영상</v>
      </c>
      <c r="F7" s="310">
        <f>IF(INDEX('contents 추가정보'!C:C,MATCH(B7,'contents 추가정보'!A:A,0),0)=0,"",INDEX('contents 추가정보'!C:C,MATCH(B7,'contents 추가정보'!A:A,0),0))</f>
        <v>333</v>
      </c>
      <c r="G7" s="311" t="str">
        <f>IF(INDEX('contents 추가정보'!E:E,MATCH(B7,'contents 추가정보'!A:A,0),0)=0,"",INDEX('contents 추가정보'!E:E,MATCH(B7,'contents 추가정보'!A:A,0),0))</f>
        <v>People &amp; Culture</v>
      </c>
      <c r="H7" s="311">
        <f>IFERROR(INDEX(contents!J:J,MATCH(B7,contents!V:V,0),0),"")</f>
        <v>2413</v>
      </c>
      <c r="I7" s="311">
        <f>IFERROR(INDEX(contents!M:M,MATCH(B7,contents!V:V,0),0),"")</f>
        <v>105</v>
      </c>
      <c r="J7" s="312" t="str">
        <f>IFERROR(TEXT(INDEX(contents!N:N,MATCH(B7,contents!V:V,0),0),"0.00%"),"")</f>
        <v>4.35%</v>
      </c>
      <c r="K7" s="311">
        <f>IFERROR(INDEX(contents!O:O,MATCH(B7,contents!V:V,0),0),"")</f>
        <v>50</v>
      </c>
      <c r="L7" s="311">
        <f>IFERROR(INDEX(contents!P:P,MATCH(B7,contents!V:V,0),0),"")</f>
        <v>0</v>
      </c>
      <c r="M7" s="311">
        <f>IFERROR(INDEX(contents!Q:Q,MATCH(B7,contents!V:V,0),0),"")</f>
        <v>4</v>
      </c>
      <c r="N7" s="313">
        <f t="shared" si="0"/>
        <v>159</v>
      </c>
      <c r="O7" s="314" t="str">
        <f>IFERROR(TEXT(INDEX(contents!AC:AC,MATCH(B7,contents!V:V,0),0),"0.00%"),"")</f>
        <v>26.71%</v>
      </c>
      <c r="P7" s="108"/>
    </row>
    <row r="8" spans="1:16">
      <c r="A8" s="108"/>
      <c r="B8" s="315">
        <v>4</v>
      </c>
      <c r="C8" s="308" t="str">
        <f>IFERROR(TEXT(INDEX(contents!W:W,MATCH(B8,contents!V:V,0),0),"m/d"),"")</f>
        <v>5/31</v>
      </c>
      <c r="D8" s="309" t="str">
        <f>IFERROR(TEXT(INDEX(contents!W:W,MATCH(B8,contents!V:V,0),0),"aaa"),"")</f>
        <v>금</v>
      </c>
      <c r="E8" s="309" t="str">
        <f>IF(INDEX('contents 추가정보'!D:D,MATCH(B8,'contents 추가정보'!A:A,0),0)=0,"",INDEX('contents 추가정보'!D:D,MATCH(B8,'contents 추가정보'!A:A,0),0))</f>
        <v>영상</v>
      </c>
      <c r="F8" s="310">
        <f>IF(INDEX('contents 추가정보'!C:C,MATCH(B8,'contents 추가정보'!A:A,0),0)=0,"",INDEX('contents 추가정보'!C:C,MATCH(B8,'contents 추가정보'!A:A,0),0))</f>
        <v>444</v>
      </c>
      <c r="G8" s="311" t="str">
        <f>IF(INDEX('contents 추가정보'!E:E,MATCH(B8,'contents 추가정보'!A:A,0),0)=0,"",INDEX('contents 추가정보'!E:E,MATCH(B8,'contents 추가정보'!A:A,0),0))</f>
        <v>Seasonal</v>
      </c>
      <c r="H8" s="311">
        <f>IFERROR(INDEX(contents!J:J,MATCH(B8,contents!V:V,0),0),"")</f>
        <v>2907</v>
      </c>
      <c r="I8" s="311">
        <f>IFERROR(INDEX(contents!M:M,MATCH(B8,contents!V:V,0),0),"")</f>
        <v>403</v>
      </c>
      <c r="J8" s="312" t="str">
        <f>IFERROR(TEXT(INDEX(contents!N:N,MATCH(B8,contents!V:V,0),0),"0.00%"),"")</f>
        <v>13.86%</v>
      </c>
      <c r="K8" s="311">
        <f>IFERROR(INDEX(contents!O:O,MATCH(B8,contents!V:V,0),0),"")</f>
        <v>68</v>
      </c>
      <c r="L8" s="311">
        <f>IFERROR(INDEX(contents!P:P,MATCH(B8,contents!V:V,0),0),"")</f>
        <v>0</v>
      </c>
      <c r="M8" s="311">
        <f>IFERROR(INDEX(contents!Q:Q,MATCH(B8,contents!V:V,0),0),"")</f>
        <v>5</v>
      </c>
      <c r="N8" s="313">
        <f t="shared" si="0"/>
        <v>476</v>
      </c>
      <c r="O8" s="314" t="str">
        <f>IFERROR(TEXT(INDEX(contents!AC:AC,MATCH(B8,contents!V:V,0),0),"0.00%"),"")</f>
        <v>16.37%</v>
      </c>
      <c r="P8" s="108"/>
    </row>
    <row r="9" spans="1:16">
      <c r="A9" s="108"/>
      <c r="B9" s="307">
        <v>5</v>
      </c>
      <c r="C9" s="308" t="str">
        <f>IFERROR(TEXT(INDEX(contents!W:W,MATCH(B9,contents!V:V,0),0),"m/d"),"")</f>
        <v>6/24</v>
      </c>
      <c r="D9" s="309" t="str">
        <f>IFERROR(TEXT(INDEX(contents!W:W,MATCH(B9,contents!V:V,0),0),"aaa"),"")</f>
        <v>월</v>
      </c>
      <c r="E9" s="309" t="str">
        <f>IF(INDEX('contents 추가정보'!D:D,MATCH(B9,'contents 추가정보'!A:A,0),0)=0,"",INDEX('contents 추가정보'!D:D,MATCH(B9,'contents 추가정보'!A:A,0),0))</f>
        <v>카드뉴스 드로잉</v>
      </c>
      <c r="F9" s="310">
        <f>IF(INDEX('contents 추가정보'!C:C,MATCH(B9,'contents 추가정보'!A:A,0),0)=0,"",INDEX('contents 추가정보'!C:C,MATCH(B9,'contents 추가정보'!A:A,0),0))</f>
        <v>555</v>
      </c>
      <c r="G9" s="311" t="str">
        <f>IF(INDEX('contents 추가정보'!E:E,MATCH(B9,'contents 추가정보'!A:A,0),0)=0,"",INDEX('contents 추가정보'!E:E,MATCH(B9,'contents 추가정보'!A:A,0),0))</f>
        <v>News</v>
      </c>
      <c r="H9" s="311">
        <f>IFERROR(INDEX(contents!J:J,MATCH(B9,contents!V:V,0),0),"")</f>
        <v>3793</v>
      </c>
      <c r="I9" s="311">
        <f>IFERROR(INDEX(contents!M:M,MATCH(B9,contents!V:V,0),0),"")</f>
        <v>181</v>
      </c>
      <c r="J9" s="312" t="str">
        <f>IFERROR(TEXT(INDEX(contents!N:N,MATCH(B9,contents!V:V,0),0),"0.00%"),"")</f>
        <v>4.77%</v>
      </c>
      <c r="K9" s="311">
        <f>IFERROR(INDEX(contents!O:O,MATCH(B9,contents!V:V,0),0),"")</f>
        <v>97</v>
      </c>
      <c r="L9" s="311">
        <f>IFERROR(INDEX(contents!P:P,MATCH(B9,contents!V:V,0),0),"")</f>
        <v>39</v>
      </c>
      <c r="M9" s="311">
        <f>IFERROR(INDEX(contents!Q:Q,MATCH(B9,contents!V:V,0),0),"")</f>
        <v>4</v>
      </c>
      <c r="N9" s="313">
        <f t="shared" si="0"/>
        <v>321</v>
      </c>
      <c r="O9" s="314" t="str">
        <f>IFERROR(TEXT(INDEX(contents!AC:AC,MATCH(B9,contents!V:V,0),0),"0.00%"),"")</f>
        <v>8.46%</v>
      </c>
      <c r="P9" s="108"/>
    </row>
    <row r="10" spans="1:16">
      <c r="A10" s="108"/>
      <c r="B10" s="315">
        <v>6</v>
      </c>
      <c r="C10" s="308" t="str">
        <f>IFERROR(TEXT(INDEX(contents!W:W,MATCH(B10,contents!V:V,0),0),"m/d"),"")</f>
        <v>6/27</v>
      </c>
      <c r="D10" s="309" t="str">
        <f>IFERROR(TEXT(INDEX(contents!W:W,MATCH(B10,contents!V:V,0),0),"aaa"),"")</f>
        <v>목</v>
      </c>
      <c r="E10" s="309" t="str">
        <f>IF(INDEX('contents 추가정보'!D:D,MATCH(B10,'contents 추가정보'!A:A,0),0)=0,"",INDEX('contents 추가정보'!D:D,MATCH(B10,'contents 추가정보'!A:A,0),0))</f>
        <v>카드뉴스 드로잉</v>
      </c>
      <c r="F10" s="310">
        <f>IF(INDEX('contents 추가정보'!C:C,MATCH(B10,'contents 추가정보'!A:A,0),0)=0,"",INDEX('contents 추가정보'!C:C,MATCH(B10,'contents 추가정보'!A:A,0),0))</f>
        <v>666</v>
      </c>
      <c r="G10" s="311" t="str">
        <f>IF(INDEX('contents 추가정보'!E:E,MATCH(B10,'contents 추가정보'!A:A,0),0)=0,"",INDEX('contents 추가정보'!E:E,MATCH(B10,'contents 추가정보'!A:A,0),0))</f>
        <v>News</v>
      </c>
      <c r="H10" s="311">
        <f>IFERROR(INDEX(contents!J:J,MATCH(B10,contents!V:V,0),0),"")</f>
        <v>10145</v>
      </c>
      <c r="I10" s="311">
        <f>IFERROR(INDEX(contents!M:M,MATCH(B10,contents!V:V,0),0),"")</f>
        <v>570</v>
      </c>
      <c r="J10" s="312" t="str">
        <f>IFERROR(TEXT(INDEX(contents!N:N,MATCH(B10,contents!V:V,0),0),"0.00%"),"")</f>
        <v>5.62%</v>
      </c>
      <c r="K10" s="311">
        <f>IFERROR(INDEX(contents!O:O,MATCH(B10,contents!V:V,0),0),"")</f>
        <v>213</v>
      </c>
      <c r="L10" s="311">
        <f>IFERROR(INDEX(contents!P:P,MATCH(B10,contents!V:V,0),0),"")</f>
        <v>7</v>
      </c>
      <c r="M10" s="311">
        <f>IFERROR(INDEX(contents!Q:Q,MATCH(B10,contents!V:V,0),0),"")</f>
        <v>16</v>
      </c>
      <c r="N10" s="313">
        <f t="shared" si="0"/>
        <v>806</v>
      </c>
      <c r="O10" s="314" t="str">
        <f>IFERROR(TEXT(INDEX(contents!AC:AC,MATCH(B10,contents!V:V,0),0),"0.00%"),"")</f>
        <v>7.94%</v>
      </c>
      <c r="P10" s="108"/>
    </row>
    <row r="11" spans="1:16">
      <c r="A11" s="108"/>
      <c r="B11" s="315">
        <v>7</v>
      </c>
      <c r="C11" s="308" t="str">
        <f>IFERROR(TEXT(INDEX(contents!W:W,MATCH(B11,contents!V:V,0),0),"m/d"),"")</f>
        <v>6/14</v>
      </c>
      <c r="D11" s="309" t="str">
        <f>IFERROR(TEXT(INDEX(contents!W:W,MATCH(B11,contents!V:V,0),0),"aaa"),"")</f>
        <v>금</v>
      </c>
      <c r="E11" s="309" t="str">
        <f>IF(INDEX('contents 추가정보'!D:D,MATCH(B11,'contents 추가정보'!A:A,0),0)=0,"",INDEX('contents 추가정보'!D:D,MATCH(B11,'contents 추가정보'!A:A,0),0))</f>
        <v>멀티 이미지</v>
      </c>
      <c r="F11" s="310">
        <f>IF(INDEX('contents 추가정보'!C:C,MATCH(B11,'contents 추가정보'!A:A,0),0)=0,"",INDEX('contents 추가정보'!C:C,MATCH(B11,'contents 추가정보'!A:A,0),0))</f>
        <v>777</v>
      </c>
      <c r="G11" s="311" t="str">
        <f>IF(INDEX('contents 추가정보'!E:E,MATCH(B11,'contents 추가정보'!A:A,0),0)=0,"",INDEX('contents 추가정보'!E:E,MATCH(B11,'contents 추가정보'!A:A,0),0))</f>
        <v>Professional</v>
      </c>
      <c r="H11" s="311">
        <f>IFERROR(INDEX(contents!J:J,MATCH(B11,contents!V:V,0),0),"")</f>
        <v>2063</v>
      </c>
      <c r="I11" s="311">
        <f>IFERROR(INDEX(contents!M:M,MATCH(B11,contents!V:V,0),0),"")</f>
        <v>61</v>
      </c>
      <c r="J11" s="312" t="str">
        <f>IFERROR(TEXT(INDEX(contents!N:N,MATCH(B11,contents!V:V,0),0),"0.00%"),"")</f>
        <v>2.96%</v>
      </c>
      <c r="K11" s="311">
        <f>IFERROR(INDEX(contents!O:O,MATCH(B11,contents!V:V,0),0),"")</f>
        <v>42</v>
      </c>
      <c r="L11" s="311">
        <f>IFERROR(INDEX(contents!P:P,MATCH(B11,contents!V:V,0),0),"")</f>
        <v>0</v>
      </c>
      <c r="M11" s="311">
        <f>IFERROR(INDEX(contents!Q:Q,MATCH(B11,contents!V:V,0),0),"")</f>
        <v>5</v>
      </c>
      <c r="N11" s="313">
        <f t="shared" si="0"/>
        <v>108</v>
      </c>
      <c r="O11" s="314" t="str">
        <f>IFERROR(TEXT(INDEX(contents!AC:AC,MATCH(B11,contents!V:V,0),0),"0.00%"),"")</f>
        <v>5.24%</v>
      </c>
      <c r="P11" s="108"/>
    </row>
    <row r="12" spans="1:16">
      <c r="A12" s="108"/>
      <c r="B12" s="315">
        <v>8</v>
      </c>
      <c r="C12" s="308" t="str">
        <f>IFERROR(TEXT(INDEX(contents!W:W,MATCH(B12,contents!V:V,0),0),"m/d"),"")</f>
        <v>6/26</v>
      </c>
      <c r="D12" s="309" t="str">
        <f>IFERROR(TEXT(INDEX(contents!W:W,MATCH(B12,contents!V:V,0),0),"aaa"),"")</f>
        <v>수</v>
      </c>
      <c r="E12" s="309" t="str">
        <f>IF(INDEX('contents 추가정보'!D:D,MATCH(B12,'contents 추가정보'!A:A,0),0)=0,"",INDEX('contents 추가정보'!D:D,MATCH(B12,'contents 추가정보'!A:A,0),0))</f>
        <v xml:space="preserve">단일 이미지 </v>
      </c>
      <c r="F12" s="310">
        <f>IF(INDEX('contents 추가정보'!C:C,MATCH(B12,'contents 추가정보'!A:A,0),0)=0,"",INDEX('contents 추가정보'!C:C,MATCH(B12,'contents 추가정보'!A:A,0),0))</f>
        <v>888</v>
      </c>
      <c r="G12" s="311" t="str">
        <f>IF(INDEX('contents 추가정보'!E:E,MATCH(B12,'contents 추가정보'!A:A,0),0)=0,"",INDEX('contents 추가정보'!E:E,MATCH(B12,'contents 추가정보'!A:A,0),0))</f>
        <v>Professional</v>
      </c>
      <c r="H12" s="311">
        <f>IFERROR(INDEX(contents!J:J,MATCH(B12,contents!V:V,0),0),"")</f>
        <v>1869</v>
      </c>
      <c r="I12" s="311">
        <f>IFERROR(INDEX(contents!M:M,MATCH(B12,contents!V:V,0),0),"")</f>
        <v>38</v>
      </c>
      <c r="J12" s="312" t="str">
        <f>IFERROR(TEXT(INDEX(contents!N:N,MATCH(B12,contents!V:V,0),0),"0.00%"),"")</f>
        <v>2.03%</v>
      </c>
      <c r="K12" s="311">
        <f>IFERROR(INDEX(contents!O:O,MATCH(B12,contents!V:V,0),0),"")</f>
        <v>52</v>
      </c>
      <c r="L12" s="311">
        <f>IFERROR(INDEX(contents!P:P,MATCH(B12,contents!V:V,0),0),"")</f>
        <v>0</v>
      </c>
      <c r="M12" s="311">
        <f>IFERROR(INDEX(contents!Q:Q,MATCH(B12,contents!V:V,0),0),"")</f>
        <v>3</v>
      </c>
      <c r="N12" s="313">
        <f t="shared" si="0"/>
        <v>93</v>
      </c>
      <c r="O12" s="314" t="str">
        <f>IFERROR(TEXT(INDEX(contents!AC:AC,MATCH(B12,contents!V:V,0),0),"0.00%"),"")</f>
        <v>4.98%</v>
      </c>
      <c r="P12" s="108"/>
    </row>
    <row r="13" spans="1:16">
      <c r="A13" s="108"/>
      <c r="B13" s="315">
        <v>9</v>
      </c>
      <c r="C13" s="308" t="str">
        <f>IFERROR(TEXT(INDEX(contents!W:W,MATCH(B13,contents!V:V,0),0),"m/d"),"")</f>
        <v>6/13</v>
      </c>
      <c r="D13" s="309" t="str">
        <f>IFERROR(TEXT(INDEX(contents!W:W,MATCH(B13,contents!V:V,0),0),"aaa"),"")</f>
        <v>목</v>
      </c>
      <c r="E13" s="309" t="str">
        <f>IF(INDEX('contents 추가정보'!D:D,MATCH(B13,'contents 추가정보'!A:A,0),0)=0,"",INDEX('contents 추가정보'!D:D,MATCH(B13,'contents 추가정보'!A:A,0),0))</f>
        <v>단일 이미지</v>
      </c>
      <c r="F13" s="310">
        <f>IF(INDEX('contents 추가정보'!C:C,MATCH(B13,'contents 추가정보'!A:A,0),0)=0,"",INDEX('contents 추가정보'!C:C,MATCH(B13,'contents 추가정보'!A:A,0),0))</f>
        <v>999</v>
      </c>
      <c r="G13" s="311" t="str">
        <f>IF(INDEX('contents 추가정보'!E:E,MATCH(B13,'contents 추가정보'!A:A,0),0)=0,"",INDEX('contents 추가정보'!E:E,MATCH(B13,'contents 추가정보'!A:A,0),0))</f>
        <v>Seasonal</v>
      </c>
      <c r="H13" s="311">
        <f>IFERROR(INDEX(contents!J:J,MATCH(B13,contents!V:V,0),0),"")</f>
        <v>1997</v>
      </c>
      <c r="I13" s="311">
        <f>IFERROR(INDEX(contents!M:M,MATCH(B13,contents!V:V,0),0),"")</f>
        <v>39</v>
      </c>
      <c r="J13" s="312" t="str">
        <f>IFERROR(TEXT(INDEX(contents!N:N,MATCH(B13,contents!V:V,0),0),"0.00%"),"")</f>
        <v>1.95%</v>
      </c>
      <c r="K13" s="311">
        <f>IFERROR(INDEX(contents!O:O,MATCH(B13,contents!V:V,0),0),"")</f>
        <v>56</v>
      </c>
      <c r="L13" s="311">
        <f>IFERROR(INDEX(contents!P:P,MATCH(B13,contents!V:V,0),0),"")</f>
        <v>0</v>
      </c>
      <c r="M13" s="311">
        <f>IFERROR(INDEX(contents!Q:Q,MATCH(B13,contents!V:V,0),0),"")</f>
        <v>4</v>
      </c>
      <c r="N13" s="313">
        <f t="shared" si="0"/>
        <v>99</v>
      </c>
      <c r="O13" s="314" t="str">
        <f>IFERROR(TEXT(INDEX(contents!AC:AC,MATCH(B13,contents!V:V,0),0),"0.00%"),"")</f>
        <v>4.96%</v>
      </c>
      <c r="P13" s="108"/>
    </row>
    <row r="14" spans="1:16">
      <c r="A14" s="108"/>
      <c r="B14" s="315">
        <v>10</v>
      </c>
      <c r="C14" s="308" t="str">
        <f>IFERROR(TEXT(INDEX(contents!W:W,MATCH(B14,contents!V:V,0),0),"m/d"),"")</f>
        <v>5/30</v>
      </c>
      <c r="D14" s="309" t="str">
        <f>IFERROR(TEXT(INDEX(contents!W:W,MATCH(B14,contents!V:V,0),0),"aaa"),"")</f>
        <v>목</v>
      </c>
      <c r="E14" s="309" t="str">
        <f>IF(INDEX('contents 추가정보'!D:D,MATCH(B14,'contents 추가정보'!A:A,0),0)=0,"",INDEX('contents 추가정보'!D:D,MATCH(B14,'contents 추가정보'!A:A,0),0))</f>
        <v>단일 이미지</v>
      </c>
      <c r="F14" s="310">
        <f>IF(INDEX('contents 추가정보'!C:C,MATCH(B14,'contents 추가정보'!A:A,0),0)=0,"",INDEX('contents 추가정보'!C:C,MATCH(B14,'contents 추가정보'!A:A,0),0))</f>
        <v>11111</v>
      </c>
      <c r="G14" s="311" t="str">
        <f>IF(INDEX('contents 추가정보'!E:E,MATCH(B14,'contents 추가정보'!A:A,0),0)=0,"",INDEX('contents 추가정보'!E:E,MATCH(B14,'contents 추가정보'!A:A,0),0))</f>
        <v>Professional</v>
      </c>
      <c r="H14" s="311">
        <f>IFERROR(INDEX(contents!J:J,MATCH(B14,contents!V:V,0),0),"")</f>
        <v>2333</v>
      </c>
      <c r="I14" s="311">
        <f>IFERROR(INDEX(contents!M:M,MATCH(B14,contents!V:V,0),0),"")</f>
        <v>57</v>
      </c>
      <c r="J14" s="312" t="str">
        <f>IFERROR(TEXT(INDEX(contents!N:N,MATCH(B14,contents!V:V,0),0),"0.00%"),"")</f>
        <v>2.44%</v>
      </c>
      <c r="K14" s="311">
        <f>IFERROR(INDEX(contents!O:O,MATCH(B14,contents!V:V,0),0),"")</f>
        <v>51</v>
      </c>
      <c r="L14" s="311">
        <f>IFERROR(INDEX(contents!P:P,MATCH(B14,contents!V:V,0),0),"")</f>
        <v>0</v>
      </c>
      <c r="M14" s="311">
        <f>IFERROR(INDEX(contents!Q:Q,MATCH(B14,contents!V:V,0),0),"")</f>
        <v>5</v>
      </c>
      <c r="N14" s="313">
        <f t="shared" si="0"/>
        <v>113</v>
      </c>
      <c r="O14" s="314" t="str">
        <f>IFERROR(TEXT(INDEX(contents!AC:AC,MATCH(B14,contents!V:V,0),0),"0.00%"),"")</f>
        <v>4.84%</v>
      </c>
      <c r="P14" s="108"/>
    </row>
    <row r="15" spans="1:16">
      <c r="A15" s="108"/>
      <c r="B15" s="315">
        <v>11</v>
      </c>
      <c r="C15" s="308" t="str">
        <f>IFERROR(TEXT(INDEX(contents!W:W,MATCH(B15,contents!V:V,0),0),"m/d"),"")</f>
        <v>6/21</v>
      </c>
      <c r="D15" s="309" t="str">
        <f>IFERROR(TEXT(INDEX(contents!W:W,MATCH(B15,contents!V:V,0),0),"aaa"),"")</f>
        <v>금</v>
      </c>
      <c r="E15" s="309" t="str">
        <f>IF(INDEX('contents 추가정보'!D:D,MATCH(B15,'contents 추가정보'!A:A,0),0)=0,"",INDEX('contents 추가정보'!D:D,MATCH(B15,'contents 추가정보'!A:A,0),0))</f>
        <v>단일 이미지</v>
      </c>
      <c r="F15" s="310">
        <f>IF(INDEX('contents 추가정보'!C:C,MATCH(B15,'contents 추가정보'!A:A,0),0)=0,"",INDEX('contents 추가정보'!C:C,MATCH(B15,'contents 추가정보'!A:A,0),0))</f>
        <v>22222</v>
      </c>
      <c r="G15" s="311" t="str">
        <f>IF(INDEX('contents 추가정보'!E:E,MATCH(B15,'contents 추가정보'!A:A,0),0)=0,"",INDEX('contents 추가정보'!E:E,MATCH(B15,'contents 추가정보'!A:A,0),0))</f>
        <v>News</v>
      </c>
      <c r="H15" s="311">
        <f>IFERROR(INDEX(contents!J:J,MATCH(B15,contents!V:V,0),0),"")</f>
        <v>3627</v>
      </c>
      <c r="I15" s="311">
        <f>IFERROR(INDEX(contents!M:M,MATCH(B15,contents!V:V,0),0),"")</f>
        <v>79</v>
      </c>
      <c r="J15" s="312" t="str">
        <f>IFERROR(TEXT(INDEX(contents!N:N,MATCH(B15,contents!V:V,0),0),"0.00%"),"")</f>
        <v>2.18%</v>
      </c>
      <c r="K15" s="311">
        <f>IFERROR(INDEX(contents!O:O,MATCH(B15,contents!V:V,0),0),"")</f>
        <v>44</v>
      </c>
      <c r="L15" s="311">
        <f>IFERROR(INDEX(contents!P:P,MATCH(B15,contents!V:V,0),0),"")</f>
        <v>0</v>
      </c>
      <c r="M15" s="311">
        <f>IFERROR(INDEX(contents!Q:Q,MATCH(B15,contents!V:V,0),0),"")</f>
        <v>10</v>
      </c>
      <c r="N15" s="313">
        <f t="shared" si="0"/>
        <v>133</v>
      </c>
      <c r="O15" s="314" t="str">
        <f>IFERROR(TEXT(INDEX(contents!AC:AC,MATCH(B15,contents!V:V,0),0),"0.00%"),"")</f>
        <v>3.67%</v>
      </c>
      <c r="P15" s="108"/>
    </row>
    <row r="16" spans="1:16">
      <c r="A16" s="108"/>
      <c r="B16" s="315">
        <v>12</v>
      </c>
      <c r="C16" s="308" t="str">
        <f>IFERROR(TEXT(INDEX(contents!W:W,MATCH(B16,contents!V:V,0),0),"m/d"),"")</f>
        <v>6/17</v>
      </c>
      <c r="D16" s="309" t="str">
        <f>IFERROR(TEXT(INDEX(contents!W:W,MATCH(B16,contents!V:V,0),0),"aaa"),"")</f>
        <v>월</v>
      </c>
      <c r="E16" s="309" t="str">
        <f>IF(INDEX('contents 추가정보'!D:D,MATCH(B16,'contents 추가정보'!A:A,0),0)=0,"",INDEX('contents 추가정보'!D:D,MATCH(B16,'contents 추가정보'!A:A,0),0))</f>
        <v>단일 이미지</v>
      </c>
      <c r="F16" s="310">
        <f>IF(INDEX('contents 추가정보'!C:C,MATCH(B16,'contents 추가정보'!A:A,0),0)=0,"",INDEX('contents 추가정보'!C:C,MATCH(B16,'contents 추가정보'!A:A,0),0))</f>
        <v>33333</v>
      </c>
      <c r="G16" s="311" t="str">
        <f>IF(INDEX('contents 추가정보'!E:E,MATCH(B16,'contents 추가정보'!A:A,0),0)=0,"",INDEX('contents 추가정보'!E:E,MATCH(B16,'contents 추가정보'!A:A,0),0))</f>
        <v>Seasonal</v>
      </c>
      <c r="H16" s="311">
        <f>IFERROR(INDEX(contents!J:J,MATCH(B16,contents!V:V,0),0),"")</f>
        <v>4171</v>
      </c>
      <c r="I16" s="311">
        <f>IFERROR(INDEX(contents!M:M,MATCH(B16,contents!V:V,0),0),"")</f>
        <v>116</v>
      </c>
      <c r="J16" s="312" t="str">
        <f>IFERROR(TEXT(INDEX(contents!N:N,MATCH(B16,contents!V:V,0),0),"0.00%"),"")</f>
        <v>2.78%</v>
      </c>
      <c r="K16" s="311">
        <f>IFERROR(INDEX(contents!O:O,MATCH(B16,contents!V:V,0),0),"")</f>
        <v>21</v>
      </c>
      <c r="L16" s="311">
        <f>IFERROR(INDEX(contents!P:P,MATCH(B16,contents!V:V,0),0),"")</f>
        <v>1</v>
      </c>
      <c r="M16" s="311">
        <f>IFERROR(INDEX(contents!Q:Q,MATCH(B16,contents!V:V,0),0),"")</f>
        <v>0</v>
      </c>
      <c r="N16" s="313">
        <f t="shared" si="0"/>
        <v>138</v>
      </c>
      <c r="O16" s="314" t="str">
        <f>IFERROR(TEXT(INDEX(contents!AC:AC,MATCH(B16,contents!V:V,0),0),"0.00%"),"")</f>
        <v>3.31%</v>
      </c>
      <c r="P16" s="108"/>
    </row>
    <row r="17" spans="1:16">
      <c r="A17" s="108"/>
      <c r="B17" s="315">
        <v>13</v>
      </c>
      <c r="C17" s="308" t="str">
        <f>IFERROR(TEXT(INDEX(contents!W:W,MATCH(B17,contents!V:V,0),0),"m/d"),"")</f>
        <v/>
      </c>
      <c r="D17" s="309" t="str">
        <f>IFERROR(TEXT(INDEX(contents!W:W,MATCH(B17,contents!V:V,0),0),"aaa"),"")</f>
        <v/>
      </c>
      <c r="E17" s="309" t="str">
        <f>IF(INDEX('contents 추가정보'!D:D,MATCH(B17,'contents 추가정보'!A:A,0),0)=0,"",INDEX('contents 추가정보'!D:D,MATCH(B17,'contents 추가정보'!A:A,0),0))</f>
        <v/>
      </c>
      <c r="F17" s="310" t="str">
        <f>IF(INDEX('contents 추가정보'!C:C,MATCH(B17,'contents 추가정보'!A:A,0),0)=0,"",INDEX('contents 추가정보'!C:C,MATCH(B17,'contents 추가정보'!A:A,0),0))</f>
        <v/>
      </c>
      <c r="G17" s="311" t="str">
        <f>IF(INDEX('contents 추가정보'!E:E,MATCH(B17,'contents 추가정보'!A:A,0),0)=0,"",INDEX('contents 추가정보'!E:E,MATCH(B17,'contents 추가정보'!A:A,0),0))</f>
        <v/>
      </c>
      <c r="H17" s="311" t="str">
        <f>IFERROR(INDEX(contents!J:J,MATCH(B17,contents!V:V,0),0),"")</f>
        <v/>
      </c>
      <c r="I17" s="311" t="str">
        <f>IFERROR(INDEX(contents!M:M,MATCH(B17,contents!V:V,0),0),"")</f>
        <v/>
      </c>
      <c r="J17" s="312" t="str">
        <f>IFERROR(TEXT(INDEX(contents!N:N,MATCH(B17,contents!V:V,0),0),"0.00%"),"")</f>
        <v/>
      </c>
      <c r="K17" s="311" t="str">
        <f>IFERROR(INDEX(contents!O:O,MATCH(B17,contents!V:V,0),0),"")</f>
        <v/>
      </c>
      <c r="L17" s="311" t="str">
        <f>IFERROR(INDEX(contents!P:P,MATCH(B17,contents!V:V,0),0),"")</f>
        <v/>
      </c>
      <c r="M17" s="311" t="str">
        <f>IFERROR(INDEX(contents!Q:Q,MATCH(B17,contents!V:V,0),0),"")</f>
        <v/>
      </c>
      <c r="N17" s="313" t="str">
        <f t="shared" si="0"/>
        <v/>
      </c>
      <c r="O17" s="314" t="str">
        <f>IFERROR(TEXT(INDEX(contents!AC:AC,MATCH(B17,contents!V:V,0),0),"0.00%"),"")</f>
        <v/>
      </c>
      <c r="P17" s="108"/>
    </row>
    <row r="18" spans="1:16">
      <c r="A18" s="108"/>
      <c r="B18" s="315">
        <v>14</v>
      </c>
      <c r="C18" s="308" t="str">
        <f>IFERROR(TEXT(INDEX(contents!W:W,MATCH(B18,contents!V:V,0),0),"m/d"),"")</f>
        <v/>
      </c>
      <c r="D18" s="309" t="str">
        <f>IFERROR(TEXT(INDEX(contents!W:W,MATCH(B18,contents!V:V,0),0),"aaa"),"")</f>
        <v/>
      </c>
      <c r="E18" s="309" t="str">
        <f>IF(INDEX('contents 추가정보'!D:D,MATCH(B18,'contents 추가정보'!A:A,0),0)=0,"",INDEX('contents 추가정보'!D:D,MATCH(B18,'contents 추가정보'!A:A,0),0))</f>
        <v/>
      </c>
      <c r="F18" s="310" t="str">
        <f>IF(INDEX('contents 추가정보'!C:C,MATCH(B18,'contents 추가정보'!A:A,0),0)=0,"",INDEX('contents 추가정보'!C:C,MATCH(B18,'contents 추가정보'!A:A,0),0))</f>
        <v/>
      </c>
      <c r="G18" s="311" t="str">
        <f>IF(INDEX('contents 추가정보'!E:E,MATCH(B18,'contents 추가정보'!A:A,0),0)=0,"",INDEX('contents 추가정보'!E:E,MATCH(B18,'contents 추가정보'!A:A,0),0))</f>
        <v/>
      </c>
      <c r="H18" s="311" t="str">
        <f>IFERROR(INDEX(contents!J:J,MATCH(B18,contents!V:V,0),0),"")</f>
        <v/>
      </c>
      <c r="I18" s="311" t="str">
        <f>IFERROR(INDEX(contents!M:M,MATCH(B18,contents!V:V,0),0),"")</f>
        <v/>
      </c>
      <c r="J18" s="312" t="str">
        <f>IFERROR(TEXT(INDEX(contents!N:N,MATCH(B18,contents!V:V,0),0),"0.00%"),"")</f>
        <v/>
      </c>
      <c r="K18" s="311" t="str">
        <f>IFERROR(INDEX(contents!O:O,MATCH(B18,contents!V:V,0),0),"")</f>
        <v/>
      </c>
      <c r="L18" s="311" t="str">
        <f>IFERROR(INDEX(contents!P:P,MATCH(B18,contents!V:V,0),0),"")</f>
        <v/>
      </c>
      <c r="M18" s="311" t="str">
        <f>IFERROR(INDEX(contents!Q:Q,MATCH(B18,contents!V:V,0),0),"")</f>
        <v/>
      </c>
      <c r="N18" s="313" t="str">
        <f t="shared" si="0"/>
        <v/>
      </c>
      <c r="O18" s="314" t="str">
        <f>IFERROR(TEXT(INDEX(contents!AC:AC,MATCH(B18,contents!V:V,0),0),"0.00%"),"")</f>
        <v/>
      </c>
      <c r="P18" s="108"/>
    </row>
    <row r="19" spans="1:16">
      <c r="A19" s="108"/>
      <c r="B19" s="315">
        <v>15</v>
      </c>
      <c r="C19" s="308" t="str">
        <f>IFERROR(TEXT(INDEX(contents!W:W,MATCH(B19,contents!V:V,0),0),"m/d"),"")</f>
        <v/>
      </c>
      <c r="D19" s="309" t="str">
        <f>IFERROR(TEXT(INDEX(contents!W:W,MATCH(B19,contents!V:V,0),0),"aaa"),"")</f>
        <v/>
      </c>
      <c r="E19" s="309" t="str">
        <f>IF(INDEX('contents 추가정보'!D:D,MATCH(B19,'contents 추가정보'!A:A,0),0)=0,"",INDEX('contents 추가정보'!D:D,MATCH(B19,'contents 추가정보'!A:A,0),0))</f>
        <v/>
      </c>
      <c r="F19" s="310" t="str">
        <f>IF(INDEX('contents 추가정보'!C:C,MATCH(B19,'contents 추가정보'!A:A,0),0)=0,"",INDEX('contents 추가정보'!C:C,MATCH(B19,'contents 추가정보'!A:A,0),0))</f>
        <v/>
      </c>
      <c r="G19" s="311" t="str">
        <f>IF(INDEX('contents 추가정보'!E:E,MATCH(B19,'contents 추가정보'!A:A,0),0)=0,"",INDEX('contents 추가정보'!E:E,MATCH(B19,'contents 추가정보'!A:A,0),0))</f>
        <v/>
      </c>
      <c r="H19" s="311" t="str">
        <f>IFERROR(INDEX(contents!J:J,MATCH(B19,contents!V:V,0),0),"")</f>
        <v/>
      </c>
      <c r="I19" s="311" t="str">
        <f>IFERROR(INDEX(contents!M:M,MATCH(B19,contents!V:V,0),0),"")</f>
        <v/>
      </c>
      <c r="J19" s="312" t="str">
        <f>IFERROR(TEXT(INDEX(contents!N:N,MATCH(B19,contents!V:V,0),0),"0.00%"),"")</f>
        <v/>
      </c>
      <c r="K19" s="311" t="str">
        <f>IFERROR(INDEX(contents!O:O,MATCH(B19,contents!V:V,0),0),"")</f>
        <v/>
      </c>
      <c r="L19" s="311" t="str">
        <f>IFERROR(INDEX(contents!P:P,MATCH(B19,contents!V:V,0),0),"")</f>
        <v/>
      </c>
      <c r="M19" s="311" t="str">
        <f>IFERROR(INDEX(contents!Q:Q,MATCH(B19,contents!V:V,0),0),"")</f>
        <v/>
      </c>
      <c r="N19" s="313" t="str">
        <f t="shared" si="0"/>
        <v/>
      </c>
      <c r="O19" s="314" t="str">
        <f>IFERROR(TEXT(INDEX(contents!AC:AC,MATCH(B19,contents!V:V,0),0),"0.00%"),"")</f>
        <v/>
      </c>
      <c r="P19" s="108"/>
    </row>
    <row r="20" spans="1:16">
      <c r="A20" s="108"/>
      <c r="B20" s="315">
        <v>16</v>
      </c>
      <c r="C20" s="308" t="str">
        <f>IFERROR(TEXT(INDEX(contents!W:W,MATCH(B20,contents!V:V,0),0),"m/d"),"")</f>
        <v/>
      </c>
      <c r="D20" s="309" t="str">
        <f>IFERROR(TEXT(INDEX(contents!W:W,MATCH(B20,contents!V:V,0),0),"aaa"),"")</f>
        <v/>
      </c>
      <c r="E20" s="309" t="str">
        <f>IF(INDEX('contents 추가정보'!D:D,MATCH(B20,'contents 추가정보'!A:A,0),0)=0,"",INDEX('contents 추가정보'!D:D,MATCH(B20,'contents 추가정보'!A:A,0),0))</f>
        <v/>
      </c>
      <c r="F20" s="310" t="str">
        <f>IF(INDEX('contents 추가정보'!C:C,MATCH(B20,'contents 추가정보'!A:A,0),0)=0,"",INDEX('contents 추가정보'!C:C,MATCH(B20,'contents 추가정보'!A:A,0),0))</f>
        <v/>
      </c>
      <c r="G20" s="311" t="str">
        <f>IF(INDEX('contents 추가정보'!E:E,MATCH(B20,'contents 추가정보'!A:A,0),0)=0,"",INDEX('contents 추가정보'!E:E,MATCH(B20,'contents 추가정보'!A:A,0),0))</f>
        <v/>
      </c>
      <c r="H20" s="311" t="str">
        <f>IFERROR(INDEX(contents!J:J,MATCH(B20,contents!V:V,0),0),"")</f>
        <v/>
      </c>
      <c r="I20" s="311" t="str">
        <f>IFERROR(INDEX(contents!M:M,MATCH(B20,contents!V:V,0),0),"")</f>
        <v/>
      </c>
      <c r="J20" s="312" t="str">
        <f>IFERROR(TEXT(INDEX(contents!N:N,MATCH(B20,contents!V:V,0),0),"0.00%"),"")</f>
        <v/>
      </c>
      <c r="K20" s="311" t="str">
        <f>IFERROR(INDEX(contents!O:O,MATCH(B20,contents!V:V,0),0),"")</f>
        <v/>
      </c>
      <c r="L20" s="311" t="str">
        <f>IFERROR(INDEX(contents!P:P,MATCH(B20,contents!V:V,0),0),"")</f>
        <v/>
      </c>
      <c r="M20" s="311" t="str">
        <f>IFERROR(INDEX(contents!Q:Q,MATCH(B20,contents!V:V,0),0),"")</f>
        <v/>
      </c>
      <c r="N20" s="313" t="str">
        <f t="shared" si="0"/>
        <v/>
      </c>
      <c r="O20" s="314" t="str">
        <f>IFERROR(TEXT(INDEX(contents!AC:AC,MATCH(B20,contents!V:V,0),0),"0.00%"),"")</f>
        <v/>
      </c>
      <c r="P20" s="108"/>
    </row>
    <row r="21" spans="1:16">
      <c r="A21" s="108"/>
      <c r="B21" s="315">
        <v>17</v>
      </c>
      <c r="C21" s="308" t="str">
        <f>IFERROR(TEXT(INDEX(contents!W:W,MATCH(B21,contents!V:V,0),0),"m/d"),"")</f>
        <v/>
      </c>
      <c r="D21" s="309" t="str">
        <f>IFERROR(TEXT(INDEX(contents!W:W,MATCH(B21,contents!V:V,0),0),"aaa"),"")</f>
        <v/>
      </c>
      <c r="E21" s="309" t="str">
        <f>IF(INDEX('contents 추가정보'!D:D,MATCH(B21,'contents 추가정보'!A:A,0),0)=0,"",INDEX('contents 추가정보'!D:D,MATCH(B21,'contents 추가정보'!A:A,0),0))</f>
        <v/>
      </c>
      <c r="F21" s="310" t="str">
        <f>IF(INDEX('contents 추가정보'!C:C,MATCH(B21,'contents 추가정보'!A:A,0),0)=0,"",INDEX('contents 추가정보'!C:C,MATCH(B21,'contents 추가정보'!A:A,0),0))</f>
        <v/>
      </c>
      <c r="G21" s="311" t="str">
        <f>IF(INDEX('contents 추가정보'!E:E,MATCH(B21,'contents 추가정보'!A:A,0),0)=0,"",INDEX('contents 추가정보'!E:E,MATCH(B21,'contents 추가정보'!A:A,0),0))</f>
        <v/>
      </c>
      <c r="H21" s="311" t="str">
        <f>IFERROR(INDEX(contents!J:J,MATCH(B21,contents!V:V,0),0),"")</f>
        <v/>
      </c>
      <c r="I21" s="311" t="str">
        <f>IFERROR(INDEX(contents!M:M,MATCH(B21,contents!V:V,0),0),"")</f>
        <v/>
      </c>
      <c r="J21" s="312" t="str">
        <f>IFERROR(TEXT(INDEX(contents!N:N,MATCH(B21,contents!V:V,0),0),"0.00%"),"")</f>
        <v/>
      </c>
      <c r="K21" s="311" t="str">
        <f>IFERROR(INDEX(contents!O:O,MATCH(B21,contents!V:V,0),0),"")</f>
        <v/>
      </c>
      <c r="L21" s="311" t="str">
        <f>IFERROR(INDEX(contents!P:P,MATCH(B21,contents!V:V,0),0),"")</f>
        <v/>
      </c>
      <c r="M21" s="311" t="str">
        <f>IFERROR(INDEX(contents!Q:Q,MATCH(B21,contents!V:V,0),0),"")</f>
        <v/>
      </c>
      <c r="N21" s="313" t="str">
        <f t="shared" si="0"/>
        <v/>
      </c>
      <c r="O21" s="314" t="str">
        <f>IFERROR(TEXT(INDEX(contents!AC:AC,MATCH(B21,contents!V:V,0),0),"0.00%"),"")</f>
        <v/>
      </c>
      <c r="P21" s="108"/>
    </row>
    <row r="22" spans="1:16">
      <c r="A22" s="108"/>
      <c r="B22" s="315">
        <v>18</v>
      </c>
      <c r="C22" s="308" t="str">
        <f>IFERROR(TEXT(INDEX(contents!W:W,MATCH(B22,contents!V:V,0),0),"m/d"),"")</f>
        <v/>
      </c>
      <c r="D22" s="309" t="str">
        <f>IFERROR(TEXT(INDEX(contents!W:W,MATCH(B22,contents!V:V,0),0),"aaa"),"")</f>
        <v/>
      </c>
      <c r="E22" s="309" t="str">
        <f>IF(INDEX('contents 추가정보'!D:D,MATCH(B22,'contents 추가정보'!A:A,0),0)=0,"",INDEX('contents 추가정보'!D:D,MATCH(B22,'contents 추가정보'!A:A,0),0))</f>
        <v/>
      </c>
      <c r="F22" s="310" t="str">
        <f>IF(INDEX('contents 추가정보'!C:C,MATCH(B22,'contents 추가정보'!A:A,0),0)=0,"",INDEX('contents 추가정보'!C:C,MATCH(B22,'contents 추가정보'!A:A,0),0))</f>
        <v/>
      </c>
      <c r="G22" s="311" t="str">
        <f>IF(INDEX('contents 추가정보'!E:E,MATCH(B22,'contents 추가정보'!A:A,0),0)=0,"",INDEX('contents 추가정보'!E:E,MATCH(B22,'contents 추가정보'!A:A,0),0))</f>
        <v/>
      </c>
      <c r="H22" s="311" t="str">
        <f>IFERROR(INDEX(contents!J:J,MATCH(B22,contents!V:V,0),0),"")</f>
        <v/>
      </c>
      <c r="I22" s="311" t="str">
        <f>IFERROR(INDEX(contents!M:M,MATCH(B22,contents!V:V,0),0),"")</f>
        <v/>
      </c>
      <c r="J22" s="312" t="str">
        <f>IFERROR(TEXT(INDEX(contents!N:N,MATCH(B22,contents!V:V,0),0),"0.00%"),"")</f>
        <v/>
      </c>
      <c r="K22" s="311" t="str">
        <f>IFERROR(INDEX(contents!O:O,MATCH(B22,contents!V:V,0),0),"")</f>
        <v/>
      </c>
      <c r="L22" s="311" t="str">
        <f>IFERROR(INDEX(contents!P:P,MATCH(B22,contents!V:V,0),0),"")</f>
        <v/>
      </c>
      <c r="M22" s="311" t="str">
        <f>IFERROR(INDEX(contents!Q:Q,MATCH(B22,contents!V:V,0),0),"")</f>
        <v/>
      </c>
      <c r="N22" s="313" t="str">
        <f t="shared" si="0"/>
        <v/>
      </c>
      <c r="O22" s="314" t="str">
        <f>IFERROR(TEXT(INDEX(contents!AC:AC,MATCH(B22,contents!V:V,0),0),"0.00%"),"")</f>
        <v/>
      </c>
      <c r="P22" s="108"/>
    </row>
    <row r="23" spans="1:16">
      <c r="A23" s="108"/>
      <c r="B23" s="315">
        <v>19</v>
      </c>
      <c r="C23" s="308" t="str">
        <f>IFERROR(TEXT(INDEX(contents!W:W,MATCH(B23,contents!V:V,0),0),"m/d"),"")</f>
        <v/>
      </c>
      <c r="D23" s="309" t="str">
        <f>IFERROR(TEXT(INDEX(contents!W:W,MATCH(B23,contents!V:V,0),0),"aaa"),"")</f>
        <v/>
      </c>
      <c r="E23" s="309" t="str">
        <f>IF(INDEX('contents 추가정보'!D:D,MATCH(B23,'contents 추가정보'!A:A,0),0)=0,"",INDEX('contents 추가정보'!D:D,MATCH(B23,'contents 추가정보'!A:A,0),0))</f>
        <v/>
      </c>
      <c r="F23" s="310" t="str">
        <f>IF(INDEX('contents 추가정보'!C:C,MATCH(B23,'contents 추가정보'!A:A,0),0)=0,"",INDEX('contents 추가정보'!C:C,MATCH(B23,'contents 추가정보'!A:A,0),0))</f>
        <v/>
      </c>
      <c r="G23" s="311" t="str">
        <f>IF(INDEX('contents 추가정보'!E:E,MATCH(B23,'contents 추가정보'!A:A,0),0)=0,"",INDEX('contents 추가정보'!E:E,MATCH(B23,'contents 추가정보'!A:A,0),0))</f>
        <v/>
      </c>
      <c r="H23" s="311" t="str">
        <f>IFERROR(INDEX(contents!J:J,MATCH(B23,contents!V:V,0),0),"")</f>
        <v/>
      </c>
      <c r="I23" s="311" t="str">
        <f>IFERROR(INDEX(contents!M:M,MATCH(B23,contents!V:V,0),0),"")</f>
        <v/>
      </c>
      <c r="J23" s="312" t="str">
        <f>IFERROR(TEXT(INDEX(contents!N:N,MATCH(B23,contents!V:V,0),0),"0.00%"),"")</f>
        <v/>
      </c>
      <c r="K23" s="311" t="str">
        <f>IFERROR(INDEX(contents!O:O,MATCH(B23,contents!V:V,0),0),"")</f>
        <v/>
      </c>
      <c r="L23" s="311" t="str">
        <f>IFERROR(INDEX(contents!P:P,MATCH(B23,contents!V:V,0),0),"")</f>
        <v/>
      </c>
      <c r="M23" s="311" t="str">
        <f>IFERROR(INDEX(contents!Q:Q,MATCH(B23,contents!V:V,0),0),"")</f>
        <v/>
      </c>
      <c r="N23" s="313" t="str">
        <f t="shared" si="0"/>
        <v/>
      </c>
      <c r="O23" s="314" t="str">
        <f>IFERROR(TEXT(INDEX(contents!AC:AC,MATCH(B23,contents!V:V,0),0),"0.00%"),"")</f>
        <v/>
      </c>
      <c r="P23" s="108"/>
    </row>
    <row r="24" spans="1:16">
      <c r="A24" s="108"/>
      <c r="B24" s="315">
        <v>20</v>
      </c>
      <c r="C24" s="308" t="str">
        <f>IFERROR(TEXT(INDEX(contents!W:W,MATCH(B24,contents!V:V,0),0),"m/d"),"")</f>
        <v/>
      </c>
      <c r="D24" s="309" t="str">
        <f>IFERROR(TEXT(INDEX(contents!W:W,MATCH(B24,contents!V:V,0),0),"aaa"),"")</f>
        <v/>
      </c>
      <c r="E24" s="309" t="str">
        <f>IF(INDEX('contents 추가정보'!D:D,MATCH(B24,'contents 추가정보'!A:A,0),0)=0,"",INDEX('contents 추가정보'!D:D,MATCH(B24,'contents 추가정보'!A:A,0),0))</f>
        <v/>
      </c>
      <c r="F24" s="310" t="str">
        <f>IF(INDEX('contents 추가정보'!C:C,MATCH(B24,'contents 추가정보'!A:A,0),0)=0,"",INDEX('contents 추가정보'!C:C,MATCH(B24,'contents 추가정보'!A:A,0),0))</f>
        <v/>
      </c>
      <c r="G24" s="311" t="str">
        <f>IF(INDEX('contents 추가정보'!E:E,MATCH(B24,'contents 추가정보'!A:A,0),0)=0,"",INDEX('contents 추가정보'!E:E,MATCH(B24,'contents 추가정보'!A:A,0),0))</f>
        <v/>
      </c>
      <c r="H24" s="311" t="str">
        <f>IFERROR(INDEX(contents!J:J,MATCH(B24,contents!V:V,0),0),"")</f>
        <v/>
      </c>
      <c r="I24" s="311" t="str">
        <f>IFERROR(INDEX(contents!M:M,MATCH(B24,contents!V:V,0),0),"")</f>
        <v/>
      </c>
      <c r="J24" s="312" t="str">
        <f>IFERROR(TEXT(INDEX(contents!N:N,MATCH(B24,contents!V:V,0),0),"0.00%"),"")</f>
        <v/>
      </c>
      <c r="K24" s="311" t="str">
        <f>IFERROR(INDEX(contents!O:O,MATCH(B24,contents!V:V,0),0),"")</f>
        <v/>
      </c>
      <c r="L24" s="311" t="str">
        <f>IFERROR(INDEX(contents!P:P,MATCH(B24,contents!V:V,0),0),"")</f>
        <v/>
      </c>
      <c r="M24" s="311" t="str">
        <f>IFERROR(INDEX(contents!Q:Q,MATCH(B24,contents!V:V,0),0),"")</f>
        <v/>
      </c>
      <c r="N24" s="313" t="str">
        <f t="shared" si="0"/>
        <v/>
      </c>
      <c r="O24" s="314" t="str">
        <f>IFERROR(TEXT(INDEX(contents!AC:AC,MATCH(B24,contents!V:V,0),0),"0.00%"),"")</f>
        <v/>
      </c>
      <c r="P24" s="108"/>
    </row>
    <row r="25" spans="1:16">
      <c r="A25" s="108"/>
      <c r="B25" s="315">
        <v>21</v>
      </c>
      <c r="C25" s="308" t="str">
        <f>IFERROR(TEXT(INDEX(contents!W:W,MATCH(B25,contents!V:V,0),0),"m/d"),"")</f>
        <v/>
      </c>
      <c r="D25" s="309" t="str">
        <f>IFERROR(TEXT(INDEX(contents!W:W,MATCH(B25,contents!V:V,0),0),"aaa"),"")</f>
        <v/>
      </c>
      <c r="E25" s="309" t="str">
        <f>IF(INDEX('contents 추가정보'!D:D,MATCH(B25,'contents 추가정보'!A:A,0),0)=0,"",INDEX('contents 추가정보'!D:D,MATCH(B25,'contents 추가정보'!A:A,0),0))</f>
        <v/>
      </c>
      <c r="F25" s="310" t="str">
        <f>IF(INDEX('contents 추가정보'!C:C,MATCH(B25,'contents 추가정보'!A:A,0),0)=0,"",INDEX('contents 추가정보'!C:C,MATCH(B25,'contents 추가정보'!A:A,0),0))</f>
        <v/>
      </c>
      <c r="G25" s="311" t="str">
        <f>IF(INDEX('contents 추가정보'!E:E,MATCH(B25,'contents 추가정보'!A:A,0),0)=0,"",INDEX('contents 추가정보'!E:E,MATCH(B25,'contents 추가정보'!A:A,0),0))</f>
        <v/>
      </c>
      <c r="H25" s="311" t="str">
        <f>IFERROR(INDEX(contents!J:J,MATCH(B25,contents!V:V,0),0),"")</f>
        <v/>
      </c>
      <c r="I25" s="311" t="str">
        <f>IFERROR(INDEX(contents!M:M,MATCH(B25,contents!V:V,0),0),"")</f>
        <v/>
      </c>
      <c r="J25" s="312" t="str">
        <f>IFERROR(TEXT(INDEX(contents!N:N,MATCH(B25,contents!V:V,0),0),"0.00%"),"")</f>
        <v/>
      </c>
      <c r="K25" s="311" t="str">
        <f>IFERROR(INDEX(contents!O:O,MATCH(B25,contents!V:V,0),0),"")</f>
        <v/>
      </c>
      <c r="L25" s="311" t="str">
        <f>IFERROR(INDEX(contents!P:P,MATCH(B25,contents!V:V,0),0),"")</f>
        <v/>
      </c>
      <c r="M25" s="311" t="str">
        <f>IFERROR(INDEX(contents!Q:Q,MATCH(B25,contents!V:V,0),0),"")</f>
        <v/>
      </c>
      <c r="N25" s="313" t="str">
        <f t="shared" si="0"/>
        <v/>
      </c>
      <c r="O25" s="314" t="str">
        <f>IFERROR(TEXT(INDEX(contents!AC:AC,MATCH(B25,contents!V:V,0),0),"0.00%"),"")</f>
        <v/>
      </c>
      <c r="P25" s="108"/>
    </row>
    <row r="26" spans="1:16">
      <c r="A26" s="108"/>
      <c r="B26" s="315">
        <v>22</v>
      </c>
      <c r="C26" s="308" t="str">
        <f>IFERROR(TEXT(INDEX(contents!W:W,MATCH(B26,contents!V:V,0),0),"m/d"),"")</f>
        <v/>
      </c>
      <c r="D26" s="309" t="str">
        <f>IFERROR(TEXT(INDEX(contents!W:W,MATCH(B26,contents!V:V,0),0),"aaa"),"")</f>
        <v/>
      </c>
      <c r="E26" s="309" t="str">
        <f>IF(INDEX('contents 추가정보'!D:D,MATCH(B26,'contents 추가정보'!A:A,0),0)=0,"",INDEX('contents 추가정보'!D:D,MATCH(B26,'contents 추가정보'!A:A,0),0))</f>
        <v/>
      </c>
      <c r="F26" s="310" t="str">
        <f>IF(INDEX('contents 추가정보'!C:C,MATCH(B26,'contents 추가정보'!A:A,0),0)=0,"",INDEX('contents 추가정보'!C:C,MATCH(B26,'contents 추가정보'!A:A,0),0))</f>
        <v/>
      </c>
      <c r="G26" s="311" t="str">
        <f>IF(INDEX('contents 추가정보'!E:E,MATCH(B26,'contents 추가정보'!A:A,0),0)=0,"",INDEX('contents 추가정보'!E:E,MATCH(B26,'contents 추가정보'!A:A,0),0))</f>
        <v/>
      </c>
      <c r="H26" s="311" t="str">
        <f>IFERROR(INDEX(contents!J:J,MATCH(B26,contents!V:V,0),0),"")</f>
        <v/>
      </c>
      <c r="I26" s="311" t="str">
        <f>IFERROR(INDEX(contents!M:M,MATCH(B26,contents!V:V,0),0),"")</f>
        <v/>
      </c>
      <c r="J26" s="312" t="str">
        <f>IFERROR(TEXT(INDEX(contents!N:N,MATCH(B26,contents!V:V,0),0),"0.00%"),"")</f>
        <v/>
      </c>
      <c r="K26" s="311" t="str">
        <f>IFERROR(INDEX(contents!O:O,MATCH(B26,contents!V:V,0),0),"")</f>
        <v/>
      </c>
      <c r="L26" s="311" t="str">
        <f>IFERROR(INDEX(contents!P:P,MATCH(B26,contents!V:V,0),0),"")</f>
        <v/>
      </c>
      <c r="M26" s="311" t="str">
        <f>IFERROR(INDEX(contents!Q:Q,MATCH(B26,contents!V:V,0),0),"")</f>
        <v/>
      </c>
      <c r="N26" s="313" t="str">
        <f t="shared" si="0"/>
        <v/>
      </c>
      <c r="O26" s="314" t="str">
        <f>IFERROR(TEXT(INDEX(contents!AC:AC,MATCH(B26,contents!V:V,0),0),"0.00%"),"")</f>
        <v/>
      </c>
      <c r="P26" s="108"/>
    </row>
    <row r="27" spans="1:16">
      <c r="A27" s="108"/>
      <c r="B27" s="315">
        <v>23</v>
      </c>
      <c r="C27" s="308" t="str">
        <f>IFERROR(TEXT(INDEX(contents!W:W,MATCH(B27,contents!V:V,0),0),"m/d"),"")</f>
        <v/>
      </c>
      <c r="D27" s="309" t="str">
        <f>IFERROR(TEXT(INDEX(contents!W:W,MATCH(B27,contents!V:V,0),0),"aaa"),"")</f>
        <v/>
      </c>
      <c r="E27" s="309" t="str">
        <f>IF(INDEX('contents 추가정보'!D:D,MATCH(B27,'contents 추가정보'!A:A,0),0)=0,"",INDEX('contents 추가정보'!D:D,MATCH(B27,'contents 추가정보'!A:A,0),0))</f>
        <v/>
      </c>
      <c r="F27" s="310" t="str">
        <f>IF(INDEX('contents 추가정보'!C:C,MATCH(B27,'contents 추가정보'!A:A,0),0)=0,"",INDEX('contents 추가정보'!C:C,MATCH(B27,'contents 추가정보'!A:A,0),0))</f>
        <v/>
      </c>
      <c r="G27" s="311" t="str">
        <f>IF(INDEX('contents 추가정보'!E:E,MATCH(B27,'contents 추가정보'!A:A,0),0)=0,"",INDEX('contents 추가정보'!E:E,MATCH(B27,'contents 추가정보'!A:A,0),0))</f>
        <v/>
      </c>
      <c r="H27" s="311" t="str">
        <f>IFERROR(INDEX(contents!J:J,MATCH(B27,contents!V:V,0),0),"")</f>
        <v/>
      </c>
      <c r="I27" s="311" t="str">
        <f>IFERROR(INDEX(contents!M:M,MATCH(B27,contents!V:V,0),0),"")</f>
        <v/>
      </c>
      <c r="J27" s="312" t="str">
        <f>IFERROR(TEXT(INDEX(contents!N:N,MATCH(B27,contents!V:V,0),0),"0.00%"),"")</f>
        <v/>
      </c>
      <c r="K27" s="311" t="str">
        <f>IFERROR(INDEX(contents!O:O,MATCH(B27,contents!V:V,0),0),"")</f>
        <v/>
      </c>
      <c r="L27" s="311" t="str">
        <f>IFERROR(INDEX(contents!P:P,MATCH(B27,contents!V:V,0),0),"")</f>
        <v/>
      </c>
      <c r="M27" s="311" t="str">
        <f>IFERROR(INDEX(contents!Q:Q,MATCH(B27,contents!V:V,0),0),"")</f>
        <v/>
      </c>
      <c r="N27" s="313" t="str">
        <f t="shared" si="0"/>
        <v/>
      </c>
      <c r="O27" s="314" t="str">
        <f>IFERROR(TEXT(INDEX(contents!AC:AC,MATCH(B27,contents!V:V,0),0),"0.00%"),"")</f>
        <v/>
      </c>
      <c r="P27" s="108"/>
    </row>
    <row r="28" spans="1:16">
      <c r="A28" s="108"/>
      <c r="B28" s="315">
        <v>24</v>
      </c>
      <c r="C28" s="308" t="str">
        <f>IFERROR(TEXT(INDEX(contents!W:W,MATCH(B28,contents!V:V,0),0),"m/d"),"")</f>
        <v/>
      </c>
      <c r="D28" s="309" t="str">
        <f>IFERROR(TEXT(INDEX(contents!W:W,MATCH(B28,contents!V:V,0),0),"aaa"),"")</f>
        <v/>
      </c>
      <c r="E28" s="309" t="str">
        <f>IF(INDEX('contents 추가정보'!D:D,MATCH(B28,'contents 추가정보'!A:A,0),0)=0,"",INDEX('contents 추가정보'!D:D,MATCH(B28,'contents 추가정보'!A:A,0),0))</f>
        <v/>
      </c>
      <c r="F28" s="310" t="str">
        <f>IF(INDEX('contents 추가정보'!C:C,MATCH(B28,'contents 추가정보'!A:A,0),0)=0,"",INDEX('contents 추가정보'!C:C,MATCH(B28,'contents 추가정보'!A:A,0),0))</f>
        <v/>
      </c>
      <c r="G28" s="311" t="str">
        <f>IF(INDEX('contents 추가정보'!E:E,MATCH(B28,'contents 추가정보'!A:A,0),0)=0,"",INDEX('contents 추가정보'!E:E,MATCH(B28,'contents 추가정보'!A:A,0),0))</f>
        <v/>
      </c>
      <c r="H28" s="311" t="str">
        <f>IFERROR(INDEX(contents!J:J,MATCH(B28,contents!V:V,0),0),"")</f>
        <v/>
      </c>
      <c r="I28" s="311" t="str">
        <f>IFERROR(INDEX(contents!M:M,MATCH(B28,contents!V:V,0),0),"")</f>
        <v/>
      </c>
      <c r="J28" s="312" t="str">
        <f>IFERROR(TEXT(INDEX(contents!N:N,MATCH(B28,contents!V:V,0),0),"0.00%"),"")</f>
        <v/>
      </c>
      <c r="K28" s="311" t="str">
        <f>IFERROR(INDEX(contents!O:O,MATCH(B28,contents!V:V,0),0),"")</f>
        <v/>
      </c>
      <c r="L28" s="311" t="str">
        <f>IFERROR(INDEX(contents!P:P,MATCH(B28,contents!V:V,0),0),"")</f>
        <v/>
      </c>
      <c r="M28" s="311" t="str">
        <f>IFERROR(INDEX(contents!Q:Q,MATCH(B28,contents!V:V,0),0),"")</f>
        <v/>
      </c>
      <c r="N28" s="313" t="str">
        <f t="shared" si="0"/>
        <v/>
      </c>
      <c r="O28" s="314" t="str">
        <f>IFERROR(TEXT(INDEX(contents!AC:AC,MATCH(B28,contents!V:V,0),0),"0.00%"),"")</f>
        <v/>
      </c>
      <c r="P28" s="108"/>
    </row>
    <row r="29" spans="1:16">
      <c r="A29" s="108"/>
      <c r="B29" s="315">
        <v>25</v>
      </c>
      <c r="C29" s="308" t="str">
        <f>IFERROR(TEXT(INDEX(contents!W:W,MATCH(B29,contents!V:V,0),0),"m/d"),"")</f>
        <v/>
      </c>
      <c r="D29" s="309" t="str">
        <f>IFERROR(TEXT(INDEX(contents!W:W,MATCH(B29,contents!V:V,0),0),"aaa"),"")</f>
        <v/>
      </c>
      <c r="E29" s="309" t="str">
        <f>IF(INDEX('contents 추가정보'!D:D,MATCH(B29,'contents 추가정보'!A:A,0),0)=0,"",INDEX('contents 추가정보'!D:D,MATCH(B29,'contents 추가정보'!A:A,0),0))</f>
        <v/>
      </c>
      <c r="F29" s="310" t="str">
        <f>IF(INDEX('contents 추가정보'!C:C,MATCH(B29,'contents 추가정보'!A:A,0),0)=0,"",INDEX('contents 추가정보'!C:C,MATCH(B29,'contents 추가정보'!A:A,0),0))</f>
        <v/>
      </c>
      <c r="G29" s="311" t="str">
        <f>IF(INDEX('contents 추가정보'!E:E,MATCH(B29,'contents 추가정보'!A:A,0),0)=0,"",INDEX('contents 추가정보'!E:E,MATCH(B29,'contents 추가정보'!A:A,0),0))</f>
        <v/>
      </c>
      <c r="H29" s="311" t="str">
        <f>IFERROR(INDEX(contents!J:J,MATCH(B29,contents!V:V,0),0),"")</f>
        <v/>
      </c>
      <c r="I29" s="311" t="str">
        <f>IFERROR(INDEX(contents!M:M,MATCH(B29,contents!V:V,0),0),"")</f>
        <v/>
      </c>
      <c r="J29" s="312" t="str">
        <f>IFERROR(TEXT(INDEX(contents!N:N,MATCH(B29,contents!V:V,0),0),"0.00%"),"")</f>
        <v/>
      </c>
      <c r="K29" s="311" t="str">
        <f>IFERROR(INDEX(contents!O:O,MATCH(B29,contents!V:V,0),0),"")</f>
        <v/>
      </c>
      <c r="L29" s="311" t="str">
        <f>IFERROR(INDEX(contents!P:P,MATCH(B29,contents!V:V,0),0),"")</f>
        <v/>
      </c>
      <c r="M29" s="311" t="str">
        <f>IFERROR(INDEX(contents!Q:Q,MATCH(B29,contents!V:V,0),0),"")</f>
        <v/>
      </c>
      <c r="N29" s="313" t="str">
        <f t="shared" si="0"/>
        <v/>
      </c>
      <c r="O29" s="314" t="str">
        <f>IFERROR(TEXT(INDEX(contents!AC:AC,MATCH(B29,contents!V:V,0),0),"0.00%"),"")</f>
        <v/>
      </c>
      <c r="P29" s="108"/>
    </row>
    <row r="30" spans="1:16">
      <c r="A30" s="108"/>
      <c r="B30" s="315">
        <v>26</v>
      </c>
      <c r="C30" s="308" t="str">
        <f>IFERROR(TEXT(INDEX(contents!W:W,MATCH(B30,contents!V:V,0),0),"m/d"),"")</f>
        <v/>
      </c>
      <c r="D30" s="309" t="str">
        <f>IFERROR(TEXT(INDEX(contents!W:W,MATCH(B30,contents!V:V,0),0),"aaa"),"")</f>
        <v/>
      </c>
      <c r="E30" s="309" t="str">
        <f>IF(INDEX('contents 추가정보'!D:D,MATCH(B30,'contents 추가정보'!A:A,0),0)=0,"",INDEX('contents 추가정보'!D:D,MATCH(B30,'contents 추가정보'!A:A,0),0))</f>
        <v/>
      </c>
      <c r="F30" s="310" t="str">
        <f>IF(INDEX('contents 추가정보'!C:C,MATCH(B30,'contents 추가정보'!A:A,0),0)=0,"",INDEX('contents 추가정보'!C:C,MATCH(B30,'contents 추가정보'!A:A,0),0))</f>
        <v/>
      </c>
      <c r="G30" s="311" t="str">
        <f>IF(INDEX('contents 추가정보'!E:E,MATCH(B30,'contents 추가정보'!A:A,0),0)=0,"",INDEX('contents 추가정보'!E:E,MATCH(B30,'contents 추가정보'!A:A,0),0))</f>
        <v/>
      </c>
      <c r="H30" s="311" t="str">
        <f>IFERROR(INDEX(contents!J:J,MATCH(B30,contents!V:V,0),0),"")</f>
        <v/>
      </c>
      <c r="I30" s="311" t="str">
        <f>IFERROR(INDEX(contents!M:M,MATCH(B30,contents!V:V,0),0),"")</f>
        <v/>
      </c>
      <c r="J30" s="312" t="str">
        <f>IFERROR(TEXT(INDEX(contents!N:N,MATCH(B30,contents!V:V,0),0),"0.00%"),"")</f>
        <v/>
      </c>
      <c r="K30" s="311" t="str">
        <f>IFERROR(INDEX(contents!O:O,MATCH(B30,contents!V:V,0),0),"")</f>
        <v/>
      </c>
      <c r="L30" s="311" t="str">
        <f>IFERROR(INDEX(contents!P:P,MATCH(B30,contents!V:V,0),0),"")</f>
        <v/>
      </c>
      <c r="M30" s="311" t="str">
        <f>IFERROR(INDEX(contents!Q:Q,MATCH(B30,contents!V:V,0),0),"")</f>
        <v/>
      </c>
      <c r="N30" s="313" t="str">
        <f t="shared" si="0"/>
        <v/>
      </c>
      <c r="O30" s="314" t="str">
        <f>IFERROR(TEXT(INDEX(contents!AC:AC,MATCH(B30,contents!V:V,0),0),"0.00%"),"")</f>
        <v/>
      </c>
      <c r="P30" s="108"/>
    </row>
    <row r="31" spans="1:16">
      <c r="A31" s="108"/>
      <c r="B31" s="315">
        <v>27</v>
      </c>
      <c r="C31" s="308" t="str">
        <f>IFERROR(TEXT(INDEX(contents!W:W,MATCH(B31,contents!V:V,0),0),"m/d"),"")</f>
        <v/>
      </c>
      <c r="D31" s="309" t="str">
        <f>IFERROR(TEXT(INDEX(contents!W:W,MATCH(B31,contents!V:V,0),0),"aaa"),"")</f>
        <v/>
      </c>
      <c r="E31" s="309" t="str">
        <f>IF(INDEX('contents 추가정보'!D:D,MATCH(B31,'contents 추가정보'!A:A,0),0)=0,"",INDEX('contents 추가정보'!D:D,MATCH(B31,'contents 추가정보'!A:A,0),0))</f>
        <v/>
      </c>
      <c r="F31" s="310" t="str">
        <f>IF(INDEX('contents 추가정보'!C:C,MATCH(B31,'contents 추가정보'!A:A,0),0)=0,"",INDEX('contents 추가정보'!C:C,MATCH(B31,'contents 추가정보'!A:A,0),0))</f>
        <v/>
      </c>
      <c r="G31" s="311" t="str">
        <f>IF(INDEX('contents 추가정보'!E:E,MATCH(B31,'contents 추가정보'!A:A,0),0)=0,"",INDEX('contents 추가정보'!E:E,MATCH(B31,'contents 추가정보'!A:A,0),0))</f>
        <v/>
      </c>
      <c r="H31" s="311" t="str">
        <f>IFERROR(INDEX(contents!J:J,MATCH(B31,contents!V:V,0),0),"")</f>
        <v/>
      </c>
      <c r="I31" s="311" t="str">
        <f>IFERROR(INDEX(contents!M:M,MATCH(B31,contents!V:V,0),0),"")</f>
        <v/>
      </c>
      <c r="J31" s="312" t="str">
        <f>IFERROR(TEXT(INDEX(contents!N:N,MATCH(B31,contents!V:V,0),0),"0.00%"),"")</f>
        <v/>
      </c>
      <c r="K31" s="311" t="str">
        <f>IFERROR(INDEX(contents!O:O,MATCH(B31,contents!V:V,0),0),"")</f>
        <v/>
      </c>
      <c r="L31" s="311" t="str">
        <f>IFERROR(INDEX(contents!P:P,MATCH(B31,contents!V:V,0),0),"")</f>
        <v/>
      </c>
      <c r="M31" s="311" t="str">
        <f>IFERROR(INDEX(contents!Q:Q,MATCH(B31,contents!V:V,0),0),"")</f>
        <v/>
      </c>
      <c r="N31" s="313" t="str">
        <f t="shared" si="0"/>
        <v/>
      </c>
      <c r="O31" s="314" t="str">
        <f>IFERROR(TEXT(INDEX(contents!AC:AC,MATCH(B31,contents!V:V,0),0),"0.00%"),"")</f>
        <v/>
      </c>
      <c r="P31" s="108"/>
    </row>
    <row r="32" spans="1:16">
      <c r="A32" s="108"/>
      <c r="B32" s="315">
        <v>28</v>
      </c>
      <c r="C32" s="308" t="str">
        <f>IFERROR(TEXT(INDEX(contents!W:W,MATCH(B32,contents!V:V,0),0),"m/d"),"")</f>
        <v/>
      </c>
      <c r="D32" s="309" t="str">
        <f>IFERROR(TEXT(INDEX(contents!W:W,MATCH(B32,contents!V:V,0),0),"aaa"),"")</f>
        <v/>
      </c>
      <c r="E32" s="309" t="str">
        <f>IF(INDEX('contents 추가정보'!D:D,MATCH(B32,'contents 추가정보'!A:A,0),0)=0,"",INDEX('contents 추가정보'!D:D,MATCH(B32,'contents 추가정보'!A:A,0),0))</f>
        <v/>
      </c>
      <c r="F32" s="310" t="str">
        <f>IF(INDEX('contents 추가정보'!C:C,MATCH(B32,'contents 추가정보'!A:A,0),0)=0,"",INDEX('contents 추가정보'!C:C,MATCH(B32,'contents 추가정보'!A:A,0),0))</f>
        <v/>
      </c>
      <c r="G32" s="311" t="str">
        <f>IF(INDEX('contents 추가정보'!E:E,MATCH(B32,'contents 추가정보'!A:A,0),0)=0,"",INDEX('contents 추가정보'!E:E,MATCH(B32,'contents 추가정보'!A:A,0),0))</f>
        <v/>
      </c>
      <c r="H32" s="311" t="str">
        <f>IFERROR(INDEX(contents!J:J,MATCH(B32,contents!V:V,0),0),"")</f>
        <v/>
      </c>
      <c r="I32" s="311" t="str">
        <f>IFERROR(INDEX(contents!M:M,MATCH(B32,contents!V:V,0),0),"")</f>
        <v/>
      </c>
      <c r="J32" s="312" t="str">
        <f>IFERROR(TEXT(INDEX(contents!N:N,MATCH(B32,contents!V:V,0),0),"0.00%"),"")</f>
        <v/>
      </c>
      <c r="K32" s="311" t="str">
        <f>IFERROR(INDEX(contents!O:O,MATCH(B32,contents!V:V,0),0),"")</f>
        <v/>
      </c>
      <c r="L32" s="311" t="str">
        <f>IFERROR(INDEX(contents!P:P,MATCH(B32,contents!V:V,0),0),"")</f>
        <v/>
      </c>
      <c r="M32" s="311" t="str">
        <f>IFERROR(INDEX(contents!Q:Q,MATCH(B32,contents!V:V,0),0),"")</f>
        <v/>
      </c>
      <c r="N32" s="313" t="str">
        <f t="shared" si="0"/>
        <v/>
      </c>
      <c r="O32" s="314" t="str">
        <f>IFERROR(TEXT(INDEX(contents!AC:AC,MATCH(B32,contents!V:V,0),0),"0.00%"),"")</f>
        <v/>
      </c>
      <c r="P32" s="108"/>
    </row>
    <row r="33" spans="1:16">
      <c r="A33" s="108"/>
      <c r="B33" s="315">
        <v>29</v>
      </c>
      <c r="C33" s="308" t="str">
        <f>IFERROR(TEXT(INDEX(contents!W:W,MATCH(B33,contents!V:V,0),0),"m/d"),"")</f>
        <v/>
      </c>
      <c r="D33" s="309" t="str">
        <f>IFERROR(TEXT(INDEX(contents!W:W,MATCH(B33,contents!V:V,0),0),"aaa"),"")</f>
        <v/>
      </c>
      <c r="E33" s="309" t="str">
        <f>IF(INDEX('contents 추가정보'!D:D,MATCH(B33,'contents 추가정보'!A:A,0),0)=0,"",INDEX('contents 추가정보'!D:D,MATCH(B33,'contents 추가정보'!A:A,0),0))</f>
        <v/>
      </c>
      <c r="F33" s="310" t="str">
        <f>IF(INDEX('contents 추가정보'!C:C,MATCH(B33,'contents 추가정보'!A:A,0),0)=0,"",INDEX('contents 추가정보'!C:C,MATCH(B33,'contents 추가정보'!A:A,0),0))</f>
        <v/>
      </c>
      <c r="G33" s="311" t="str">
        <f>IF(INDEX('contents 추가정보'!E:E,MATCH(B33,'contents 추가정보'!A:A,0),0)=0,"",INDEX('contents 추가정보'!E:E,MATCH(B33,'contents 추가정보'!A:A,0),0))</f>
        <v/>
      </c>
      <c r="H33" s="311" t="str">
        <f>IFERROR(INDEX(contents!J:J,MATCH(B33,contents!V:V,0),0),"")</f>
        <v/>
      </c>
      <c r="I33" s="311" t="str">
        <f>IFERROR(INDEX(contents!M:M,MATCH(B33,contents!V:V,0),0),"")</f>
        <v/>
      </c>
      <c r="J33" s="312" t="str">
        <f>IFERROR(TEXT(INDEX(contents!N:N,MATCH(B33,contents!V:V,0),0),"0.00%"),"")</f>
        <v/>
      </c>
      <c r="K33" s="311" t="str">
        <f>IFERROR(INDEX(contents!O:O,MATCH(B33,contents!V:V,0),0),"")</f>
        <v/>
      </c>
      <c r="L33" s="311" t="str">
        <f>IFERROR(INDEX(contents!P:P,MATCH(B33,contents!V:V,0),0),"")</f>
        <v/>
      </c>
      <c r="M33" s="311" t="str">
        <f>IFERROR(INDEX(contents!Q:Q,MATCH(B33,contents!V:V,0),0),"")</f>
        <v/>
      </c>
      <c r="N33" s="313" t="str">
        <f t="shared" si="0"/>
        <v/>
      </c>
      <c r="O33" s="314" t="str">
        <f>IFERROR(TEXT(INDEX(contents!AC:AC,MATCH(B33,contents!V:V,0),0),"0.00%"),"")</f>
        <v/>
      </c>
      <c r="P33" s="108"/>
    </row>
    <row r="34" spans="1:16">
      <c r="A34" s="108"/>
      <c r="B34" s="315">
        <v>30</v>
      </c>
      <c r="C34" s="308" t="str">
        <f>IFERROR(TEXT(INDEX(contents!W:W,MATCH(B34,contents!V:V,0),0),"m/d"),"")</f>
        <v/>
      </c>
      <c r="D34" s="309" t="str">
        <f>IFERROR(TEXT(INDEX(contents!W:W,MATCH(B34,contents!V:V,0),0),"aaa"),"")</f>
        <v/>
      </c>
      <c r="E34" s="309" t="str">
        <f>IF(INDEX('contents 추가정보'!D:D,MATCH(B34,'contents 추가정보'!A:A,0),0)=0,"",INDEX('contents 추가정보'!D:D,MATCH(B34,'contents 추가정보'!A:A,0),0))</f>
        <v/>
      </c>
      <c r="F34" s="310" t="str">
        <f>IF(INDEX('contents 추가정보'!C:C,MATCH(B34,'contents 추가정보'!A:A,0),0)=0,"",INDEX('contents 추가정보'!C:C,MATCH(B34,'contents 추가정보'!A:A,0),0))</f>
        <v/>
      </c>
      <c r="G34" s="311" t="str">
        <f>IF(INDEX('contents 추가정보'!E:E,MATCH(B34,'contents 추가정보'!A:A,0),0)=0,"",INDEX('contents 추가정보'!E:E,MATCH(B34,'contents 추가정보'!A:A,0),0))</f>
        <v/>
      </c>
      <c r="H34" s="311" t="str">
        <f>IFERROR(INDEX(contents!J:J,MATCH(B34,contents!V:V,0),0),"")</f>
        <v/>
      </c>
      <c r="I34" s="311" t="str">
        <f>IFERROR(INDEX(contents!M:M,MATCH(B34,contents!V:V,0),0),"")</f>
        <v/>
      </c>
      <c r="J34" s="312" t="str">
        <f>IFERROR(TEXT(INDEX(contents!N:N,MATCH(B34,contents!V:V,0),0),"0.00%"),"")</f>
        <v/>
      </c>
      <c r="K34" s="311" t="str">
        <f>IFERROR(INDEX(contents!O:O,MATCH(B34,contents!V:V,0),0),"")</f>
        <v/>
      </c>
      <c r="L34" s="311" t="str">
        <f>IFERROR(INDEX(contents!P:P,MATCH(B34,contents!V:V,0),0),"")</f>
        <v/>
      </c>
      <c r="M34" s="311" t="str">
        <f>IFERROR(INDEX(contents!Q:Q,MATCH(B34,contents!V:V,0),0),"")</f>
        <v/>
      </c>
      <c r="N34" s="313" t="str">
        <f t="shared" si="0"/>
        <v/>
      </c>
      <c r="O34" s="314" t="str">
        <f>IFERROR(TEXT(INDEX(contents!AC:AC,MATCH(B34,contents!V:V,0),0),"0.00%"),"")</f>
        <v/>
      </c>
      <c r="P34" s="108"/>
    </row>
    <row r="35" spans="1:16">
      <c r="A35" s="108"/>
      <c r="B35" s="315">
        <v>31</v>
      </c>
      <c r="C35" s="308" t="str">
        <f>IFERROR(TEXT(INDEX(contents!W:W,MATCH(B35,contents!V:V,0),0),"m/d"),"")</f>
        <v/>
      </c>
      <c r="D35" s="309" t="str">
        <f>IFERROR(TEXT(INDEX(contents!W:W,MATCH(B35,contents!V:V,0),0),"aaa"),"")</f>
        <v/>
      </c>
      <c r="E35" s="309" t="str">
        <f>IF(INDEX('contents 추가정보'!D:D,MATCH(B35,'contents 추가정보'!A:A,0),0)=0,"",INDEX('contents 추가정보'!D:D,MATCH(B35,'contents 추가정보'!A:A,0),0))</f>
        <v/>
      </c>
      <c r="F35" s="310" t="str">
        <f>IF(INDEX('contents 추가정보'!C:C,MATCH(B35,'contents 추가정보'!A:A,0),0)=0,"",INDEX('contents 추가정보'!C:C,MATCH(B35,'contents 추가정보'!A:A,0),0))</f>
        <v/>
      </c>
      <c r="G35" s="311" t="str">
        <f>IF(INDEX('contents 추가정보'!E:E,MATCH(B35,'contents 추가정보'!A:A,0),0)=0,"",INDEX('contents 추가정보'!E:E,MATCH(B35,'contents 추가정보'!A:A,0),0))</f>
        <v/>
      </c>
      <c r="H35" s="311" t="str">
        <f>IFERROR(INDEX(contents!J:J,MATCH(B35,contents!V:V,0),0),"")</f>
        <v/>
      </c>
      <c r="I35" s="311" t="str">
        <f>IFERROR(INDEX(contents!M:M,MATCH(B35,contents!V:V,0),0),"")</f>
        <v/>
      </c>
      <c r="J35" s="312" t="str">
        <f>IFERROR(TEXT(INDEX(contents!N:N,MATCH(B35,contents!V:V,0),0),"0.00%"),"")</f>
        <v/>
      </c>
      <c r="K35" s="311" t="str">
        <f>IFERROR(INDEX(contents!O:O,MATCH(B35,contents!V:V,0),0),"")</f>
        <v/>
      </c>
      <c r="L35" s="311" t="str">
        <f>IFERROR(INDEX(contents!P:P,MATCH(B35,contents!V:V,0),0),"")</f>
        <v/>
      </c>
      <c r="M35" s="311" t="str">
        <f>IFERROR(INDEX(contents!Q:Q,MATCH(B35,contents!V:V,0),0),"")</f>
        <v/>
      </c>
      <c r="N35" s="313" t="str">
        <f t="shared" si="0"/>
        <v/>
      </c>
      <c r="O35" s="314" t="str">
        <f>IFERROR(TEXT(INDEX(contents!AC:AC,MATCH(B35,contents!V:V,0),0),"0.00%"),"")</f>
        <v/>
      </c>
      <c r="P35" s="108"/>
    </row>
    <row r="36" spans="1:16">
      <c r="A36" s="108"/>
      <c r="B36" s="315">
        <v>32</v>
      </c>
      <c r="C36" s="308" t="str">
        <f>IFERROR(TEXT(INDEX(contents!W:W,MATCH(B36,contents!V:V,0),0),"m/d"),"")</f>
        <v/>
      </c>
      <c r="D36" s="309" t="str">
        <f>IFERROR(TEXT(INDEX(contents!W:W,MATCH(B36,contents!V:V,0),0),"aaa"),"")</f>
        <v/>
      </c>
      <c r="E36" s="309" t="str">
        <f>IF(INDEX('contents 추가정보'!D:D,MATCH(B36,'contents 추가정보'!A:A,0),0)=0,"",INDEX('contents 추가정보'!D:D,MATCH(B36,'contents 추가정보'!A:A,0),0))</f>
        <v/>
      </c>
      <c r="F36" s="310" t="str">
        <f>IF(INDEX('contents 추가정보'!C:C,MATCH(B36,'contents 추가정보'!A:A,0),0)=0,"",INDEX('contents 추가정보'!C:C,MATCH(B36,'contents 추가정보'!A:A,0),0))</f>
        <v/>
      </c>
      <c r="G36" s="311" t="str">
        <f>IF(INDEX('contents 추가정보'!E:E,MATCH(B36,'contents 추가정보'!A:A,0),0)=0,"",INDEX('contents 추가정보'!E:E,MATCH(B36,'contents 추가정보'!A:A,0),0))</f>
        <v/>
      </c>
      <c r="H36" s="311" t="str">
        <f>IFERROR(INDEX(contents!J:J,MATCH(B36,contents!V:V,0),0),"")</f>
        <v/>
      </c>
      <c r="I36" s="311" t="str">
        <f>IFERROR(INDEX(contents!M:M,MATCH(B36,contents!V:V,0),0),"")</f>
        <v/>
      </c>
      <c r="J36" s="312" t="str">
        <f>IFERROR(TEXT(INDEX(contents!N:N,MATCH(B36,contents!V:V,0),0),"0.00%"),"")</f>
        <v/>
      </c>
      <c r="K36" s="311" t="str">
        <f>IFERROR(INDEX(contents!O:O,MATCH(B36,contents!V:V,0),0),"")</f>
        <v/>
      </c>
      <c r="L36" s="311" t="str">
        <f>IFERROR(INDEX(contents!P:P,MATCH(B36,contents!V:V,0),0),"")</f>
        <v/>
      </c>
      <c r="M36" s="311" t="str">
        <f>IFERROR(INDEX(contents!Q:Q,MATCH(B36,contents!V:V,0),0),"")</f>
        <v/>
      </c>
      <c r="N36" s="313" t="str">
        <f t="shared" si="0"/>
        <v/>
      </c>
      <c r="O36" s="314" t="str">
        <f>IFERROR(TEXT(INDEX(contents!AC:AC,MATCH(B36,contents!V:V,0),0),"0.00%"),"")</f>
        <v/>
      </c>
      <c r="P36" s="108"/>
    </row>
    <row r="37" spans="1:16" ht="17.25" thickBot="1">
      <c r="A37" s="108"/>
      <c r="B37" s="316">
        <v>33</v>
      </c>
      <c r="C37" s="317" t="str">
        <f>IFERROR(TEXT(INDEX(contents!W:W,MATCH(B37,contents!V:V,0),0),"m/d"),"")</f>
        <v/>
      </c>
      <c r="D37" s="318" t="str">
        <f>IFERROR(TEXT(INDEX(contents!W:W,MATCH(B37,contents!V:V,0),0),"aaa"),"")</f>
        <v/>
      </c>
      <c r="E37" s="318" t="str">
        <f>IF(INDEX('contents 추가정보'!D:D,MATCH(B37,'contents 추가정보'!A:A,0),0)=0,"",INDEX('contents 추가정보'!D:D,MATCH(B37,'contents 추가정보'!A:A,0),0))</f>
        <v/>
      </c>
      <c r="F37" s="319" t="str">
        <f>IF(INDEX('contents 추가정보'!C:C,MATCH(B37,'contents 추가정보'!A:A,0),0)=0,"",INDEX('contents 추가정보'!C:C,MATCH(B37,'contents 추가정보'!A:A,0),0))</f>
        <v/>
      </c>
      <c r="G37" s="320" t="str">
        <f>IF(INDEX('contents 추가정보'!E:E,MATCH(B37,'contents 추가정보'!A:A,0),0)=0,"",INDEX('contents 추가정보'!E:E,MATCH(B37,'contents 추가정보'!A:A,0),0))</f>
        <v/>
      </c>
      <c r="H37" s="320" t="str">
        <f>IFERROR(INDEX(contents!J:J,MATCH(B37,contents!V:V,0),0),"")</f>
        <v/>
      </c>
      <c r="I37" s="320" t="str">
        <f>IFERROR(INDEX(contents!M:M,MATCH(B37,contents!V:V,0),0),"")</f>
        <v/>
      </c>
      <c r="J37" s="321" t="str">
        <f>IFERROR(TEXT(INDEX(contents!N:N,MATCH(B37,contents!V:V,0),0),"0.00%"),"")</f>
        <v/>
      </c>
      <c r="K37" s="320" t="str">
        <f>IFERROR(INDEX(contents!O:O,MATCH(B37,contents!V:V,0),0),"")</f>
        <v/>
      </c>
      <c r="L37" s="320" t="str">
        <f>IFERROR(INDEX(contents!P:P,MATCH(B37,contents!V:V,0),0),"")</f>
        <v/>
      </c>
      <c r="M37" s="320" t="str">
        <f>IFERROR(INDEX(contents!Q:Q,MATCH(B37,contents!V:V,0),0),"")</f>
        <v/>
      </c>
      <c r="N37" s="320" t="str">
        <f t="shared" si="0"/>
        <v/>
      </c>
      <c r="O37" s="322" t="str">
        <f>IFERROR(TEXT(INDEX(contents!AC:AC,MATCH(B37,contents!V:V,0),0),"0.00%"),"")</f>
        <v/>
      </c>
      <c r="P37" s="108"/>
    </row>
    <row r="38" spans="1:16">
      <c r="A38" s="108"/>
      <c r="B38" s="108"/>
      <c r="C38" s="108"/>
      <c r="D38" s="108"/>
      <c r="E38" s="108"/>
      <c r="F38" s="108"/>
      <c r="G38" s="108"/>
      <c r="H38" s="108"/>
      <c r="I38" s="108"/>
      <c r="J38" s="108"/>
      <c r="K38" s="108"/>
      <c r="L38" s="108"/>
      <c r="M38" s="108"/>
      <c r="N38" s="108"/>
      <c r="O38" s="108"/>
      <c r="P38" s="108"/>
    </row>
  </sheetData>
  <mergeCells count="2">
    <mergeCell ref="C4:D4"/>
    <mergeCell ref="E4:F4"/>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C2494-3F63-48C0-B518-C7AD5F85AE95}">
  <sheetPr>
    <tabColor theme="9" tint="0.79998168889431442"/>
  </sheetPr>
  <dimension ref="B3:R11"/>
  <sheetViews>
    <sheetView workbookViewId="0">
      <selection activeCell="H17" sqref="H17"/>
    </sheetView>
  </sheetViews>
  <sheetFormatPr defaultRowHeight="16.5"/>
  <cols>
    <col min="2" max="3" width="14.5" customWidth="1"/>
    <col min="5" max="6" width="14.5" customWidth="1"/>
    <col min="8" max="9" width="14.5" customWidth="1"/>
    <col min="11" max="12" width="14.5" customWidth="1"/>
    <col min="14" max="15" width="14.5" customWidth="1"/>
    <col min="17" max="18" width="14.5" customWidth="1"/>
  </cols>
  <sheetData>
    <row r="3" spans="2:18" ht="17.25" thickBot="1"/>
    <row r="4" spans="2:18">
      <c r="B4" s="383">
        <v>1</v>
      </c>
      <c r="C4" s="384"/>
      <c r="E4" s="383">
        <v>2</v>
      </c>
      <c r="F4" s="384"/>
      <c r="H4" s="383">
        <v>3</v>
      </c>
      <c r="I4" s="384"/>
      <c r="K4" s="383">
        <v>4</v>
      </c>
      <c r="L4" s="384"/>
      <c r="N4" s="383">
        <v>5</v>
      </c>
      <c r="O4" s="384"/>
      <c r="Q4" s="383">
        <v>6</v>
      </c>
      <c r="R4" s="384"/>
    </row>
    <row r="5" spans="2:18">
      <c r="B5" s="385" t="s">
        <v>106</v>
      </c>
      <c r="C5" s="386"/>
      <c r="E5" s="385" t="s">
        <v>106</v>
      </c>
      <c r="F5" s="386"/>
      <c r="H5" s="385" t="s">
        <v>106</v>
      </c>
      <c r="I5" s="386"/>
      <c r="K5" s="385" t="s">
        <v>106</v>
      </c>
      <c r="L5" s="386"/>
      <c r="N5" s="385" t="s">
        <v>106</v>
      </c>
      <c r="O5" s="386"/>
      <c r="Q5" s="385" t="s">
        <v>106</v>
      </c>
      <c r="R5" s="386"/>
    </row>
    <row r="6" spans="2:18">
      <c r="B6" s="387">
        <f>HYPERLINK(INDEX(contents!$B:$B,MATCH(B4,contents!$U:$U,0)),INDEX('contents 추가정보'!$C:$C,MATCH(B4,'contents 추가정보'!$A:$A,0)))</f>
        <v>111</v>
      </c>
      <c r="C6" s="388"/>
      <c r="E6" s="387">
        <f>HYPERLINK(INDEX(contents!$B:$B,MATCH(E4,contents!$U:$U,0)),INDEX('contents 추가정보'!$C:$C,MATCH(E4,'contents 추가정보'!$A:$A,0)))</f>
        <v>222</v>
      </c>
      <c r="F6" s="388"/>
      <c r="H6" s="387">
        <f>HYPERLINK(INDEX(contents!$B:$B,MATCH(H4,contents!$U:$U,0)),INDEX('contents 추가정보'!$C:$C,MATCH(H4,'contents 추가정보'!$A:$A,0)))</f>
        <v>333</v>
      </c>
      <c r="I6" s="388"/>
      <c r="K6" s="387">
        <f>HYPERLINK(INDEX(contents!$B:$B,MATCH(K4,contents!$U:$U,0)),INDEX('contents 추가정보'!$C:$C,MATCH(K4,'contents 추가정보'!$A:$A,0)))</f>
        <v>444</v>
      </c>
      <c r="L6" s="388"/>
      <c r="N6" s="387">
        <f>HYPERLINK(INDEX(contents!$B:$B,MATCH(N4,contents!$U:$U,0)),INDEX('contents 추가정보'!$C:$C,MATCH(N4,'contents 추가정보'!$A:$A,0)))</f>
        <v>555</v>
      </c>
      <c r="O6" s="388"/>
      <c r="Q6" s="387">
        <f>HYPERLINK(INDEX(contents!$B:$B,MATCH(Q4,contents!$U:$U,0)),INDEX('contents 추가정보'!$C:$C,MATCH(Q4,'contents 추가정보'!$A:$A,0)))</f>
        <v>666</v>
      </c>
      <c r="R6" s="388"/>
    </row>
    <row r="7" spans="2:18" ht="196.5" customHeight="1">
      <c r="B7" s="389"/>
      <c r="C7" s="390"/>
      <c r="E7" s="389"/>
      <c r="F7" s="390"/>
      <c r="H7" s="389"/>
      <c r="I7" s="390"/>
      <c r="K7" s="389"/>
      <c r="L7" s="390"/>
      <c r="N7" s="389"/>
      <c r="O7" s="390"/>
      <c r="Q7" s="389"/>
      <c r="R7" s="390"/>
    </row>
    <row r="8" spans="2:18">
      <c r="B8" s="324" t="s">
        <v>970</v>
      </c>
      <c r="C8" s="323" t="str">
        <f>IF(INDEX(contents!$Z:$Z,MATCH(B4,contents!$V:$V,0))="","-",TEXT(INDEX(contents!$Z:$Z,MATCH(B4,contents!$U:$U,0)),"#,###")&amp;"회")</f>
        <v>-</v>
      </c>
      <c r="E8" s="324" t="s">
        <v>970</v>
      </c>
      <c r="F8" s="323" t="str">
        <f>IF(INDEX(contents!$Z:$Z,MATCH(E4,contents!$V:$V,0))="","-",TEXT(INDEX(contents!$Z:$Z,MATCH(E4,contents!$U:$U,0)),"#,###")&amp;"회")</f>
        <v>3,393회</v>
      </c>
      <c r="H8" s="324" t="s">
        <v>970</v>
      </c>
      <c r="I8" s="323" t="str">
        <f>IF(INDEX(contents!$Z:$Z,MATCH(H4,contents!$V:$V,0))="","-",TEXT(INDEX(contents!$Z:$Z,MATCH(H4,contents!$U:$U,0)),"#,###")&amp;"회")</f>
        <v>739회</v>
      </c>
      <c r="K8" s="324" t="s">
        <v>970</v>
      </c>
      <c r="L8" s="323" t="str">
        <f>IF(INDEX(contents!$Z:$Z,MATCH(K4,contents!$V:$V,0))="","-",TEXT(INDEX(contents!$Z:$Z,MATCH(K4,contents!$U:$U,0)),"#,###")&amp;"회")</f>
        <v>-</v>
      </c>
      <c r="N8" s="324" t="s">
        <v>970</v>
      </c>
      <c r="O8" s="323" t="str">
        <f>IF(INDEX(contents!$Z:$Z,MATCH(N4,contents!$V:$V,0))="","-",TEXT(INDEX(contents!$Z:$Z,MATCH(N4,contents!$U:$U,0)),"#,###")&amp;"회")</f>
        <v>-</v>
      </c>
      <c r="Q8" s="324" t="s">
        <v>970</v>
      </c>
      <c r="R8" s="323" t="str">
        <f>IF(INDEX(contents!$Z:$Z,MATCH(Q4,contents!$V:$V,0))="","-",TEXT(INDEX(contents!$Z:$Z,MATCH(Q4,contents!$U:$U,0)),"#,###")&amp;"회")</f>
        <v>-</v>
      </c>
    </row>
    <row r="9" spans="2:18">
      <c r="B9" s="324" t="s">
        <v>969</v>
      </c>
      <c r="C9" s="323" t="str">
        <f>TEXT(INDEX(contents!$AC:$AC,MATCH(B4,contents!$U:$U,0)),"#.0%")</f>
        <v>52.2%</v>
      </c>
      <c r="E9" s="324" t="s">
        <v>969</v>
      </c>
      <c r="F9" s="323" t="str">
        <f>TEXT(INDEX(contents!$AC:$AC,MATCH(E4,contents!$U:$U,0)),"#.0%")</f>
        <v>41.9%</v>
      </c>
      <c r="H9" s="324" t="s">
        <v>969</v>
      </c>
      <c r="I9" s="323" t="str">
        <f>TEXT(INDEX(contents!$AC:$AC,MATCH(H4,contents!$U:$U,0)),"#.0%")</f>
        <v>26.7%</v>
      </c>
      <c r="K9" s="324" t="s">
        <v>969</v>
      </c>
      <c r="L9" s="323" t="str">
        <f>TEXT(INDEX(contents!$AC:$AC,MATCH(K4,contents!$U:$U,0)),"#.0%")</f>
        <v>16.4%</v>
      </c>
      <c r="N9" s="324" t="s">
        <v>969</v>
      </c>
      <c r="O9" s="323" t="str">
        <f>TEXT(INDEX(contents!$AC:$AC,MATCH(N4,contents!$U:$U,0)),"#.0%")</f>
        <v>8.5%</v>
      </c>
      <c r="Q9" s="324" t="s">
        <v>969</v>
      </c>
      <c r="R9" s="323" t="str">
        <f>TEXT(INDEX(contents!$AC:$AC,MATCH(Q4,contents!$U:$U,0)),"#.0%")</f>
        <v>7.9%</v>
      </c>
    </row>
    <row r="10" spans="2:18">
      <c r="B10" s="324" t="s">
        <v>971</v>
      </c>
      <c r="C10" s="323" t="str">
        <f>TEXT(INDEX(contents!$O:$O,MATCH(B4,contents!$U:$U,0)),"#,###")&amp;"회"</f>
        <v>112회</v>
      </c>
      <c r="E10" s="324" t="s">
        <v>971</v>
      </c>
      <c r="F10" s="323" t="str">
        <f>TEXT(INDEX(contents!$O:$O,MATCH(E4,contents!$U:$U,0)),"#,###")&amp;"회"</f>
        <v>105회</v>
      </c>
      <c r="H10" s="324" t="s">
        <v>971</v>
      </c>
      <c r="I10" s="323" t="str">
        <f>TEXT(INDEX(contents!$O:$O,MATCH(H4,contents!$U:$U,0)),"#,###")&amp;"회"</f>
        <v>50회</v>
      </c>
      <c r="K10" s="324" t="s">
        <v>971</v>
      </c>
      <c r="L10" s="323" t="str">
        <f>TEXT(INDEX(contents!$O:$O,MATCH(K4,contents!$U:$U,0)),"#,###")&amp;"회"</f>
        <v>68회</v>
      </c>
      <c r="N10" s="324" t="s">
        <v>971</v>
      </c>
      <c r="O10" s="323" t="str">
        <f>TEXT(INDEX(contents!$O:$O,MATCH(N4,contents!$U:$U,0)),"#,###")&amp;"회"</f>
        <v>97회</v>
      </c>
      <c r="Q10" s="324" t="s">
        <v>971</v>
      </c>
      <c r="R10" s="323" t="str">
        <f>TEXT(INDEX(contents!$O:$O,MATCH(Q4,contents!$U:$U,0)),"#,###")&amp;"회"</f>
        <v>213회</v>
      </c>
    </row>
    <row r="11" spans="2:18" ht="17.25" thickBot="1">
      <c r="B11" s="325" t="s">
        <v>816</v>
      </c>
      <c r="C11" s="121" t="str">
        <f>TEXT(INDEX(contents!$J:$J,MATCH(B4,contents!$U:$U,0)),"#,###")&amp;"회"</f>
        <v>7,403회</v>
      </c>
      <c r="E11" s="325" t="s">
        <v>816</v>
      </c>
      <c r="F11" s="121" t="str">
        <f>TEXT(INDEX(contents!$J:$J,MATCH(E4,contents!$U:$U,0)),"#,###")&amp;"회"</f>
        <v>6,991회</v>
      </c>
      <c r="H11" s="325" t="s">
        <v>816</v>
      </c>
      <c r="I11" s="121" t="str">
        <f>TEXT(INDEX(contents!$J:$J,MATCH(H4,contents!$U:$U,0)),"#,###")&amp;"회"</f>
        <v>2,413회</v>
      </c>
      <c r="K11" s="325" t="s">
        <v>816</v>
      </c>
      <c r="L11" s="121" t="str">
        <f>TEXT(INDEX(contents!$J:$J,MATCH(K4,contents!$U:$U,0)),"#,###")&amp;"회"</f>
        <v>2,907회</v>
      </c>
      <c r="N11" s="325" t="s">
        <v>816</v>
      </c>
      <c r="O11" s="121" t="str">
        <f>TEXT(INDEX(contents!$J:$J,MATCH(N4,contents!$U:$U,0)),"#,###")&amp;"회"</f>
        <v>3,793회</v>
      </c>
      <c r="Q11" s="325" t="s">
        <v>816</v>
      </c>
      <c r="R11" s="121" t="str">
        <f>TEXT(INDEX(contents!$J:$J,MATCH(Q4,contents!$U:$U,0)),"#,###")&amp;"회"</f>
        <v>10,145회</v>
      </c>
    </row>
  </sheetData>
  <mergeCells count="24">
    <mergeCell ref="N4:O4"/>
    <mergeCell ref="N5:O5"/>
    <mergeCell ref="N6:O6"/>
    <mergeCell ref="N7:O7"/>
    <mergeCell ref="Q4:R4"/>
    <mergeCell ref="Q5:R5"/>
    <mergeCell ref="Q6:R6"/>
    <mergeCell ref="Q7:R7"/>
    <mergeCell ref="H4:I4"/>
    <mergeCell ref="H5:I5"/>
    <mergeCell ref="H6:I6"/>
    <mergeCell ref="H7:I7"/>
    <mergeCell ref="K4:L4"/>
    <mergeCell ref="K5:L5"/>
    <mergeCell ref="K6:L6"/>
    <mergeCell ref="K7:L7"/>
    <mergeCell ref="B4:C4"/>
    <mergeCell ref="B5:C5"/>
    <mergeCell ref="B6:C6"/>
    <mergeCell ref="B7:C7"/>
    <mergeCell ref="E4:F4"/>
    <mergeCell ref="E5:F5"/>
    <mergeCell ref="E6:F6"/>
    <mergeCell ref="E7:F7"/>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AFFF90-050A-4A14-B386-661164F64F0E}">
  <sheetPr>
    <tabColor theme="9" tint="0.79998168889431442"/>
  </sheetPr>
  <dimension ref="A1:M80"/>
  <sheetViews>
    <sheetView topLeftCell="A28" zoomScaleNormal="100" workbookViewId="0">
      <selection activeCell="B36" sqref="B36:C36"/>
    </sheetView>
  </sheetViews>
  <sheetFormatPr defaultRowHeight="16.5"/>
  <cols>
    <col min="1" max="1" width="9.875" bestFit="1" customWidth="1"/>
    <col min="2" max="2" width="20.25" customWidth="1"/>
    <col min="3" max="3" width="19.25" bestFit="1" customWidth="1"/>
    <col min="6" max="6" width="9.875" bestFit="1" customWidth="1"/>
    <col min="11" max="11" width="11.125" bestFit="1" customWidth="1"/>
  </cols>
  <sheetData>
    <row r="1" spans="1:3">
      <c r="A1" s="39" t="s">
        <v>10</v>
      </c>
      <c r="B1" s="127" t="s">
        <v>965</v>
      </c>
      <c r="C1" s="127" t="s">
        <v>966</v>
      </c>
    </row>
    <row r="2" spans="1:3">
      <c r="A2" s="126">
        <f>IFERROR('contents(daily)'!U2,"")</f>
        <v>45383</v>
      </c>
      <c r="B2" s="123">
        <f>'contents(daily)'!D2</f>
        <v>1415</v>
      </c>
      <c r="C2" s="123">
        <f>SUM('contents(daily)'!G2,'contents(daily)'!J2,'contents(daily)'!M2,'contents(daily)'!P2)</f>
        <v>0</v>
      </c>
    </row>
    <row r="3" spans="1:3">
      <c r="A3" s="126">
        <f>IFERROR('contents(daily)'!U3,"")</f>
        <v>45384</v>
      </c>
      <c r="B3" s="123">
        <f>'contents(daily)'!D3</f>
        <v>1378</v>
      </c>
      <c r="C3" s="123">
        <f>SUM('contents(daily)'!G3,'contents(daily)'!J3,'contents(daily)'!M3,'contents(daily)'!P3)</f>
        <v>0</v>
      </c>
    </row>
    <row r="4" spans="1:3">
      <c r="A4" s="126">
        <f>IFERROR('contents(daily)'!U4,"")</f>
        <v>45385</v>
      </c>
      <c r="B4" s="123">
        <f>'contents(daily)'!D4</f>
        <v>1643</v>
      </c>
      <c r="C4" s="123">
        <f>SUM('contents(daily)'!G4,'contents(daily)'!J4,'contents(daily)'!M4,'contents(daily)'!P4)</f>
        <v>0</v>
      </c>
    </row>
    <row r="5" spans="1:3">
      <c r="A5" s="126">
        <f>IFERROR('contents(daily)'!U5,"")</f>
        <v>45386</v>
      </c>
      <c r="B5" s="123">
        <f>'contents(daily)'!D5</f>
        <v>1280</v>
      </c>
      <c r="C5" s="123">
        <f>SUM('contents(daily)'!G5,'contents(daily)'!J5,'contents(daily)'!M5,'contents(daily)'!P5)</f>
        <v>0</v>
      </c>
    </row>
    <row r="6" spans="1:3">
      <c r="A6" s="126">
        <f>IFERROR('contents(daily)'!U6,"")</f>
        <v>45387</v>
      </c>
      <c r="B6" s="123">
        <f>'contents(daily)'!D6</f>
        <v>3151</v>
      </c>
      <c r="C6" s="123">
        <f>SUM('contents(daily)'!G6,'contents(daily)'!J6,'contents(daily)'!M6,'contents(daily)'!P6)</f>
        <v>0</v>
      </c>
    </row>
    <row r="7" spans="1:3">
      <c r="A7" s="126">
        <f>IFERROR('contents(daily)'!U7,"")</f>
        <v>45388</v>
      </c>
      <c r="B7" s="123">
        <f>'contents(daily)'!D7</f>
        <v>981</v>
      </c>
      <c r="C7" s="123">
        <f>SUM('contents(daily)'!G7,'contents(daily)'!J7,'contents(daily)'!M7,'contents(daily)'!P7)</f>
        <v>0</v>
      </c>
    </row>
    <row r="8" spans="1:3">
      <c r="A8" s="126">
        <f>IFERROR('contents(daily)'!U8,"")</f>
        <v>45389</v>
      </c>
      <c r="B8" s="123">
        <f>'contents(daily)'!D8</f>
        <v>1309</v>
      </c>
      <c r="C8" s="123">
        <f>SUM('contents(daily)'!G8,'contents(daily)'!J8,'contents(daily)'!M8,'contents(daily)'!P8)</f>
        <v>0</v>
      </c>
    </row>
    <row r="9" spans="1:3">
      <c r="A9" s="126">
        <f>IFERROR('contents(daily)'!U9,"")</f>
        <v>45390</v>
      </c>
      <c r="B9" s="123">
        <f>'contents(daily)'!D9</f>
        <v>1475</v>
      </c>
      <c r="C9" s="123">
        <f>SUM('contents(daily)'!G9,'contents(daily)'!J9,'contents(daily)'!M9,'contents(daily)'!P9)</f>
        <v>0</v>
      </c>
    </row>
    <row r="10" spans="1:3">
      <c r="A10" s="126">
        <f>IFERROR('contents(daily)'!U10,"")</f>
        <v>45391</v>
      </c>
      <c r="B10" s="123">
        <f>'contents(daily)'!D10</f>
        <v>331162</v>
      </c>
      <c r="C10" s="123">
        <f>SUM('contents(daily)'!G10,'contents(daily)'!J10,'contents(daily)'!M10,'contents(daily)'!P10)</f>
        <v>11273</v>
      </c>
    </row>
    <row r="11" spans="1:3">
      <c r="A11" s="126">
        <f>IFERROR('contents(daily)'!U11,"")</f>
        <v>45392</v>
      </c>
      <c r="B11" s="123">
        <f>'contents(daily)'!D11</f>
        <v>10848</v>
      </c>
      <c r="C11" s="123">
        <f>SUM('contents(daily)'!G11,'contents(daily)'!J11,'contents(daily)'!M11,'contents(daily)'!P11)</f>
        <v>347</v>
      </c>
    </row>
    <row r="12" spans="1:3">
      <c r="A12" s="126">
        <f>IFERROR('contents(daily)'!U12,"")</f>
        <v>45393</v>
      </c>
      <c r="B12" s="123">
        <f>'contents(daily)'!D12</f>
        <v>1175</v>
      </c>
      <c r="C12" s="123">
        <f>SUM('contents(daily)'!G12,'contents(daily)'!J12,'contents(daily)'!M12,'contents(daily)'!P12)</f>
        <v>0</v>
      </c>
    </row>
    <row r="13" spans="1:3">
      <c r="A13" s="126">
        <f>IFERROR('contents(daily)'!U13,"")</f>
        <v>45394</v>
      </c>
      <c r="B13" s="123">
        <f>'contents(daily)'!D13</f>
        <v>112175</v>
      </c>
      <c r="C13" s="123">
        <f>SUM('contents(daily)'!G13,'contents(daily)'!J13,'contents(daily)'!M13,'contents(daily)'!P13)</f>
        <v>7184</v>
      </c>
    </row>
    <row r="14" spans="1:3">
      <c r="A14" s="126">
        <f>IFERROR('contents(daily)'!U14,"")</f>
        <v>45395</v>
      </c>
      <c r="B14" s="123">
        <f>'contents(daily)'!D14</f>
        <v>8677</v>
      </c>
      <c r="C14" s="123">
        <f>SUM('contents(daily)'!G14,'contents(daily)'!J14,'contents(daily)'!M14,'contents(daily)'!P14)</f>
        <v>341</v>
      </c>
    </row>
    <row r="15" spans="1:3">
      <c r="A15" s="126">
        <f>IFERROR('contents(daily)'!U15,"")</f>
        <v>45396</v>
      </c>
      <c r="B15" s="123">
        <f>'contents(daily)'!D15</f>
        <v>12706</v>
      </c>
      <c r="C15" s="123">
        <f>SUM('contents(daily)'!G15,'contents(daily)'!J15,'contents(daily)'!M15,'contents(daily)'!P15)</f>
        <v>459</v>
      </c>
    </row>
    <row r="16" spans="1:3">
      <c r="A16" s="126">
        <f>IFERROR('contents(daily)'!U16,"")</f>
        <v>45397</v>
      </c>
      <c r="B16" s="123">
        <f>'contents(daily)'!D16</f>
        <v>12169</v>
      </c>
      <c r="C16" s="123">
        <f>SUM('contents(daily)'!G16,'contents(daily)'!J16,'contents(daily)'!M16,'contents(daily)'!P16)</f>
        <v>228</v>
      </c>
    </row>
    <row r="17" spans="1:13">
      <c r="A17" s="126">
        <f>IFERROR('contents(daily)'!U17,"")</f>
        <v>45398</v>
      </c>
      <c r="B17" s="123">
        <f>'contents(daily)'!D17</f>
        <v>19303</v>
      </c>
      <c r="C17" s="123">
        <f>SUM('contents(daily)'!G17,'contents(daily)'!J17,'contents(daily)'!M17,'contents(daily)'!P17)</f>
        <v>919</v>
      </c>
    </row>
    <row r="18" spans="1:13">
      <c r="A18" s="126">
        <f>IFERROR('contents(daily)'!U18,"")</f>
        <v>45399</v>
      </c>
      <c r="B18" s="123">
        <f>'contents(daily)'!D18</f>
        <v>5213</v>
      </c>
      <c r="C18" s="123">
        <f>SUM('contents(daily)'!G18,'contents(daily)'!J18,'contents(daily)'!M18,'contents(daily)'!P18)</f>
        <v>57</v>
      </c>
    </row>
    <row r="19" spans="1:13">
      <c r="A19" s="126">
        <f>IFERROR('contents(daily)'!U19,"")</f>
        <v>45400</v>
      </c>
      <c r="B19" s="123">
        <f>'contents(daily)'!D19</f>
        <v>1489</v>
      </c>
      <c r="C19" s="123">
        <f>SUM('contents(daily)'!G19,'contents(daily)'!J19,'contents(daily)'!M19,'contents(daily)'!P19)</f>
        <v>0</v>
      </c>
    </row>
    <row r="20" spans="1:13">
      <c r="A20" s="126">
        <f>IFERROR('contents(daily)'!U20,"")</f>
        <v>45401</v>
      </c>
      <c r="B20" s="123">
        <f>'contents(daily)'!D20</f>
        <v>849</v>
      </c>
      <c r="C20" s="123">
        <f>SUM('contents(daily)'!G20,'contents(daily)'!J20,'contents(daily)'!M20,'contents(daily)'!P20)</f>
        <v>0</v>
      </c>
    </row>
    <row r="21" spans="1:13">
      <c r="A21" s="126">
        <f>IFERROR('contents(daily)'!U21,"")</f>
        <v>45402</v>
      </c>
      <c r="B21" s="123">
        <f>'contents(daily)'!D21</f>
        <v>583</v>
      </c>
      <c r="C21" s="123">
        <f>SUM('contents(daily)'!G21,'contents(daily)'!J21,'contents(daily)'!M21,'contents(daily)'!P21)</f>
        <v>0</v>
      </c>
    </row>
    <row r="22" spans="1:13">
      <c r="A22" s="126">
        <f>IFERROR('contents(daily)'!U22,"")</f>
        <v>45403</v>
      </c>
      <c r="B22" s="123">
        <f>'contents(daily)'!D22</f>
        <v>624</v>
      </c>
      <c r="C22" s="123">
        <f>SUM('contents(daily)'!G22,'contents(daily)'!J22,'contents(daily)'!M22,'contents(daily)'!P22)</f>
        <v>0</v>
      </c>
    </row>
    <row r="23" spans="1:13">
      <c r="A23" s="126">
        <f>IFERROR('contents(daily)'!U23,"")</f>
        <v>45404</v>
      </c>
      <c r="B23" s="123">
        <f>'contents(daily)'!D23</f>
        <v>1721</v>
      </c>
      <c r="C23" s="123">
        <f>SUM('contents(daily)'!G23,'contents(daily)'!J23,'contents(daily)'!M23,'contents(daily)'!P23)</f>
        <v>0</v>
      </c>
      <c r="E23" s="108" t="str">
        <f>"총 Impression "&amp;TEXT(B36,"#,###")&amp;"회 기록, "&amp;IF(MONTH('일간 팔로워'!J1)=1,"작년",IF(MONTH('일간 팔로워'!J1)=2,"1월","1~"&amp;MONTH('일간 팔로워'!J1)-1&amp;"월"))&amp;" 평균 대비 ("&amp;TEXT(AVERAGE($H$40:$H$51),"#,###")&amp;"회) 약 "&amp;TEXT(ABS((AVERAGE($H$40:$H$51)-B36)/AVERAGE($H$40:$H$51)),"0.0%")&amp;IF(AVERAGE($H$40:$H$51)&gt;SUM(contents!AD:AD)," 감소"," 증가")</f>
        <v>총 Impression 1,209,459회 기록, 1~5월 평균 대비 (1,021,609회) 약 18.4% 감소</v>
      </c>
    </row>
    <row r="24" spans="1:13">
      <c r="A24" s="126">
        <f>IFERROR('contents(daily)'!U24,"")</f>
        <v>45405</v>
      </c>
      <c r="B24" s="123">
        <f>'contents(daily)'!D24</f>
        <v>277549</v>
      </c>
      <c r="C24" s="123">
        <f>SUM('contents(daily)'!G24,'contents(daily)'!J24,'contents(daily)'!M24,'contents(daily)'!P24)</f>
        <v>21617</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100,788회로 1~5월 대비 (94,593회) 대비 6.5% 증가</v>
      </c>
    </row>
    <row r="25" spans="1:13">
      <c r="A25" s="126">
        <f>IFERROR('contents(daily)'!U25,"")</f>
        <v>45406</v>
      </c>
      <c r="B25" s="123">
        <f>'contents(daily)'!D25</f>
        <v>371637</v>
      </c>
      <c r="C25" s="123">
        <f>SUM('contents(daily)'!G25,'contents(daily)'!J25,'contents(daily)'!M25,'contents(daily)'!P25)</f>
        <v>13474</v>
      </c>
      <c r="E25" s="108" t="str">
        <f>"총 Engagement "&amp;TEXT(C36,"#,###")&amp;"회로 "&amp;IF(MONTH('일간 팔로워'!J1)=1,"작년",IF(MONTH('일간 팔로워'!J1)=2,"1월","1~"&amp;MONTH('일간 팔로워'!J1)-1&amp;"월"))&amp;" 평균 대비 ("&amp;TEXT(AVERAGE(I40:I51),"#,###")&amp;"회) 약 "&amp;TEXT(ABS((AVERAGE(I40:I51)-C36)/AVERAGE(I40:I51)),"0.0%")&amp;IF(AVERAGE(I40:I51)&gt;C36," 감소"," 증가")</f>
        <v>총 Engagement 62,666회로 1~5월 평균 대비 (23,124회) 약 171.0% 증가</v>
      </c>
    </row>
    <row r="26" spans="1:13">
      <c r="A26" s="126">
        <f>IFERROR('contents(daily)'!U26,"")</f>
        <v>45407</v>
      </c>
      <c r="B26" s="123">
        <f>'contents(daily)'!D26</f>
        <v>20531</v>
      </c>
      <c r="C26" s="123">
        <f>SUM('contents(daily)'!G26,'contents(daily)'!J26,'contents(daily)'!M26,'contents(daily)'!P26)</f>
        <v>630</v>
      </c>
    </row>
    <row r="27" spans="1:13">
      <c r="A27" s="126">
        <f>IFERROR('contents(daily)'!U27,"")</f>
        <v>45408</v>
      </c>
      <c r="B27" s="123">
        <f>'contents(daily)'!D27</f>
        <v>4026</v>
      </c>
      <c r="C27" s="123">
        <f>SUM('contents(daily)'!G27,'contents(daily)'!J27,'contents(daily)'!M27,'contents(daily)'!P27)</f>
        <v>0</v>
      </c>
    </row>
    <row r="28" spans="1:13">
      <c r="A28" s="126">
        <f>IFERROR('contents(daily)'!U28,"")</f>
        <v>45409</v>
      </c>
      <c r="B28" s="123">
        <f>'contents(daily)'!D28</f>
        <v>1367</v>
      </c>
      <c r="C28" s="123">
        <f>SUM('contents(daily)'!G28,'contents(daily)'!J28,'contents(daily)'!M28,'contents(daily)'!P28)</f>
        <v>0</v>
      </c>
      <c r="M28" t="s">
        <v>808</v>
      </c>
    </row>
    <row r="29" spans="1:13">
      <c r="A29" s="126">
        <f>IFERROR('contents(daily)'!U29,"")</f>
        <v>45410</v>
      </c>
      <c r="B29" s="123">
        <f>'contents(daily)'!D29</f>
        <v>1096</v>
      </c>
      <c r="C29" s="123">
        <f>SUM('contents(daily)'!G29,'contents(daily)'!J29,'contents(daily)'!M29,'contents(daily)'!P29)</f>
        <v>0</v>
      </c>
      <c r="M29" t="s">
        <v>809</v>
      </c>
    </row>
    <row r="30" spans="1:13">
      <c r="A30" s="126">
        <f>IFERROR('contents(daily)'!U30,"")</f>
        <v>45411</v>
      </c>
      <c r="B30" s="123">
        <f>'contents(daily)'!D30</f>
        <v>1073</v>
      </c>
      <c r="C30" s="123">
        <f>SUM('contents(daily)'!G30,'contents(daily)'!J30,'contents(daily)'!M30,'contents(daily)'!P30)</f>
        <v>0</v>
      </c>
    </row>
    <row r="31" spans="1:13">
      <c r="A31" s="126">
        <f>IFERROR('contents(daily)'!U31,"")</f>
        <v>45412</v>
      </c>
      <c r="B31" s="123">
        <f>'contents(daily)'!D31</f>
        <v>854</v>
      </c>
      <c r="C31" s="123">
        <f>SUM('contents(daily)'!G31,'contents(daily)'!J31,'contents(daily)'!M31,'contents(daily)'!P31)</f>
        <v>0</v>
      </c>
    </row>
    <row r="32" spans="1:13">
      <c r="A32" s="126" t="str">
        <f>IFERROR('contents(daily)'!U32,"")</f>
        <v/>
      </c>
      <c r="B32" s="123">
        <f>'contents(daily)'!D32</f>
        <v>0</v>
      </c>
      <c r="C32" s="123">
        <f>SUM('contents(daily)'!G32,'contents(daily)'!J32,'contents(daily)'!M32,'contents(daily)'!P32)</f>
        <v>0</v>
      </c>
    </row>
    <row r="33" spans="1:12">
      <c r="K33" s="1"/>
    </row>
    <row r="34" spans="1:12" ht="17.25" thickBot="1"/>
    <row r="35" spans="1:12" ht="17.25" thickBot="1">
      <c r="A35" s="258"/>
      <c r="B35" s="259" t="s">
        <v>668</v>
      </c>
      <c r="C35" s="259" t="s">
        <v>667</v>
      </c>
      <c r="D35" s="260" t="s">
        <v>669</v>
      </c>
      <c r="L35" s="1"/>
    </row>
    <row r="36" spans="1:12" ht="17.25" thickBot="1">
      <c r="A36" s="256">
        <f>'일간 팔로워'!J1</f>
        <v>45444</v>
      </c>
      <c r="B36" s="251">
        <f>SUM('contents(daily)'!D:D)</f>
        <v>1209459</v>
      </c>
      <c r="C36" s="251">
        <f>SUM('contents(daily)'!H:H)+SUM('contents(daily)'!K:K)+SUM('contents(daily)'!N:N)+SUM('contents(daily)'!Q:Q)</f>
        <v>62666</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354209</v>
      </c>
      <c r="C45" s="2">
        <v>15952</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F083C-0D4D-4EDF-BFAB-ED3DD43C6CED}">
  <sheetPr>
    <tabColor theme="9" tint="0.79998168889431442"/>
  </sheetPr>
  <dimension ref="A1:N80"/>
  <sheetViews>
    <sheetView topLeftCell="A22" workbookViewId="0">
      <selection activeCell="H34" sqref="H34"/>
    </sheetView>
  </sheetViews>
  <sheetFormatPr defaultRowHeight="16.5"/>
  <cols>
    <col min="1" max="1" width="9.875" bestFit="1" customWidth="1"/>
    <col min="2" max="2" width="20.25" customWidth="1"/>
    <col min="3" max="3" width="19.25" bestFit="1" customWidth="1"/>
    <col min="4" max="4" width="10.75" bestFit="1" customWidth="1"/>
    <col min="7" max="7" width="9.875" bestFit="1" customWidth="1"/>
    <col min="12" max="12" width="11.125" bestFit="1" customWidth="1"/>
  </cols>
  <sheetData>
    <row r="1" spans="1:3">
      <c r="A1" s="39" t="s">
        <v>10</v>
      </c>
      <c r="B1" s="127" t="s">
        <v>127</v>
      </c>
      <c r="C1" s="299" t="s">
        <v>128</v>
      </c>
    </row>
    <row r="2" spans="1:3">
      <c r="A2" s="126">
        <f>IFERROR('contents(daily)'!U2,"")</f>
        <v>45383</v>
      </c>
      <c r="B2" s="123">
        <f>'contents(daily)'!B2</f>
        <v>1415</v>
      </c>
      <c r="C2" s="17">
        <f>SUM('contents(daily)'!F2,'contents(daily)'!I2,'contents(daily)'!L2,'contents(daily)'!O2)</f>
        <v>355</v>
      </c>
    </row>
    <row r="3" spans="1:3">
      <c r="A3" s="126">
        <f>IFERROR('contents(daily)'!U3,"")</f>
        <v>45384</v>
      </c>
      <c r="B3" s="123">
        <f>'contents(daily)'!B3</f>
        <v>1378</v>
      </c>
      <c r="C3" s="17">
        <f>SUM('contents(daily)'!F3,'contents(daily)'!I3,'contents(daily)'!L3,'contents(daily)'!O3)</f>
        <v>302</v>
      </c>
    </row>
    <row r="4" spans="1:3">
      <c r="A4" s="126">
        <f>IFERROR('contents(daily)'!U4,"")</f>
        <v>45385</v>
      </c>
      <c r="B4" s="123">
        <f>'contents(daily)'!B4</f>
        <v>1643</v>
      </c>
      <c r="C4" s="17">
        <f>SUM('contents(daily)'!F4,'contents(daily)'!I4,'contents(daily)'!L4,'contents(daily)'!O4)</f>
        <v>223</v>
      </c>
    </row>
    <row r="5" spans="1:3">
      <c r="A5" s="126">
        <f>IFERROR('contents(daily)'!U5,"")</f>
        <v>45386</v>
      </c>
      <c r="B5" s="123">
        <f>'contents(daily)'!B5</f>
        <v>1280</v>
      </c>
      <c r="C5" s="17">
        <f>SUM('contents(daily)'!F5,'contents(daily)'!I5,'contents(daily)'!L5,'contents(daily)'!O5)</f>
        <v>251</v>
      </c>
    </row>
    <row r="6" spans="1:3">
      <c r="A6" s="126">
        <f>IFERROR('contents(daily)'!U6,"")</f>
        <v>45387</v>
      </c>
      <c r="B6" s="123">
        <f>'contents(daily)'!B6</f>
        <v>3151</v>
      </c>
      <c r="C6" s="17">
        <f>SUM('contents(daily)'!F6,'contents(daily)'!I6,'contents(daily)'!L6,'contents(daily)'!O6)</f>
        <v>220</v>
      </c>
    </row>
    <row r="7" spans="1:3">
      <c r="A7" s="126">
        <f>IFERROR('contents(daily)'!U7,"")</f>
        <v>45388</v>
      </c>
      <c r="B7" s="123">
        <f>'contents(daily)'!B7</f>
        <v>981</v>
      </c>
      <c r="C7" s="17">
        <f>SUM('contents(daily)'!F7,'contents(daily)'!I7,'contents(daily)'!L7,'contents(daily)'!O7)</f>
        <v>110</v>
      </c>
    </row>
    <row r="8" spans="1:3">
      <c r="A8" s="126">
        <f>IFERROR('contents(daily)'!U8,"")</f>
        <v>45389</v>
      </c>
      <c r="B8" s="123">
        <f>'contents(daily)'!B8</f>
        <v>1309</v>
      </c>
      <c r="C8" s="17">
        <f>SUM('contents(daily)'!F8,'contents(daily)'!I8,'contents(daily)'!L8,'contents(daily)'!O8)</f>
        <v>168</v>
      </c>
    </row>
    <row r="9" spans="1:3">
      <c r="A9" s="126">
        <f>IFERROR('contents(daily)'!U9,"")</f>
        <v>45390</v>
      </c>
      <c r="B9" s="123">
        <f>'contents(daily)'!B9</f>
        <v>1475</v>
      </c>
      <c r="C9" s="17">
        <f>SUM('contents(daily)'!F9,'contents(daily)'!I9,'contents(daily)'!L9,'contents(daily)'!O9)</f>
        <v>130</v>
      </c>
    </row>
    <row r="10" spans="1:3">
      <c r="A10" s="126">
        <f>IFERROR('contents(daily)'!U10,"")</f>
        <v>45391</v>
      </c>
      <c r="B10" s="123">
        <f>'contents(daily)'!B10</f>
        <v>1533</v>
      </c>
      <c r="C10" s="17">
        <f>SUM('contents(daily)'!F10,'contents(daily)'!I10,'contents(daily)'!L10,'contents(daily)'!O10)</f>
        <v>220</v>
      </c>
    </row>
    <row r="11" spans="1:3">
      <c r="A11" s="126">
        <f>IFERROR('contents(daily)'!U11,"")</f>
        <v>45392</v>
      </c>
      <c r="B11" s="123">
        <f>'contents(daily)'!B11</f>
        <v>807</v>
      </c>
      <c r="C11" s="17">
        <f>SUM('contents(daily)'!F11,'contents(daily)'!I11,'contents(daily)'!L11,'contents(daily)'!O11)</f>
        <v>106</v>
      </c>
    </row>
    <row r="12" spans="1:3">
      <c r="A12" s="126">
        <f>IFERROR('contents(daily)'!U12,"")</f>
        <v>45393</v>
      </c>
      <c r="B12" s="123">
        <f>'contents(daily)'!B12</f>
        <v>1175</v>
      </c>
      <c r="C12" s="17">
        <f>SUM('contents(daily)'!F12,'contents(daily)'!I12,'contents(daily)'!L12,'contents(daily)'!O12)</f>
        <v>143</v>
      </c>
    </row>
    <row r="13" spans="1:3">
      <c r="A13" s="126">
        <f>IFERROR('contents(daily)'!U13,"")</f>
        <v>45394</v>
      </c>
      <c r="B13" s="123">
        <f>'contents(daily)'!B13</f>
        <v>1865</v>
      </c>
      <c r="C13" s="17">
        <f>SUM('contents(daily)'!F13,'contents(daily)'!I13,'contents(daily)'!L13,'contents(daily)'!O13)</f>
        <v>201</v>
      </c>
    </row>
    <row r="14" spans="1:3">
      <c r="A14" s="126">
        <f>IFERROR('contents(daily)'!U14,"")</f>
        <v>45395</v>
      </c>
      <c r="B14" s="123">
        <f>'contents(daily)'!B14</f>
        <v>537</v>
      </c>
      <c r="C14" s="17">
        <f>SUM('contents(daily)'!F14,'contents(daily)'!I14,'contents(daily)'!L14,'contents(daily)'!O14)</f>
        <v>44</v>
      </c>
    </row>
    <row r="15" spans="1:3">
      <c r="A15" s="126">
        <f>IFERROR('contents(daily)'!U15,"")</f>
        <v>45396</v>
      </c>
      <c r="B15" s="123">
        <f>'contents(daily)'!B15</f>
        <v>615</v>
      </c>
      <c r="C15" s="17">
        <f>SUM('contents(daily)'!F15,'contents(daily)'!I15,'contents(daily)'!L15,'contents(daily)'!O15)</f>
        <v>114</v>
      </c>
    </row>
    <row r="16" spans="1:3">
      <c r="A16" s="126">
        <f>IFERROR('contents(daily)'!U16,"")</f>
        <v>45397</v>
      </c>
      <c r="B16" s="123">
        <f>'contents(daily)'!B16</f>
        <v>1820</v>
      </c>
      <c r="C16" s="17">
        <f>SUM('contents(daily)'!F16,'contents(daily)'!I16,'contents(daily)'!L16,'contents(daily)'!O16)</f>
        <v>221</v>
      </c>
    </row>
    <row r="17" spans="1:14">
      <c r="A17" s="126">
        <f>IFERROR('contents(daily)'!U17,"")</f>
        <v>45398</v>
      </c>
      <c r="B17" s="123">
        <f>'contents(daily)'!B17</f>
        <v>995</v>
      </c>
      <c r="C17" s="17">
        <f>SUM('contents(daily)'!F17,'contents(daily)'!I17,'contents(daily)'!L17,'contents(daily)'!O17)</f>
        <v>75</v>
      </c>
    </row>
    <row r="18" spans="1:14">
      <c r="A18" s="126">
        <f>IFERROR('contents(daily)'!U18,"")</f>
        <v>45399</v>
      </c>
      <c r="B18" s="123">
        <f>'contents(daily)'!B18</f>
        <v>2792</v>
      </c>
      <c r="C18" s="17">
        <f>SUM('contents(daily)'!F18,'contents(daily)'!I18,'contents(daily)'!L18,'contents(daily)'!O18)</f>
        <v>221</v>
      </c>
    </row>
    <row r="19" spans="1:14">
      <c r="A19" s="126">
        <f>IFERROR('contents(daily)'!U19,"")</f>
        <v>45400</v>
      </c>
      <c r="B19" s="123">
        <f>'contents(daily)'!B19</f>
        <v>1489</v>
      </c>
      <c r="C19" s="17">
        <f>SUM('contents(daily)'!F19,'contents(daily)'!I19,'contents(daily)'!L19,'contents(daily)'!O19)</f>
        <v>118</v>
      </c>
    </row>
    <row r="20" spans="1:14">
      <c r="A20" s="126">
        <f>IFERROR('contents(daily)'!U20,"")</f>
        <v>45401</v>
      </c>
      <c r="B20" s="123">
        <f>'contents(daily)'!B20</f>
        <v>849</v>
      </c>
      <c r="C20" s="17">
        <f>SUM('contents(daily)'!F20,'contents(daily)'!I20,'contents(daily)'!L20,'contents(daily)'!O20)</f>
        <v>84</v>
      </c>
    </row>
    <row r="21" spans="1:14">
      <c r="A21" s="126">
        <f>IFERROR('contents(daily)'!U21,"")</f>
        <v>45402</v>
      </c>
      <c r="B21" s="123">
        <f>'contents(daily)'!B21</f>
        <v>583</v>
      </c>
      <c r="C21" s="17">
        <f>SUM('contents(daily)'!F21,'contents(daily)'!I21,'contents(daily)'!L21,'contents(daily)'!O21)</f>
        <v>55</v>
      </c>
    </row>
    <row r="22" spans="1:14">
      <c r="A22" s="126">
        <f>IFERROR('contents(daily)'!U22,"")</f>
        <v>45403</v>
      </c>
      <c r="B22" s="123">
        <f>'contents(daily)'!B22</f>
        <v>624</v>
      </c>
      <c r="C22" s="17">
        <f>SUM('contents(daily)'!F22,'contents(daily)'!I22,'contents(daily)'!L22,'contents(daily)'!O22)</f>
        <v>73</v>
      </c>
    </row>
    <row r="23" spans="1:14">
      <c r="A23" s="126">
        <f>IFERROR('contents(daily)'!U23,"")</f>
        <v>45404</v>
      </c>
      <c r="B23" s="123">
        <f>'contents(daily)'!B23</f>
        <v>1721</v>
      </c>
      <c r="C23" s="17">
        <f>SUM('contents(daily)'!F23,'contents(daily)'!I23,'contents(daily)'!L23,'contents(daily)'!O23)</f>
        <v>244</v>
      </c>
      <c r="E23" s="108" t="str">
        <f>"오가닉 Impression "&amp;TEXT(B36,"#,###")&amp;"회 기록, "&amp;IF(MONTH('일간 팔로워'!J1)=1,"작년",IF(MONTH('일간 팔로워'!J1)=2,"1월","1~"&amp;MONTH('일간 팔로워'!J1)-1&amp;"월"))&amp;" 평균 대비 ("&amp;TEXT(AVERAGE($H$40:$H$51),"#,###")&amp;"회) 약 "&amp;TEXT(ABS((AVERAGE($H$40:$H$51)-B36)/AVERAGE($H$40:$H$51)),"0.0%")&amp;IF(AVERAGE($H$40:$H$51)&gt;SUM(contents!AD:AD)," 감소"," 증가")</f>
        <v>오가닉 Impression 48,096회 기록, 1~5월 평균 대비 (1,021,609회) 약 95.3% 감소</v>
      </c>
    </row>
    <row r="24" spans="1:14">
      <c r="A24" s="126">
        <f>IFERROR('contents(daily)'!U24,"")</f>
        <v>45405</v>
      </c>
      <c r="B24" s="123">
        <f>'contents(daily)'!B24</f>
        <v>1961</v>
      </c>
      <c r="C24" s="17">
        <f>SUM('contents(daily)'!F24,'contents(daily)'!I24,'contents(daily)'!L24,'contents(daily)'!O24)</f>
        <v>271</v>
      </c>
      <c r="E24" s="108" t="str">
        <f>"콘텐츠 한 개당 평균 impression "&amp;TEXT(B36/D36,"#,###")&amp;"회로 "&amp;IF(MONTH('일간 팔로워'!J1)=1,"작년",IF(MONTH('일간 팔로워'!J1)=2,"1월","1~"&amp;MONTH('일간 팔로워'!J1)-1&amp;"월"))&amp;" 대비 ("&amp;TEXT((SUM(H40:H51)/SUM(J40:J51)),"#,###")&amp;"회) 대비 "&amp;TEXT(ABS((SUM(H40:H51)/SUM(J40:J51)-B36/D36)/(SUM(H40:H51)/SUM(J40:J51))),"0.0%")&amp;IF(SUM(H40:H51)/SUM(J40:J51)&gt;B36/D36," 감소"," 증가")</f>
        <v>콘텐츠 한 개당 평균 impression 4,008회로 1~5월 대비 (94,593회) 대비 95.8% 감소</v>
      </c>
    </row>
    <row r="25" spans="1:14">
      <c r="A25" s="126">
        <f>IFERROR('contents(daily)'!U25,"")</f>
        <v>45406</v>
      </c>
      <c r="B25" s="123">
        <f>'contents(daily)'!B25</f>
        <v>4052</v>
      </c>
      <c r="C25" s="17">
        <f>SUM('contents(daily)'!F25,'contents(daily)'!I25,'contents(daily)'!L25,'contents(daily)'!O25)</f>
        <v>418</v>
      </c>
      <c r="E25" s="108" t="str">
        <f>"오가닉 Engagement "&amp;TEXT(C36,"#,###")&amp;"회로 "&amp;IF(MONTH('일간 팔로워'!J1)=1,"작년",IF(MONTH('일간 팔로워'!J1)=2,"1월","1~"&amp;MONTH('일간 팔로워'!J1)-1&amp;"월"))&amp;" 평균 대비 ("&amp;TEXT(AVERAGE(I40:I51),"#,###")&amp;"회) 약 "&amp;TEXT(ABS((AVERAGE(I40:I51)-C36)/AVERAGE(I40:I51)),"0.0%")&amp;IF(AVERAGE(I40:I51)&gt;C36," 감소"," 증가")</f>
        <v>오가닉 Engagement 6,137회로 1~5월 평균 대비 (23,124회) 약 73.5% 감소</v>
      </c>
    </row>
    <row r="26" spans="1:14">
      <c r="A26" s="126">
        <f>IFERROR('contents(daily)'!U26,"")</f>
        <v>45407</v>
      </c>
      <c r="B26" s="123">
        <f>'contents(daily)'!B26</f>
        <v>3630</v>
      </c>
      <c r="C26" s="17">
        <f>SUM('contents(daily)'!F26,'contents(daily)'!I26,'contents(daily)'!L26,'contents(daily)'!O26)</f>
        <v>654</v>
      </c>
    </row>
    <row r="27" spans="1:14">
      <c r="A27" s="126">
        <f>IFERROR('contents(daily)'!U27,"")</f>
        <v>45408</v>
      </c>
      <c r="B27" s="123">
        <f>'contents(daily)'!B27</f>
        <v>4026</v>
      </c>
      <c r="C27" s="17">
        <f>SUM('contents(daily)'!F27,'contents(daily)'!I27,'contents(daily)'!L27,'contents(daily)'!O27)</f>
        <v>552</v>
      </c>
    </row>
    <row r="28" spans="1:14">
      <c r="A28" s="126">
        <f>IFERROR('contents(daily)'!U28,"")</f>
        <v>45409</v>
      </c>
      <c r="B28" s="123">
        <f>'contents(daily)'!B28</f>
        <v>1367</v>
      </c>
      <c r="C28" s="17">
        <f>SUM('contents(daily)'!F28,'contents(daily)'!I28,'contents(daily)'!L28,'contents(daily)'!O28)</f>
        <v>210</v>
      </c>
      <c r="N28" t="s">
        <v>808</v>
      </c>
    </row>
    <row r="29" spans="1:14">
      <c r="A29" s="126">
        <f>IFERROR('contents(daily)'!U29,"")</f>
        <v>45410</v>
      </c>
      <c r="B29" s="123">
        <f>'contents(daily)'!B29</f>
        <v>1096</v>
      </c>
      <c r="C29" s="17">
        <f>SUM('contents(daily)'!F29,'contents(daily)'!I29,'contents(daily)'!L29,'contents(daily)'!O29)</f>
        <v>154</v>
      </c>
      <c r="N29" t="s">
        <v>809</v>
      </c>
    </row>
    <row r="30" spans="1:14">
      <c r="A30" s="126">
        <f>IFERROR('contents(daily)'!U30,"")</f>
        <v>45411</v>
      </c>
      <c r="B30" s="123">
        <f>'contents(daily)'!B30</f>
        <v>1073</v>
      </c>
      <c r="C30" s="17">
        <f>SUM('contents(daily)'!F30,'contents(daily)'!I30,'contents(daily)'!L30,'contents(daily)'!O30)</f>
        <v>140</v>
      </c>
    </row>
    <row r="31" spans="1:14">
      <c r="A31" s="126">
        <f>IFERROR('contents(daily)'!U31,"")</f>
        <v>45412</v>
      </c>
      <c r="B31" s="123">
        <f>'contents(daily)'!B31</f>
        <v>854</v>
      </c>
      <c r="C31" s="17">
        <f>SUM('contents(daily)'!F31,'contents(daily)'!I31,'contents(daily)'!L31,'contents(daily)'!O31)</f>
        <v>60</v>
      </c>
    </row>
    <row r="32" spans="1:14" ht="17.25" thickBot="1">
      <c r="A32" s="300" t="str">
        <f>IFERROR('contents(daily)'!U32,"")</f>
        <v/>
      </c>
      <c r="B32" s="125">
        <f>'contents(daily)'!B32</f>
        <v>0</v>
      </c>
      <c r="C32" s="19">
        <f>SUM('contents(daily)'!F32,'contents(daily)'!I32,'contents(daily)'!L32,'contents(daily)'!O32)</f>
        <v>0</v>
      </c>
    </row>
    <row r="33" spans="1:12">
      <c r="L33" s="1"/>
    </row>
    <row r="34" spans="1:12" ht="17.25" thickBot="1"/>
    <row r="35" spans="1:12" ht="17.25" thickBot="1">
      <c r="A35" s="258"/>
      <c r="B35" s="259" t="s">
        <v>668</v>
      </c>
      <c r="C35" s="259" t="s">
        <v>667</v>
      </c>
      <c r="D35" s="260" t="s">
        <v>669</v>
      </c>
      <c r="L35" s="1"/>
    </row>
    <row r="36" spans="1:12" ht="17.25" thickBot="1">
      <c r="A36" s="256">
        <f>'일간 팔로워'!J1</f>
        <v>45444</v>
      </c>
      <c r="B36" s="251">
        <f>SUM(B2:B32)</f>
        <v>48096</v>
      </c>
      <c r="C36" s="251">
        <f>SUM(C2:C32)</f>
        <v>6137</v>
      </c>
      <c r="D36" s="257">
        <f>COUNTA('contents 장표'!F5:F37)-COUNTIF('contents 장표'!F5:F37,"")</f>
        <v>12</v>
      </c>
    </row>
    <row r="38" spans="1:12" ht="17.25" thickBot="1"/>
    <row r="39" spans="1:12" ht="17.25" thickBot="1">
      <c r="A39" s="258"/>
      <c r="B39" s="259" t="s">
        <v>668</v>
      </c>
      <c r="C39" s="259" t="s">
        <v>667</v>
      </c>
      <c r="D39" s="260" t="s">
        <v>669</v>
      </c>
      <c r="G39" s="265"/>
      <c r="H39" s="266" t="s">
        <v>668</v>
      </c>
      <c r="I39" s="266" t="s">
        <v>667</v>
      </c>
      <c r="J39" s="267" t="s">
        <v>669</v>
      </c>
    </row>
    <row r="40" spans="1:12">
      <c r="A40" s="262">
        <v>45292</v>
      </c>
      <c r="B40" s="10">
        <v>431509</v>
      </c>
      <c r="C40" s="10">
        <v>3892</v>
      </c>
      <c r="D40" s="11">
        <v>9</v>
      </c>
      <c r="F40">
        <v>1</v>
      </c>
      <c r="G40" s="268">
        <f>IF(MONTH($A$36)=1,INDEX($A$40:$A$80,MATCH(DATE(YEAR($A$36)-1,$F40,1),$A$40:$A$80,0)),INDEX($A$40:$A$80,MATCH(DATE(YEAR($A$36),$F40,1),$A$40:$A$80)))</f>
        <v>45292</v>
      </c>
      <c r="H40" s="269">
        <f t="shared" ref="H40:H51" si="0">IF(G40="","",VLOOKUP($G40,$A$40:$D$74,2,FALSE))</f>
        <v>431509</v>
      </c>
      <c r="I40" s="269">
        <f t="shared" ref="I40:I51" si="1">IF(H40="","",VLOOKUP($G40,$A$40:$D$74,3,FALSE))</f>
        <v>3892</v>
      </c>
      <c r="J40" s="270">
        <f>IF(I40="","",VLOOKUP($G40,$A$40:$D$74,4,FALSE))</f>
        <v>9</v>
      </c>
      <c r="L40" t="s">
        <v>670</v>
      </c>
    </row>
    <row r="41" spans="1:12">
      <c r="A41" s="261">
        <v>45323</v>
      </c>
      <c r="B41" s="2">
        <v>736792</v>
      </c>
      <c r="C41" s="2">
        <v>6116</v>
      </c>
      <c r="D41" s="4">
        <v>8</v>
      </c>
      <c r="F41">
        <v>2</v>
      </c>
      <c r="G41" s="263">
        <f t="shared" ref="G41:G51" si="2">IF(MONTH($A$36)=1,INDEX($A$40:$A$80,MATCH(DATE(YEAR($A$36)-1,$F41,1),$A$40:$A$80,0)),IF(MONTH($A$36)&lt;=$F41,"",INDEX($A$40:$A$80,MATCH(DATE(YEAR($A$36),$F41,1),$A$40:$A$80))))</f>
        <v>45323</v>
      </c>
      <c r="H41" s="17">
        <f t="shared" si="0"/>
        <v>736792</v>
      </c>
      <c r="I41" s="17">
        <f t="shared" si="1"/>
        <v>6116</v>
      </c>
      <c r="J41" s="124">
        <f t="shared" ref="J41:J51" si="3">IF(I41="","",VLOOKUP($G41,$A$40:$D$74,4,FALSE))</f>
        <v>8</v>
      </c>
      <c r="L41" t="s">
        <v>671</v>
      </c>
    </row>
    <row r="42" spans="1:12">
      <c r="A42" s="261">
        <v>45352</v>
      </c>
      <c r="B42" s="2">
        <v>1925145</v>
      </c>
      <c r="C42" s="2">
        <v>8232</v>
      </c>
      <c r="D42" s="4">
        <v>14</v>
      </c>
      <c r="F42">
        <v>3</v>
      </c>
      <c r="G42" s="263">
        <f t="shared" si="2"/>
        <v>45352</v>
      </c>
      <c r="H42" s="17">
        <f t="shared" si="0"/>
        <v>1925145</v>
      </c>
      <c r="I42" s="17">
        <f t="shared" si="1"/>
        <v>8232</v>
      </c>
      <c r="J42" s="124">
        <f t="shared" si="3"/>
        <v>14</v>
      </c>
    </row>
    <row r="43" spans="1:12">
      <c r="A43" s="261">
        <v>45383</v>
      </c>
      <c r="B43" s="2">
        <v>1209459</v>
      </c>
      <c r="C43" s="2">
        <v>62666</v>
      </c>
      <c r="D43" s="4">
        <v>10</v>
      </c>
      <c r="F43">
        <v>4</v>
      </c>
      <c r="G43" s="263">
        <f t="shared" si="2"/>
        <v>45383</v>
      </c>
      <c r="H43" s="17">
        <f t="shared" si="0"/>
        <v>1209459</v>
      </c>
      <c r="I43" s="17">
        <f t="shared" si="1"/>
        <v>62666</v>
      </c>
      <c r="J43" s="124">
        <f t="shared" si="3"/>
        <v>10</v>
      </c>
    </row>
    <row r="44" spans="1:12">
      <c r="A44" s="261">
        <v>45413</v>
      </c>
      <c r="B44" s="2">
        <v>805140</v>
      </c>
      <c r="C44" s="2">
        <v>34714</v>
      </c>
      <c r="D44" s="4">
        <v>13</v>
      </c>
      <c r="F44">
        <v>5</v>
      </c>
      <c r="G44" s="263">
        <f t="shared" si="2"/>
        <v>45413</v>
      </c>
      <c r="H44" s="17">
        <f t="shared" si="0"/>
        <v>805140</v>
      </c>
      <c r="I44" s="17">
        <f t="shared" si="1"/>
        <v>34714</v>
      </c>
      <c r="J44" s="124">
        <f t="shared" si="3"/>
        <v>13</v>
      </c>
    </row>
    <row r="45" spans="1:12">
      <c r="A45" s="261">
        <v>45444</v>
      </c>
      <c r="B45" s="2">
        <v>62792</v>
      </c>
      <c r="C45" s="2">
        <v>9346</v>
      </c>
      <c r="D45" s="4">
        <v>12</v>
      </c>
      <c r="F45">
        <v>6</v>
      </c>
      <c r="G45" s="263" t="str">
        <f t="shared" si="2"/>
        <v/>
      </c>
      <c r="H45" s="17" t="str">
        <f t="shared" si="0"/>
        <v/>
      </c>
      <c r="I45" s="17" t="str">
        <f t="shared" si="1"/>
        <v/>
      </c>
      <c r="J45" s="124" t="str">
        <f t="shared" si="3"/>
        <v/>
      </c>
    </row>
    <row r="46" spans="1:12">
      <c r="A46" s="261">
        <v>45474</v>
      </c>
      <c r="B46" s="2"/>
      <c r="C46" s="2"/>
      <c r="D46" s="4"/>
      <c r="F46">
        <v>7</v>
      </c>
      <c r="G46" s="263" t="str">
        <f t="shared" si="2"/>
        <v/>
      </c>
      <c r="H46" s="17" t="str">
        <f t="shared" si="0"/>
        <v/>
      </c>
      <c r="I46" s="17" t="str">
        <f t="shared" si="1"/>
        <v/>
      </c>
      <c r="J46" s="124" t="str">
        <f t="shared" si="3"/>
        <v/>
      </c>
    </row>
    <row r="47" spans="1:12">
      <c r="A47" s="261">
        <v>45505</v>
      </c>
      <c r="B47" s="2"/>
      <c r="C47" s="2"/>
      <c r="D47" s="4"/>
      <c r="F47">
        <v>8</v>
      </c>
      <c r="G47" s="263" t="str">
        <f t="shared" si="2"/>
        <v/>
      </c>
      <c r="H47" s="17" t="str">
        <f t="shared" si="0"/>
        <v/>
      </c>
      <c r="I47" s="17" t="str">
        <f t="shared" si="1"/>
        <v/>
      </c>
      <c r="J47" s="124" t="str">
        <f t="shared" si="3"/>
        <v/>
      </c>
    </row>
    <row r="48" spans="1:12">
      <c r="A48" s="261">
        <v>45536</v>
      </c>
      <c r="B48" s="2"/>
      <c r="C48" s="2"/>
      <c r="D48" s="4"/>
      <c r="F48">
        <v>9</v>
      </c>
      <c r="G48" s="263" t="str">
        <f t="shared" si="2"/>
        <v/>
      </c>
      <c r="H48" s="17" t="str">
        <f t="shared" si="0"/>
        <v/>
      </c>
      <c r="I48" s="17" t="str">
        <f t="shared" si="1"/>
        <v/>
      </c>
      <c r="J48" s="124" t="str">
        <f t="shared" si="3"/>
        <v/>
      </c>
    </row>
    <row r="49" spans="1:10">
      <c r="A49" s="261">
        <v>45566</v>
      </c>
      <c r="B49" s="2"/>
      <c r="C49" s="2"/>
      <c r="D49" s="4"/>
      <c r="F49">
        <v>10</v>
      </c>
      <c r="G49" s="263" t="str">
        <f t="shared" si="2"/>
        <v/>
      </c>
      <c r="H49" s="17" t="str">
        <f t="shared" si="0"/>
        <v/>
      </c>
      <c r="I49" s="17" t="str">
        <f t="shared" si="1"/>
        <v/>
      </c>
      <c r="J49" s="124" t="str">
        <f t="shared" si="3"/>
        <v/>
      </c>
    </row>
    <row r="50" spans="1:10">
      <c r="A50" s="261">
        <v>45597</v>
      </c>
      <c r="B50" s="2"/>
      <c r="C50" s="2"/>
      <c r="D50" s="4"/>
      <c r="F50">
        <v>11</v>
      </c>
      <c r="G50" s="263" t="str">
        <f t="shared" si="2"/>
        <v/>
      </c>
      <c r="H50" s="17" t="str">
        <f t="shared" si="0"/>
        <v/>
      </c>
      <c r="I50" s="17" t="str">
        <f t="shared" si="1"/>
        <v/>
      </c>
      <c r="J50" s="124" t="str">
        <f t="shared" si="3"/>
        <v/>
      </c>
    </row>
    <row r="51" spans="1:10" ht="17.25" thickBot="1">
      <c r="A51" s="261">
        <v>45627</v>
      </c>
      <c r="B51" s="2"/>
      <c r="C51" s="2"/>
      <c r="D51" s="4"/>
      <c r="F51">
        <v>12</v>
      </c>
      <c r="G51" s="264" t="str">
        <f t="shared" si="2"/>
        <v/>
      </c>
      <c r="H51" s="19" t="str">
        <f t="shared" si="0"/>
        <v/>
      </c>
      <c r="I51" s="19" t="str">
        <f t="shared" si="1"/>
        <v/>
      </c>
      <c r="J51" s="20" t="str">
        <f t="shared" si="3"/>
        <v/>
      </c>
    </row>
    <row r="52" spans="1:10">
      <c r="A52" s="261">
        <v>45658</v>
      </c>
      <c r="B52" s="2"/>
      <c r="C52" s="2"/>
      <c r="D52" s="4"/>
    </row>
    <row r="53" spans="1:10">
      <c r="A53" s="261"/>
      <c r="B53" s="2"/>
      <c r="C53" s="2"/>
      <c r="D53" s="4"/>
    </row>
    <row r="54" spans="1:10">
      <c r="A54" s="261"/>
      <c r="B54" s="2"/>
      <c r="C54" s="2"/>
      <c r="D54" s="4"/>
    </row>
    <row r="55" spans="1:10">
      <c r="A55" s="261"/>
      <c r="B55" s="2"/>
      <c r="C55" s="2"/>
      <c r="D55" s="4"/>
    </row>
    <row r="56" spans="1:10">
      <c r="A56" s="261"/>
      <c r="B56" s="2"/>
      <c r="C56" s="2"/>
      <c r="D56" s="4"/>
    </row>
    <row r="57" spans="1:10">
      <c r="A57" s="261"/>
      <c r="B57" s="2"/>
      <c r="C57" s="2"/>
      <c r="D57" s="4"/>
    </row>
    <row r="58" spans="1:10">
      <c r="A58" s="261"/>
      <c r="B58" s="2"/>
      <c r="C58" s="2"/>
      <c r="D58" s="4"/>
    </row>
    <row r="59" spans="1:10">
      <c r="A59" s="261"/>
      <c r="B59" s="2"/>
      <c r="C59" s="2"/>
      <c r="D59" s="4"/>
    </row>
    <row r="60" spans="1:10">
      <c r="A60" s="261"/>
      <c r="B60" s="2"/>
      <c r="C60" s="2"/>
      <c r="D60" s="4"/>
    </row>
    <row r="61" spans="1:10">
      <c r="A61" s="261"/>
      <c r="B61" s="2"/>
      <c r="C61" s="2"/>
      <c r="D61" s="4"/>
    </row>
    <row r="62" spans="1:10">
      <c r="A62" s="261"/>
      <c r="B62" s="2"/>
      <c r="C62" s="2"/>
      <c r="D62" s="4"/>
    </row>
    <row r="63" spans="1:10">
      <c r="A63" s="261"/>
      <c r="B63" s="2"/>
      <c r="C63" s="2"/>
      <c r="D63" s="4"/>
    </row>
    <row r="64" spans="1:10">
      <c r="A64" s="261"/>
      <c r="B64" s="2"/>
      <c r="C64" s="2"/>
      <c r="D64" s="4"/>
    </row>
    <row r="65" spans="1:4">
      <c r="A65" s="261"/>
      <c r="B65" s="2"/>
      <c r="C65" s="2"/>
      <c r="D65" s="4"/>
    </row>
    <row r="66" spans="1:4">
      <c r="A66" s="261"/>
      <c r="B66" s="2"/>
      <c r="C66" s="2"/>
      <c r="D66" s="4"/>
    </row>
    <row r="67" spans="1:4">
      <c r="A67" s="261"/>
      <c r="B67" s="2"/>
      <c r="C67" s="2"/>
      <c r="D67" s="4"/>
    </row>
    <row r="68" spans="1:4">
      <c r="A68" s="261"/>
      <c r="B68" s="2"/>
      <c r="C68" s="2"/>
      <c r="D68" s="4"/>
    </row>
    <row r="69" spans="1:4">
      <c r="A69" s="261"/>
      <c r="B69" s="2"/>
      <c r="C69" s="2"/>
      <c r="D69" s="4"/>
    </row>
    <row r="70" spans="1:4">
      <c r="A70" s="261"/>
      <c r="B70" s="2"/>
      <c r="C70" s="2"/>
      <c r="D70" s="4"/>
    </row>
    <row r="71" spans="1:4">
      <c r="A71" s="261"/>
      <c r="B71" s="2"/>
      <c r="C71" s="2"/>
      <c r="D71" s="4"/>
    </row>
    <row r="72" spans="1:4">
      <c r="A72" s="261"/>
      <c r="B72" s="2"/>
      <c r="C72" s="2"/>
      <c r="D72" s="4"/>
    </row>
    <row r="73" spans="1:4">
      <c r="A73" s="261"/>
      <c r="B73" s="2"/>
      <c r="C73" s="2"/>
      <c r="D73" s="4"/>
    </row>
    <row r="74" spans="1:4">
      <c r="A74" s="261"/>
      <c r="B74" s="2"/>
      <c r="C74" s="2"/>
      <c r="D74" s="4"/>
    </row>
    <row r="75" spans="1:4">
      <c r="A75" s="261"/>
      <c r="B75" s="2"/>
      <c r="C75" s="2"/>
      <c r="D75" s="4"/>
    </row>
    <row r="76" spans="1:4">
      <c r="A76" s="261"/>
      <c r="B76" s="2"/>
      <c r="C76" s="2"/>
      <c r="D76" s="4"/>
    </row>
    <row r="77" spans="1:4">
      <c r="A77" s="261"/>
      <c r="B77" s="2"/>
      <c r="C77" s="2"/>
      <c r="D77" s="4"/>
    </row>
    <row r="78" spans="1:4">
      <c r="A78" s="261"/>
      <c r="B78" s="2"/>
      <c r="C78" s="2"/>
      <c r="D78" s="4"/>
    </row>
    <row r="79" spans="1:4">
      <c r="A79" s="261"/>
      <c r="B79" s="2"/>
      <c r="C79" s="2"/>
      <c r="D79" s="4"/>
    </row>
    <row r="80" spans="1:4" ht="17.25" thickBot="1">
      <c r="A80" s="261"/>
      <c r="B80" s="7"/>
      <c r="C80" s="7"/>
      <c r="D80" s="8"/>
    </row>
  </sheetData>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DF88F-4638-42F7-A2FC-E90C6B9DA996}">
  <sheetPr>
    <tabColor theme="9" tint="0.79998168889431442"/>
  </sheetPr>
  <dimension ref="A1:W500"/>
  <sheetViews>
    <sheetView topLeftCell="A4" workbookViewId="0">
      <selection activeCell="L22" sqref="L22:N33"/>
    </sheetView>
  </sheetViews>
  <sheetFormatPr defaultRowHeight="16.5"/>
  <cols>
    <col min="1" max="1" width="23.375" style="37" customWidth="1"/>
    <col min="2" max="2" width="9.875" style="132" customWidth="1"/>
    <col min="3" max="3" width="30.75" customWidth="1"/>
    <col min="4" max="4" width="13.75" bestFit="1" customWidth="1"/>
    <col min="5" max="5" width="6" customWidth="1"/>
    <col min="6" max="6" width="21.125" style="37" customWidth="1"/>
    <col min="7" max="7" width="16.125" style="132" bestFit="1" customWidth="1"/>
    <col min="8" max="8" width="22.875" customWidth="1"/>
    <col min="9" max="9" width="13.75" bestFit="1" customWidth="1"/>
    <col min="12" max="12" width="9" style="76"/>
    <col min="13" max="13" width="17.125" style="76" customWidth="1"/>
    <col min="14" max="14" width="20.125" style="76" customWidth="1"/>
  </cols>
  <sheetData>
    <row r="1" spans="1:23" s="76" customFormat="1">
      <c r="A1" s="128" t="s">
        <v>129</v>
      </c>
      <c r="B1" s="128" t="s">
        <v>130</v>
      </c>
      <c r="C1" s="129" t="s">
        <v>131</v>
      </c>
      <c r="F1" s="128" t="s">
        <v>132</v>
      </c>
      <c r="G1" s="128" t="s">
        <v>133</v>
      </c>
      <c r="H1" s="129" t="s">
        <v>131</v>
      </c>
      <c r="Q1" s="130" t="s">
        <v>134</v>
      </c>
      <c r="S1" s="131" t="s">
        <v>135</v>
      </c>
      <c r="T1" s="131" t="s">
        <v>136</v>
      </c>
      <c r="U1" s="131" t="s">
        <v>137</v>
      </c>
      <c r="V1" s="131" t="s">
        <v>138</v>
      </c>
      <c r="W1" s="131" t="s">
        <v>139</v>
      </c>
    </row>
    <row r="2" spans="1:23" ht="17.25" thickBot="1">
      <c r="A2" s="37" t="s">
        <v>711</v>
      </c>
      <c r="B2" s="132">
        <v>4</v>
      </c>
      <c r="C2" s="108" t="str">
        <f t="array" ref="C2">IFERROR(IF(A2="","",IF(ISNUMBER(MATCH(TRUE,ISNUMBER(SEARCH($Q$2:$Q$51, $A2)),0))=TRUE,"United States of America",INDEX($S$2:$S$199,MATCH(TRUE,ISNUMBER(SEARCH($S$2:$S$199, $A2)),0)))),"United States of America")</f>
        <v>Ukraine</v>
      </c>
      <c r="D2" s="108" t="str">
        <f t="array" ref="D2">IF(A2="","",IF(ISNUMBER(MATCH(TRUE,ISNUMBER(SEARCH($Q$2:$Q$51, $A2)),0))=TRUE,"",IF(ISNUMBER(MATCH(TRUE,ISNUMBER(SEARCH($S$2:$S$199, $A2)),0))=TRUE,"","미국 확인 필요")))</f>
        <v/>
      </c>
      <c r="F2" s="37" t="s">
        <v>140</v>
      </c>
      <c r="G2" s="132">
        <v>4486</v>
      </c>
      <c r="H2" s="108" t="str">
        <f t="array" ref="H2">IFERROR(IF(F2="","",IF(ISNUMBER(MATCH(TRUE,ISNUMBER(SEARCH($Q$2:$Q$51, $F2)),0))=TRUE,"United States of America",INDEX($S$2:$S$199,MATCH(TRUE,ISNUMBER(SEARCH($S$2:$S$199, $F2)),0)))),"United States of America")</f>
        <v>Korea</v>
      </c>
      <c r="I2" s="108" t="str">
        <f t="array" ref="I2">IF(F2="","",IF(ISNUMBER(MATCH(TRUE,ISNUMBER(SEARCH($Q$2:$Q$51, $F2)),0))=TRUE,"",IF(ISNUMBER(MATCH(TRUE,ISNUMBER(SEARCH($S$2:$S$199, $F2)),0))=TRUE,"","미국 확인 필요")))</f>
        <v/>
      </c>
      <c r="L2" s="129"/>
      <c r="Q2" s="133" t="s">
        <v>141</v>
      </c>
      <c r="S2" s="2" t="s">
        <v>142</v>
      </c>
      <c r="T2" s="17">
        <f t="shared" ref="T2:T65" si="0">SUMIF(C:C,S2,B:B)</f>
        <v>0</v>
      </c>
      <c r="U2" s="17" t="str">
        <f>IF(T2=0,"",RANK(T2,T:T,0)+COUNTIF(T$1:T1,T2))</f>
        <v/>
      </c>
      <c r="V2" s="17">
        <f t="shared" ref="V2:V65" si="1">SUMIF(H:H,S2,G:G)</f>
        <v>0</v>
      </c>
      <c r="W2" s="17" t="str">
        <f>IF(V2=0,"",RANK(V2,V:V,0)+COUNTIF(V$1:V1,V2))</f>
        <v/>
      </c>
    </row>
    <row r="3" spans="1:23" ht="17.25" thickBot="1">
      <c r="A3" s="37" t="s">
        <v>148</v>
      </c>
      <c r="B3" s="132">
        <v>5</v>
      </c>
      <c r="C3" s="108" t="str">
        <f t="array" ref="C3">IFERROR(IF(A3="","",IF(ISNUMBER(MATCH(TRUE,ISNUMBER(SEARCH($Q$2:$Q$51, $A3)),0))=TRUE,"United States of America",INDEX($S$2:$S$199,MATCH(TRUE,ISNUMBER(SEARCH($S$2:$S$199, $A3)),0)))),"United States of America")</f>
        <v>Thailand</v>
      </c>
      <c r="D3" s="108" t="str">
        <f t="array" ref="D3">IF(A3="","",IF(ISNUMBER(MATCH(TRUE,ISNUMBER(SEARCH($Q$2:$Q$51, $A3)),0))=TRUE,"",IF(ISNUMBER(MATCH(TRUE,ISNUMBER(SEARCH($S$2:$S$199, $A3)),0))=TRUE,"","미국 확인 필요")))</f>
        <v/>
      </c>
      <c r="F3" s="37" t="s">
        <v>155</v>
      </c>
      <c r="G3" s="132">
        <v>678</v>
      </c>
      <c r="H3" s="108" t="str">
        <f t="array" ref="H3">IFERROR(IF(F3="","",IF(ISNUMBER(MATCH(TRUE,ISNUMBER(SEARCH($Q$2:$Q$51, $F3)),0))=TRUE,"United States of America",INDEX($S$2:$S$199,MATCH(TRUE,ISNUMBER(SEARCH($S$2:$S$199, $F3)),0)))),"United States of America")</f>
        <v>India</v>
      </c>
      <c r="I3" s="108" t="str">
        <f t="array" ref="I3">IF(F3="","",IF(ISNUMBER(MATCH(TRUE,ISNUMBER(SEARCH($Q$2:$Q$51, $F3)),0))=TRUE,"",IF(ISNUMBER(MATCH(TRUE,ISNUMBER(SEARCH($S$2:$S$199, $F3)),0))=TRUE,"","미국 확인 필요")))</f>
        <v/>
      </c>
      <c r="L3" s="391" t="s">
        <v>145</v>
      </c>
      <c r="M3" s="392"/>
      <c r="N3" s="393"/>
      <c r="Q3" s="133" t="s">
        <v>146</v>
      </c>
      <c r="S3" s="2" t="s">
        <v>147</v>
      </c>
      <c r="T3" s="17">
        <f t="shared" si="0"/>
        <v>0</v>
      </c>
      <c r="U3" s="17" t="str">
        <f>IF(T3=0,"",RANK(T3,T:T,0)+COUNTIF(T$1:T2,T3))</f>
        <v/>
      </c>
      <c r="V3" s="17">
        <f t="shared" si="1"/>
        <v>0</v>
      </c>
      <c r="W3" s="17" t="str">
        <f>IF(V3=0,"",RANK(V3,V:V,0)+COUNTIF(V$1:V2,V3))</f>
        <v/>
      </c>
    </row>
    <row r="4" spans="1:23">
      <c r="A4" s="37" t="s">
        <v>569</v>
      </c>
      <c r="B4" s="132">
        <v>8</v>
      </c>
      <c r="C4" s="108" t="str">
        <f t="array" ref="C4">IFERROR(IF(A4="","",IF(ISNUMBER(MATCH(TRUE,ISNUMBER(SEARCH($Q$2:$Q$51, $A4)),0))=TRUE,"United States of America",INDEX($S$2:$S$199,MATCH(TRUE,ISNUMBER(SEARCH($S$2:$S$199, $A4)),0)))),"United States of America")</f>
        <v>Germany</v>
      </c>
      <c r="D4" s="108" t="str">
        <f t="array" ref="D4">IF(A4="","",IF(ISNUMBER(MATCH(TRUE,ISNUMBER(SEARCH($Q$2:$Q$51, $A4)),0))=TRUE,"",IF(ISNUMBER(MATCH(TRUE,ISNUMBER(SEARCH($S$2:$S$199, $A4)),0))=TRUE,"","미국 확인 필요")))</f>
        <v/>
      </c>
      <c r="F4" s="37" t="s">
        <v>149</v>
      </c>
      <c r="G4" s="132">
        <v>555</v>
      </c>
      <c r="H4" s="108" t="str">
        <f t="array" ref="H4">IFERROR(IF(F4="","",IF(ISNUMBER(MATCH(TRUE,ISNUMBER(SEARCH($Q$2:$Q$51, $F4)),0))=TRUE,"United States of America",INDEX($S$2:$S$199,MATCH(TRUE,ISNUMBER(SEARCH($S$2:$S$199, $F4)),0)))),"United States of America")</f>
        <v>India</v>
      </c>
      <c r="I4" s="108" t="str">
        <f t="array" ref="I4">IF(F4="","",IF(ISNUMBER(MATCH(TRUE,ISNUMBER(SEARCH($Q$2:$Q$51, $F4)),0))=TRUE,"",IF(ISNUMBER(MATCH(TRUE,ISNUMBER(SEARCH($S$2:$S$199, $F4)),0))=TRUE,"","미국 확인 필요")))</f>
        <v/>
      </c>
      <c r="L4" s="134" t="s">
        <v>150</v>
      </c>
      <c r="M4" s="135" t="s">
        <v>151</v>
      </c>
      <c r="N4" s="136">
        <f>'일간 팔로워'!J1</f>
        <v>45444</v>
      </c>
      <c r="Q4" s="133" t="s">
        <v>152</v>
      </c>
      <c r="S4" s="2" t="s">
        <v>153</v>
      </c>
      <c r="T4" s="17">
        <f t="shared" si="0"/>
        <v>0</v>
      </c>
      <c r="U4" s="17" t="str">
        <f>IF(T4=0,"",RANK(T4,T:T,0)+COUNTIF(T$1:T3,T4))</f>
        <v/>
      </c>
      <c r="V4" s="17">
        <f t="shared" si="1"/>
        <v>0</v>
      </c>
      <c r="W4" s="17" t="str">
        <f>IF(V4=0,"",RANK(V4,V:V,0)+COUNTIF(V$1:V3,V4))</f>
        <v/>
      </c>
    </row>
    <row r="5" spans="1:23">
      <c r="A5" s="37" t="s">
        <v>712</v>
      </c>
      <c r="B5" s="132">
        <v>15</v>
      </c>
      <c r="C5" s="108" t="str">
        <f t="array" ref="C5">IFERROR(IF(A5="","",IF(ISNUMBER(MATCH(TRUE,ISNUMBER(SEARCH($Q$2:$Q$51, $A5)),0))=TRUE,"United States of America",INDEX($S$2:$S$199,MATCH(TRUE,ISNUMBER(SEARCH($S$2:$S$199, $A5)),0)))),"United States of America")</f>
        <v>Japan</v>
      </c>
      <c r="D5" s="108" t="str">
        <f t="array" ref="D5">IF(A5="","",IF(ISNUMBER(MATCH(TRUE,ISNUMBER(SEARCH($Q$2:$Q$51, $A5)),0))=TRUE,"",IF(ISNUMBER(MATCH(TRUE,ISNUMBER(SEARCH($S$2:$S$199, $A5)),0))=TRUE,"","미국 확인 필요")))</f>
        <v/>
      </c>
      <c r="F5" s="37" t="s">
        <v>161</v>
      </c>
      <c r="G5" s="132">
        <v>460</v>
      </c>
      <c r="H5" s="108" t="str">
        <f t="array" ref="H5">IFERROR(IF(F5="","",IF(ISNUMBER(MATCH(TRUE,ISNUMBER(SEARCH($Q$2:$Q$51, $F5)),0))=TRUE,"United States of America",INDEX($S$2:$S$199,MATCH(TRUE,ISNUMBER(SEARCH($S$2:$S$199, $F5)),0)))),"United States of America")</f>
        <v>India</v>
      </c>
      <c r="I5" s="108" t="str">
        <f t="array" ref="I5">IF(F5="","",IF(ISNUMBER(MATCH(TRUE,ISNUMBER(SEARCH($Q$2:$Q$51, $F5)),0))=TRUE,"",IF(ISNUMBER(MATCH(TRUE,ISNUMBER(SEARCH($S$2:$S$199, $F5)),0))=TRUE,"","미국 확인 필요")))</f>
        <v/>
      </c>
      <c r="L5" s="137">
        <v>1</v>
      </c>
      <c r="M5" s="138" t="str">
        <f t="shared" ref="M5:M14" si="2">INDEX(S:S,MATCH(L5,U:U,0))</f>
        <v>Korea</v>
      </c>
      <c r="N5" s="139">
        <f t="shared" ref="N5:N14" si="3">INDEX(T:T,MATCH(L5,U:U,0))</f>
        <v>1362</v>
      </c>
      <c r="Q5" s="133" t="s">
        <v>156</v>
      </c>
      <c r="S5" s="2" t="s">
        <v>157</v>
      </c>
      <c r="T5" s="17">
        <f t="shared" si="0"/>
        <v>0</v>
      </c>
      <c r="U5" s="17" t="str">
        <f>IF(T5=0,"",RANK(T5,T:T,0)+COUNTIF(T$1:T4,T5))</f>
        <v/>
      </c>
      <c r="V5" s="17">
        <f t="shared" si="1"/>
        <v>0</v>
      </c>
      <c r="W5" s="17" t="str">
        <f>IF(V5=0,"",RANK(V5,V:V,0)+COUNTIF(V$1:V4,V5))</f>
        <v/>
      </c>
    </row>
    <row r="6" spans="1:23" ht="25.5">
      <c r="A6" s="37" t="s">
        <v>164</v>
      </c>
      <c r="B6" s="132">
        <v>173</v>
      </c>
      <c r="C6" s="108" t="str">
        <f t="array" ref="C6">IFERROR(IF(A6="","",IF(ISNUMBER(MATCH(TRUE,ISNUMBER(SEARCH($Q$2:$Q$51, $A6)),0))=TRUE,"United States of America",INDEX($S$2:$S$199,MATCH(TRUE,ISNUMBER(SEARCH($S$2:$S$199, $A6)),0)))),"United States of America")</f>
        <v>United States of America</v>
      </c>
      <c r="D6" s="108" t="str">
        <f t="array" ref="D6">IF(A6="","",IF(ISNUMBER(MATCH(TRUE,ISNUMBER(SEARCH($Q$2:$Q$51, $A6)),0))=TRUE,"",IF(ISNUMBER(MATCH(TRUE,ISNUMBER(SEARCH($S$2:$S$199, $A6)),0))=TRUE,"","미국 확인 필요")))</f>
        <v/>
      </c>
      <c r="F6" s="37" t="s">
        <v>578</v>
      </c>
      <c r="G6" s="132">
        <v>382</v>
      </c>
      <c r="H6" s="108" t="str">
        <f t="array" ref="H6">IFERROR(IF(F6="","",IF(ISNUMBER(MATCH(TRUE,ISNUMBER(SEARCH($Q$2:$Q$51, $F6)),0))=TRUE,"United States of America",INDEX($S$2:$S$199,MATCH(TRUE,ISNUMBER(SEARCH($S$2:$S$199, $F6)),0)))),"United States of America")</f>
        <v>Pakistan</v>
      </c>
      <c r="I6" s="108" t="str">
        <f t="array" ref="I6">IF(F6="","",IF(ISNUMBER(MATCH(TRUE,ISNUMBER(SEARCH($Q$2:$Q$51, $F6)),0))=TRUE,"",IF(ISNUMBER(MATCH(TRUE,ISNUMBER(SEARCH($S$2:$S$199, $F6)),0))=TRUE,"","미국 확인 필요")))</f>
        <v/>
      </c>
      <c r="L6" s="137">
        <v>2</v>
      </c>
      <c r="M6" s="138" t="str">
        <f t="shared" si="2"/>
        <v>United States of America</v>
      </c>
      <c r="N6" s="139">
        <f t="shared" si="3"/>
        <v>639</v>
      </c>
      <c r="Q6" s="133" t="s">
        <v>159</v>
      </c>
      <c r="S6" s="2" t="s">
        <v>160</v>
      </c>
      <c r="T6" s="17">
        <f t="shared" si="0"/>
        <v>30</v>
      </c>
      <c r="U6" s="17">
        <f>IF(T6=0,"",RANK(T6,T:T,0)+COUNTIF(T$1:T5,T6))</f>
        <v>6</v>
      </c>
      <c r="V6" s="17">
        <f t="shared" si="1"/>
        <v>76</v>
      </c>
      <c r="W6" s="17">
        <f>IF(V6=0,"",RANK(V6,V:V,0)+COUNTIF(V$1:V5,V6))</f>
        <v>12</v>
      </c>
    </row>
    <row r="7" spans="1:23">
      <c r="A7" s="37" t="s">
        <v>713</v>
      </c>
      <c r="B7" s="132">
        <v>4</v>
      </c>
      <c r="C7" s="108" t="str">
        <f t="array" ref="C7">IFERROR(IF(A7="","",IF(ISNUMBER(MATCH(TRUE,ISNUMBER(SEARCH($Q$2:$Q$51, $A7)),0))=TRUE,"United States of America",INDEX($S$2:$S$199,MATCH(TRUE,ISNUMBER(SEARCH($S$2:$S$199, $A7)),0)))),"United States of America")</f>
        <v>United Arab Emirates</v>
      </c>
      <c r="D7" s="108" t="str">
        <f t="array" ref="D7">IF(A7="","",IF(ISNUMBER(MATCH(TRUE,ISNUMBER(SEARCH($Q$2:$Q$51, $A7)),0))=TRUE,"",IF(ISNUMBER(MATCH(TRUE,ISNUMBER(SEARCH($S$2:$S$199, $A7)),0))=TRUE,"","미국 확인 필요")))</f>
        <v/>
      </c>
      <c r="F7" s="37" t="s">
        <v>172</v>
      </c>
      <c r="G7" s="132">
        <v>374</v>
      </c>
      <c r="H7" s="108" t="str">
        <f t="array" ref="H7">IFERROR(IF(F7="","",IF(ISNUMBER(MATCH(TRUE,ISNUMBER(SEARCH($Q$2:$Q$51, $F7)),0))=TRUE,"United States of America",INDEX($S$2:$S$199,MATCH(TRUE,ISNUMBER(SEARCH($S$2:$S$199, $F7)),0)))),"United States of America")</f>
        <v>India</v>
      </c>
      <c r="I7" s="108" t="str">
        <f t="array" ref="I7">IF(F7="","",IF(ISNUMBER(MATCH(TRUE,ISNUMBER(SEARCH($Q$2:$Q$51, $F7)),0))=TRUE,"",IF(ISNUMBER(MATCH(TRUE,ISNUMBER(SEARCH($S$2:$S$199, $F7)),0))=TRUE,"","미국 확인 필요")))</f>
        <v/>
      </c>
      <c r="L7" s="137">
        <v>3</v>
      </c>
      <c r="M7" s="138" t="str">
        <f t="shared" si="2"/>
        <v>India</v>
      </c>
      <c r="N7" s="139">
        <f t="shared" si="3"/>
        <v>299</v>
      </c>
      <c r="Q7" s="133" t="s">
        <v>162</v>
      </c>
      <c r="S7" s="2" t="s">
        <v>163</v>
      </c>
      <c r="T7" s="17">
        <f t="shared" si="0"/>
        <v>12</v>
      </c>
      <c r="U7" s="17">
        <f>IF(T7=0,"",RANK(T7,T:T,0)+COUNTIF(T$1:T6,T7))</f>
        <v>15</v>
      </c>
      <c r="V7" s="17">
        <f t="shared" si="1"/>
        <v>170</v>
      </c>
      <c r="W7" s="17">
        <f>IF(V7=0,"",RANK(V7,V:V,0)+COUNTIF(V$1:V6,V7))</f>
        <v>5</v>
      </c>
    </row>
    <row r="8" spans="1:23">
      <c r="A8" s="37" t="s">
        <v>570</v>
      </c>
      <c r="B8" s="132">
        <v>3</v>
      </c>
      <c r="C8" s="108" t="str">
        <f t="array" ref="C8">IFERROR(IF(A8="","",IF(ISNUMBER(MATCH(TRUE,ISNUMBER(SEARCH($Q$2:$Q$51, $A8)),0))=TRUE,"United States of America",INDEX($S$2:$S$199,MATCH(TRUE,ISNUMBER(SEARCH($S$2:$S$199, $A8)),0)))),"United States of America")</f>
        <v>Pakistan</v>
      </c>
      <c r="D8" s="108" t="str">
        <f t="array" ref="D8">IF(A8="","",IF(ISNUMBER(MATCH(TRUE,ISNUMBER(SEARCH($Q$2:$Q$51, $A8)),0))=TRUE,"",IF(ISNUMBER(MATCH(TRUE,ISNUMBER(SEARCH($S$2:$S$199, $A8)),0))=TRUE,"","미국 확인 필요")))</f>
        <v/>
      </c>
      <c r="F8" s="37" t="s">
        <v>577</v>
      </c>
      <c r="G8" s="132">
        <v>333</v>
      </c>
      <c r="H8" s="108" t="str">
        <f t="array" ref="H8">IFERROR(IF(F8="","",IF(ISNUMBER(MATCH(TRUE,ISNUMBER(SEARCH($Q$2:$Q$51, $F8)),0))=TRUE,"United States of America",INDEX($S$2:$S$199,MATCH(TRUE,ISNUMBER(SEARCH($S$2:$S$199, $F8)),0)))),"United States of America")</f>
        <v>Pakistan</v>
      </c>
      <c r="I8" s="108" t="str">
        <f t="array" ref="I8">IF(F8="","",IF(ISNUMBER(MATCH(TRUE,ISNUMBER(SEARCH($Q$2:$Q$51, $F8)),0))=TRUE,"",IF(ISNUMBER(MATCH(TRUE,ISNUMBER(SEARCH($S$2:$S$199, $F8)),0))=TRUE,"","미국 확인 필요")))</f>
        <v/>
      </c>
      <c r="L8" s="137">
        <v>4</v>
      </c>
      <c r="M8" s="138" t="str">
        <f t="shared" si="2"/>
        <v>Germany</v>
      </c>
      <c r="N8" s="139">
        <f t="shared" si="3"/>
        <v>244</v>
      </c>
      <c r="Q8" s="133" t="s">
        <v>166</v>
      </c>
      <c r="S8" s="2" t="s">
        <v>167</v>
      </c>
      <c r="T8" s="17">
        <f t="shared" si="0"/>
        <v>67</v>
      </c>
      <c r="U8" s="17">
        <f>IF(T8=0,"",RANK(T8,T:T,0)+COUNTIF(T$1:T7,T8))</f>
        <v>5</v>
      </c>
      <c r="V8" s="17">
        <f t="shared" si="1"/>
        <v>120</v>
      </c>
      <c r="W8" s="17">
        <f>IF(V8=0,"",RANK(V8,V:V,0)+COUNTIF(V$1:V7,V8))</f>
        <v>7</v>
      </c>
    </row>
    <row r="9" spans="1:23">
      <c r="A9" s="37" t="s">
        <v>571</v>
      </c>
      <c r="B9" s="132">
        <v>4</v>
      </c>
      <c r="C9" s="108" t="str">
        <f t="array" ref="C9">IFERROR(IF(A9="","",IF(ISNUMBER(MATCH(TRUE,ISNUMBER(SEARCH($Q$2:$Q$51, $A9)),0))=TRUE,"United States of America",INDEX($S$2:$S$199,MATCH(TRUE,ISNUMBER(SEARCH($S$2:$S$199, $A9)),0)))),"United States of America")</f>
        <v>United States of America</v>
      </c>
      <c r="D9" s="108" t="str">
        <f t="array" ref="D9">IF(A9="","",IF(ISNUMBER(MATCH(TRUE,ISNUMBER(SEARCH($Q$2:$Q$51, $A9)),0))=TRUE,"",IF(ISNUMBER(MATCH(TRUE,ISNUMBER(SEARCH($S$2:$S$199, $A9)),0))=TRUE,"","미국 확인 필요")))</f>
        <v/>
      </c>
      <c r="F9" s="37" t="s">
        <v>192</v>
      </c>
      <c r="G9" s="132">
        <v>246</v>
      </c>
      <c r="H9" s="108" t="str">
        <f t="array" ref="H9">IFERROR(IF(F9="","",IF(ISNUMBER(MATCH(TRUE,ISNUMBER(SEARCH($Q$2:$Q$51, $F9)),0))=TRUE,"United States of America",INDEX($S$2:$S$199,MATCH(TRUE,ISNUMBER(SEARCH($S$2:$S$199, $F9)),0)))),"United States of America")</f>
        <v>India</v>
      </c>
      <c r="I9" s="108" t="str">
        <f t="array" ref="I9">IF(F9="","",IF(ISNUMBER(MATCH(TRUE,ISNUMBER(SEARCH($Q$2:$Q$51, $F9)),0))=TRUE,"",IF(ISNUMBER(MATCH(TRUE,ISNUMBER(SEARCH($S$2:$S$199, $F9)),0))=TRUE,"","미국 확인 필요")))</f>
        <v/>
      </c>
      <c r="L9" s="137">
        <v>5</v>
      </c>
      <c r="M9" s="138" t="str">
        <f t="shared" si="2"/>
        <v>United Kingdom</v>
      </c>
      <c r="N9" s="139">
        <f t="shared" si="3"/>
        <v>67</v>
      </c>
      <c r="Q9" s="133" t="s">
        <v>169</v>
      </c>
      <c r="S9" s="2" t="s">
        <v>170</v>
      </c>
      <c r="T9" s="17">
        <f t="shared" si="0"/>
        <v>9</v>
      </c>
      <c r="U9" s="17">
        <f>IF(T9=0,"",RANK(T9,T:T,0)+COUNTIF(T$1:T8,T9))</f>
        <v>17</v>
      </c>
      <c r="V9" s="17">
        <f t="shared" si="1"/>
        <v>116</v>
      </c>
      <c r="W9" s="17">
        <f>IF(V9=0,"",RANK(V9,V:V,0)+COUNTIF(V$1:V8,V9))</f>
        <v>8</v>
      </c>
    </row>
    <row r="10" spans="1:23">
      <c r="A10" s="37" t="s">
        <v>175</v>
      </c>
      <c r="B10" s="132">
        <v>22</v>
      </c>
      <c r="C10" s="108" t="str">
        <f t="array" ref="C10">IFERROR(IF(A10="","",IF(ISNUMBER(MATCH(TRUE,ISNUMBER(SEARCH($Q$2:$Q$51, $A10)),0))=TRUE,"United States of America",INDEX($S$2:$S$199,MATCH(TRUE,ISNUMBER(SEARCH($S$2:$S$199, $A10)),0)))),"United States of America")</f>
        <v>India</v>
      </c>
      <c r="D10" s="108" t="str">
        <f t="array" ref="D10">IF(A10="","",IF(ISNUMBER(MATCH(TRUE,ISNUMBER(SEARCH($Q$2:$Q$51, $A10)),0))=TRUE,"",IF(ISNUMBER(MATCH(TRUE,ISNUMBER(SEARCH($S$2:$S$199, $A10)),0))=TRUE,"","미국 확인 필요")))</f>
        <v/>
      </c>
      <c r="F10" s="37" t="s">
        <v>175</v>
      </c>
      <c r="G10" s="132">
        <v>227</v>
      </c>
      <c r="H10" s="108" t="str">
        <f t="array" ref="H10">IFERROR(IF(F10="","",IF(ISNUMBER(MATCH(TRUE,ISNUMBER(SEARCH($Q$2:$Q$51, $F10)),0))=TRUE,"United States of America",INDEX($S$2:$S$199,MATCH(TRUE,ISNUMBER(SEARCH($S$2:$S$199, $F10)),0)))),"United States of America")</f>
        <v>India</v>
      </c>
      <c r="I10" s="108" t="str">
        <f t="array" ref="I10">IF(F10="","",IF(ISNUMBER(MATCH(TRUE,ISNUMBER(SEARCH($Q$2:$Q$51, $F10)),0))=TRUE,"",IF(ISNUMBER(MATCH(TRUE,ISNUMBER(SEARCH($S$2:$S$199, $F10)),0))=TRUE,"","미국 확인 필요")))</f>
        <v/>
      </c>
      <c r="L10" s="137">
        <v>6</v>
      </c>
      <c r="M10" s="138" t="str">
        <f t="shared" si="2"/>
        <v>Canada</v>
      </c>
      <c r="N10" s="139">
        <f t="shared" si="3"/>
        <v>30</v>
      </c>
      <c r="Q10" s="133" t="s">
        <v>173</v>
      </c>
      <c r="S10" s="2" t="s">
        <v>174</v>
      </c>
      <c r="T10" s="17">
        <f t="shared" si="0"/>
        <v>14</v>
      </c>
      <c r="U10" s="17">
        <f>IF(T10=0,"",RANK(T10,T:T,0)+COUNTIF(T$1:T9,T10))</f>
        <v>13</v>
      </c>
      <c r="V10" s="17">
        <f t="shared" si="1"/>
        <v>0</v>
      </c>
      <c r="W10" s="17" t="str">
        <f>IF(V10=0,"",RANK(V10,V:V,0)+COUNTIF(V$1:V9,V10))</f>
        <v/>
      </c>
    </row>
    <row r="11" spans="1:23">
      <c r="A11" s="37" t="s">
        <v>714</v>
      </c>
      <c r="B11" s="132">
        <v>15</v>
      </c>
      <c r="C11" s="108" t="str">
        <f t="array" ref="C11">IFERROR(IF(A11="","",IF(ISNUMBER(MATCH(TRUE,ISNUMBER(SEARCH($Q$2:$Q$51, $A11)),0))=TRUE,"United States of America",INDEX($S$2:$S$199,MATCH(TRUE,ISNUMBER(SEARCH($S$2:$S$199, $A11)),0)))),"United States of America")</f>
        <v>Germany</v>
      </c>
      <c r="D11" s="108" t="str">
        <f t="array" ref="D11">IF(A11="","",IF(ISNUMBER(MATCH(TRUE,ISNUMBER(SEARCH($Q$2:$Q$51, $A11)),0))=TRUE,"",IF(ISNUMBER(MATCH(TRUE,ISNUMBER(SEARCH($S$2:$S$199, $A11)),0))=TRUE,"","미국 확인 필요")))</f>
        <v/>
      </c>
      <c r="F11" s="37" t="s">
        <v>176</v>
      </c>
      <c r="G11" s="132">
        <v>225</v>
      </c>
      <c r="H11" s="108" t="str">
        <f t="array" ref="H11">IFERROR(IF(F11="","",IF(ISNUMBER(MATCH(TRUE,ISNUMBER(SEARCH($Q$2:$Q$51, $F11)),0))=TRUE,"United States of America",INDEX($S$2:$S$199,MATCH(TRUE,ISNUMBER(SEARCH($S$2:$S$199, $F11)),0)))),"United States of America")</f>
        <v>India</v>
      </c>
      <c r="I11" s="108" t="str">
        <f t="array" ref="I11">IF(F11="","",IF(ISNUMBER(MATCH(TRUE,ISNUMBER(SEARCH($Q$2:$Q$51, $F11)),0))=TRUE,"",IF(ISNUMBER(MATCH(TRUE,ISNUMBER(SEARCH($S$2:$S$199, $F11)),0))=TRUE,"","미국 확인 필요")))</f>
        <v/>
      </c>
      <c r="L11" s="137">
        <v>7</v>
      </c>
      <c r="M11" s="138" t="str">
        <f t="shared" si="2"/>
        <v>France</v>
      </c>
      <c r="N11" s="139">
        <f t="shared" si="3"/>
        <v>26</v>
      </c>
      <c r="Q11" s="133" t="s">
        <v>177</v>
      </c>
      <c r="S11" s="2" t="s">
        <v>178</v>
      </c>
      <c r="T11" s="17">
        <f t="shared" si="0"/>
        <v>22</v>
      </c>
      <c r="U11" s="17">
        <f>IF(T11=0,"",RANK(T11,T:T,0)+COUNTIF(T$1:T10,T11))</f>
        <v>10</v>
      </c>
      <c r="V11" s="17">
        <f t="shared" si="1"/>
        <v>0</v>
      </c>
      <c r="W11" s="17" t="str">
        <f>IF(V11=0,"",RANK(V11,V:V,0)+COUNTIF(V$1:V10,V11))</f>
        <v/>
      </c>
    </row>
    <row r="12" spans="1:23">
      <c r="A12" s="37" t="s">
        <v>155</v>
      </c>
      <c r="B12" s="132">
        <v>30</v>
      </c>
      <c r="C12" s="108" t="str">
        <f t="array" ref="C12">IFERROR(IF(A12="","",IF(ISNUMBER(MATCH(TRUE,ISNUMBER(SEARCH($Q$2:$Q$51, $A12)),0))=TRUE,"United States of America",INDEX($S$2:$S$199,MATCH(TRUE,ISNUMBER(SEARCH($S$2:$S$199, $A12)),0)))),"United States of America")</f>
        <v>India</v>
      </c>
      <c r="D12" s="108" t="str">
        <f t="array" ref="D12">IF(A12="","",IF(ISNUMBER(MATCH(TRUE,ISNUMBER(SEARCH($Q$2:$Q$51, $A12)),0))=TRUE,"",IF(ISNUMBER(MATCH(TRUE,ISNUMBER(SEARCH($S$2:$S$199, $A12)),0))=TRUE,"","미국 확인 필요")))</f>
        <v/>
      </c>
      <c r="F12" s="37" t="s">
        <v>186</v>
      </c>
      <c r="G12" s="132">
        <v>187</v>
      </c>
      <c r="H12" s="108" t="str">
        <f t="array" ref="H12">IFERROR(IF(F12="","",IF(ISNUMBER(MATCH(TRUE,ISNUMBER(SEARCH($Q$2:$Q$51, $F12)),0))=TRUE,"United States of America",INDEX($S$2:$S$199,MATCH(TRUE,ISNUMBER(SEARCH($S$2:$S$199, $F12)),0)))),"United States of America")</f>
        <v>United States of America</v>
      </c>
      <c r="I12" s="108" t="str">
        <f t="array" ref="I12">IF(F12="","",IF(ISNUMBER(MATCH(TRUE,ISNUMBER(SEARCH($Q$2:$Q$51, $F12)),0))=TRUE,"",IF(ISNUMBER(MATCH(TRUE,ISNUMBER(SEARCH($S$2:$S$199, $F12)),0))=TRUE,"","미국 확인 필요")))</f>
        <v/>
      </c>
      <c r="L12" s="137">
        <v>8</v>
      </c>
      <c r="M12" s="138" t="str">
        <f t="shared" si="2"/>
        <v>Netherlands</v>
      </c>
      <c r="N12" s="139">
        <f t="shared" si="3"/>
        <v>25</v>
      </c>
      <c r="Q12" s="133" t="s">
        <v>180</v>
      </c>
      <c r="S12" s="2" t="s">
        <v>181</v>
      </c>
      <c r="T12" s="17">
        <f t="shared" si="0"/>
        <v>244</v>
      </c>
      <c r="U12" s="17">
        <f>IF(T12=0,"",RANK(T12,T:T,0)+COUNTIF(T$1:T11,T12))</f>
        <v>4</v>
      </c>
      <c r="V12" s="17">
        <f t="shared" si="1"/>
        <v>63</v>
      </c>
      <c r="W12" s="17">
        <f>IF(V12=0,"",RANK(V12,V:V,0)+COUNTIF(V$1:V11,V12))</f>
        <v>16</v>
      </c>
    </row>
    <row r="13" spans="1:23">
      <c r="A13" s="37" t="s">
        <v>715</v>
      </c>
      <c r="B13" s="132">
        <v>3</v>
      </c>
      <c r="C13" s="108" t="str">
        <f t="array" ref="C13">IFERROR(IF(A13="","",IF(ISNUMBER(MATCH(TRUE,ISNUMBER(SEARCH($Q$2:$Q$51, $A13)),0))=TRUE,"United States of America",INDEX($S$2:$S$199,MATCH(TRUE,ISNUMBER(SEARCH($S$2:$S$199, $A13)),0)))),"United States of America")</f>
        <v>India</v>
      </c>
      <c r="D13" s="108" t="str">
        <f t="array" ref="D13">IF(A13="","",IF(ISNUMBER(MATCH(TRUE,ISNUMBER(SEARCH($Q$2:$Q$51, $A13)),0))=TRUE,"",IF(ISNUMBER(MATCH(TRUE,ISNUMBER(SEARCH($S$2:$S$199, $A13)),0))=TRUE,"","미국 확인 필요")))</f>
        <v/>
      </c>
      <c r="F13" s="37" t="s">
        <v>588</v>
      </c>
      <c r="G13" s="132">
        <v>171</v>
      </c>
      <c r="H13" s="108" t="str">
        <f t="array" ref="H13">IFERROR(IF(F13="","",IF(ISNUMBER(MATCH(TRUE,ISNUMBER(SEARCH($Q$2:$Q$51, $F13)),0))=TRUE,"United States of America",INDEX($S$2:$S$199,MATCH(TRUE,ISNUMBER(SEARCH($S$2:$S$199, $F13)),0)))),"United States of America")</f>
        <v>Pakistan</v>
      </c>
      <c r="I13" s="108" t="str">
        <f t="array" ref="I13">IF(F13="","",IF(ISNUMBER(MATCH(TRUE,ISNUMBER(SEARCH($Q$2:$Q$51, $F13)),0))=TRUE,"",IF(ISNUMBER(MATCH(TRUE,ISNUMBER(SEARCH($S$2:$S$199, $F13)),0))=TRUE,"","미국 확인 필요")))</f>
        <v/>
      </c>
      <c r="L13" s="137">
        <v>9</v>
      </c>
      <c r="M13" s="138" t="str">
        <f t="shared" si="2"/>
        <v>Indonesia</v>
      </c>
      <c r="N13" s="139">
        <f t="shared" si="3"/>
        <v>25</v>
      </c>
      <c r="Q13" s="133" t="s">
        <v>183</v>
      </c>
      <c r="S13" s="2" t="s">
        <v>184</v>
      </c>
      <c r="T13" s="17">
        <f t="shared" si="0"/>
        <v>6</v>
      </c>
      <c r="U13" s="17">
        <f>IF(T13=0,"",RANK(T13,T:T,0)+COUNTIF(T$1:T12,T13))</f>
        <v>24</v>
      </c>
      <c r="V13" s="17">
        <f t="shared" si="1"/>
        <v>25</v>
      </c>
      <c r="W13" s="17">
        <f>IF(V13=0,"",RANK(V13,V:V,0)+COUNTIF(V$1:V12,V13))</f>
        <v>30</v>
      </c>
    </row>
    <row r="14" spans="1:23">
      <c r="A14" s="37" t="s">
        <v>716</v>
      </c>
      <c r="B14" s="132">
        <v>7</v>
      </c>
      <c r="C14" s="108" t="str">
        <f t="array" ref="C14">IFERROR(IF(A14="","",IF(ISNUMBER(MATCH(TRUE,ISNUMBER(SEARCH($Q$2:$Q$51, $A14)),0))=TRUE,"United States of America",INDEX($S$2:$S$199,MATCH(TRUE,ISNUMBER(SEARCH($S$2:$S$199, $A14)),0)))),"United States of America")</f>
        <v>United States of America</v>
      </c>
      <c r="D14" s="108" t="str">
        <f t="array" ref="D14">IF(A14="","",IF(ISNUMBER(MATCH(TRUE,ISNUMBER(SEARCH($Q$2:$Q$51, $A14)),0))=TRUE,"",IF(ISNUMBER(MATCH(TRUE,ISNUMBER(SEARCH($S$2:$S$199, $A14)),0))=TRUE,"","미국 확인 필요")))</f>
        <v>미국 확인 필요</v>
      </c>
      <c r="F14" s="37" t="s">
        <v>168</v>
      </c>
      <c r="G14" s="132">
        <v>170</v>
      </c>
      <c r="H14" s="108" t="str">
        <f t="array" ref="H14">IFERROR(IF(F14="","",IF(ISNUMBER(MATCH(TRUE,ISNUMBER(SEARCH($Q$2:$Q$51, $F14)),0))=TRUE,"United States of America",INDEX($S$2:$S$199,MATCH(TRUE,ISNUMBER(SEARCH($S$2:$S$199, $F14)),0)))),"United States of America")</f>
        <v>Singapore</v>
      </c>
      <c r="I14" s="108" t="str">
        <f t="array" ref="I14">IF(F14="","",IF(ISNUMBER(MATCH(TRUE,ISNUMBER(SEARCH($Q$2:$Q$51, $F14)),0))=TRUE,"",IF(ISNUMBER(MATCH(TRUE,ISNUMBER(SEARCH($S$2:$S$199, $F14)),0))=TRUE,"","미국 확인 필요")))</f>
        <v/>
      </c>
      <c r="L14" s="140">
        <v>10</v>
      </c>
      <c r="M14" s="138" t="str">
        <f t="shared" si="2"/>
        <v>Switzerland</v>
      </c>
      <c r="N14" s="139">
        <f t="shared" si="3"/>
        <v>22</v>
      </c>
      <c r="Q14" s="133" t="s">
        <v>187</v>
      </c>
      <c r="S14" s="2" t="s">
        <v>188</v>
      </c>
      <c r="T14" s="17">
        <f t="shared" si="0"/>
        <v>26</v>
      </c>
      <c r="U14" s="17">
        <f>IF(T14=0,"",RANK(T14,T:T,0)+COUNTIF(T$1:T13,T14))</f>
        <v>7</v>
      </c>
      <c r="V14" s="17">
        <f t="shared" si="1"/>
        <v>94</v>
      </c>
      <c r="W14" s="17">
        <f>IF(V14=0,"",RANK(V14,V:V,0)+COUNTIF(V$1:V13,V14))</f>
        <v>9</v>
      </c>
    </row>
    <row r="15" spans="1:23" ht="17.25" thickBot="1">
      <c r="A15" s="37" t="s">
        <v>717</v>
      </c>
      <c r="B15" s="132">
        <v>23</v>
      </c>
      <c r="C15" s="108" t="str">
        <f t="array" ref="C15">IFERROR(IF(A15="","",IF(ISNUMBER(MATCH(TRUE,ISNUMBER(SEARCH($Q$2:$Q$51, $A15)),0))=TRUE,"United States of America",INDEX($S$2:$S$199,MATCH(TRUE,ISNUMBER(SEARCH($S$2:$S$199, $A15)),0)))),"United States of America")</f>
        <v>Germany</v>
      </c>
      <c r="D15" s="108" t="str">
        <f t="array" ref="D15">IF(A15="","",IF(ISNUMBER(MATCH(TRUE,ISNUMBER(SEARCH($Q$2:$Q$51, $A15)),0))=TRUE,"",IF(ISNUMBER(MATCH(TRUE,ISNUMBER(SEARCH($S$2:$S$199, $A15)),0))=TRUE,"","미국 확인 필요")))</f>
        <v/>
      </c>
      <c r="F15" s="37" t="s">
        <v>222</v>
      </c>
      <c r="G15" s="132">
        <v>167</v>
      </c>
      <c r="H15" s="108" t="str">
        <f t="array" ref="H15">IFERROR(IF(F15="","",IF(ISNUMBER(MATCH(TRUE,ISNUMBER(SEARCH($Q$2:$Q$51, $F15)),0))=TRUE,"United States of America",INDEX($S$2:$S$199,MATCH(TRUE,ISNUMBER(SEARCH($S$2:$S$199, $F15)),0)))),"United States of America")</f>
        <v>Egypt</v>
      </c>
      <c r="I15" s="108" t="str">
        <f t="array" ref="I15">IF(F15="","",IF(ISNUMBER(MATCH(TRUE,ISNUMBER(SEARCH($Q$2:$Q$51, $F15)),0))=TRUE,"",IF(ISNUMBER(MATCH(TRUE,ISNUMBER(SEARCH($S$2:$S$199, $F15)),0))=TRUE,"","미국 확인 필요")))</f>
        <v/>
      </c>
      <c r="L15" s="394" t="s">
        <v>82</v>
      </c>
      <c r="M15" s="395"/>
      <c r="N15" s="141" t="str">
        <f>TEXT(SUM(T:T),"#,###")&amp;" (전체 "&amp;TEXT(SUM(T:T)/SUM(visitors!V:V),"#.0%")&amp;")"</f>
        <v>2,929 (전체 62.9%)</v>
      </c>
      <c r="Q15" s="133" t="s">
        <v>190</v>
      </c>
      <c r="S15" s="2" t="s">
        <v>191</v>
      </c>
      <c r="T15" s="17">
        <f t="shared" si="0"/>
        <v>8</v>
      </c>
      <c r="U15" s="17">
        <f>IF(T15=0,"",RANK(T15,T:T,0)+COUNTIF(T$1:T14,T15))</f>
        <v>20</v>
      </c>
      <c r="V15" s="17">
        <f t="shared" si="1"/>
        <v>25</v>
      </c>
      <c r="W15" s="17">
        <f>IF(V15=0,"",RANK(V15,V:V,0)+COUNTIF(V$1:V14,V15))</f>
        <v>31</v>
      </c>
    </row>
    <row r="16" spans="1:23">
      <c r="A16" s="37" t="s">
        <v>718</v>
      </c>
      <c r="B16" s="132">
        <v>4</v>
      </c>
      <c r="C16" s="108" t="str">
        <f t="array" ref="C16">IFERROR(IF(A16="","",IF(ISNUMBER(MATCH(TRUE,ISNUMBER(SEARCH($Q$2:$Q$51, $A16)),0))=TRUE,"United States of America",INDEX($S$2:$S$199,MATCH(TRUE,ISNUMBER(SEARCH($S$2:$S$199, $A16)),0)))),"United States of America")</f>
        <v>Brazil</v>
      </c>
      <c r="D16" s="108" t="str">
        <f t="array" ref="D16">IF(A16="","",IF(ISNUMBER(MATCH(TRUE,ISNUMBER(SEARCH($Q$2:$Q$51, $A16)),0))=TRUE,"",IF(ISNUMBER(MATCH(TRUE,ISNUMBER(SEARCH($S$2:$S$199, $A16)),0))=TRUE,"","미국 확인 필요")))</f>
        <v/>
      </c>
      <c r="F16" s="37" t="s">
        <v>214</v>
      </c>
      <c r="G16" s="132">
        <v>164</v>
      </c>
      <c r="H16" s="108" t="str">
        <f t="array" ref="H16">IFERROR(IF(F16="","",IF(ISNUMBER(MATCH(TRUE,ISNUMBER(SEARCH($Q$2:$Q$51, $F16)),0))=TRUE,"United States of America",INDEX($S$2:$S$199,MATCH(TRUE,ISNUMBER(SEARCH($S$2:$S$199, $F16)),0)))),"United States of America")</f>
        <v>India</v>
      </c>
      <c r="I16" s="108" t="str">
        <f t="array" ref="I16">IF(F16="","",IF(ISNUMBER(MATCH(TRUE,ISNUMBER(SEARCH($Q$2:$Q$51, $F16)),0))=TRUE,"",IF(ISNUMBER(MATCH(TRUE,ISNUMBER(SEARCH($S$2:$S$199, $F16)),0))=TRUE,"","미국 확인 필요")))</f>
        <v/>
      </c>
      <c r="Q16" s="133" t="s">
        <v>193</v>
      </c>
      <c r="S16" s="2" t="s">
        <v>194</v>
      </c>
      <c r="T16" s="17">
        <f t="shared" si="0"/>
        <v>25</v>
      </c>
      <c r="U16" s="17">
        <f>IF(T16=0,"",RANK(T16,T:T,0)+COUNTIF(T$1:T15,T16))</f>
        <v>8</v>
      </c>
      <c r="V16" s="17">
        <f t="shared" si="1"/>
        <v>23</v>
      </c>
      <c r="W16" s="17">
        <f>IF(V16=0,"",RANK(V16,V:V,0)+COUNTIF(V$1:V15,V16))</f>
        <v>33</v>
      </c>
    </row>
    <row r="17" spans="1:23">
      <c r="A17" s="37" t="s">
        <v>719</v>
      </c>
      <c r="B17" s="132">
        <v>16</v>
      </c>
      <c r="C17" s="108" t="str">
        <f t="array" ref="C17">IFERROR(IF(A17="","",IF(ISNUMBER(MATCH(TRUE,ISNUMBER(SEARCH($Q$2:$Q$51, $A17)),0))=TRUE,"United States of America",INDEX($S$2:$S$199,MATCH(TRUE,ISNUMBER(SEARCH($S$2:$S$199, $A17)),0)))),"United States of America")</f>
        <v>Germany</v>
      </c>
      <c r="D17" s="108" t="str">
        <f t="array" ref="D17">IF(A17="","",IF(ISNUMBER(MATCH(TRUE,ISNUMBER(SEARCH($Q$2:$Q$51, $A17)),0))=TRUE,"",IF(ISNUMBER(MATCH(TRUE,ISNUMBER(SEARCH($S$2:$S$199, $A17)),0))=TRUE,"","미국 확인 필요")))</f>
        <v/>
      </c>
      <c r="F17" s="37" t="s">
        <v>227</v>
      </c>
      <c r="G17" s="132">
        <v>160</v>
      </c>
      <c r="H17" s="108" t="str">
        <f t="array" ref="H17">IFERROR(IF(F17="","",IF(ISNUMBER(MATCH(TRUE,ISNUMBER(SEARCH($Q$2:$Q$51, $F17)),0))=TRUE,"United States of America",INDEX($S$2:$S$199,MATCH(TRUE,ISNUMBER(SEARCH($S$2:$S$199, $F17)),0)))),"United States of America")</f>
        <v>United States of America</v>
      </c>
      <c r="I17" s="108" t="str">
        <f t="array" ref="I17">IF(F17="","",IF(ISNUMBER(MATCH(TRUE,ISNUMBER(SEARCH($Q$2:$Q$51, $F17)),0))=TRUE,"",IF(ISNUMBER(MATCH(TRUE,ISNUMBER(SEARCH($S$2:$S$199, $F17)),0))=TRUE,"","미국 확인 필요")))</f>
        <v>미국 확인 필요</v>
      </c>
      <c r="Q17" s="133" t="s">
        <v>196</v>
      </c>
      <c r="S17" s="2" t="s">
        <v>197</v>
      </c>
      <c r="T17" s="17">
        <f t="shared" si="0"/>
        <v>0</v>
      </c>
      <c r="U17" s="17" t="str">
        <f>IF(T17=0,"",RANK(T17,T:T,0)+COUNTIF(T$1:T16,T17))</f>
        <v/>
      </c>
      <c r="V17" s="17">
        <f t="shared" si="1"/>
        <v>0</v>
      </c>
      <c r="W17" s="17" t="str">
        <f>IF(V17=0,"",RANK(V17,V:V,0)+COUNTIF(V$1:V16,V17))</f>
        <v/>
      </c>
    </row>
    <row r="18" spans="1:23">
      <c r="A18" s="37" t="s">
        <v>144</v>
      </c>
      <c r="B18" s="132">
        <v>40</v>
      </c>
      <c r="C18" s="108" t="str">
        <f t="array" ref="C18">IFERROR(IF(A18="","",IF(ISNUMBER(MATCH(TRUE,ISNUMBER(SEARCH($Q$2:$Q$51, $A18)),0))=TRUE,"United States of America",INDEX($S$2:$S$199,MATCH(TRUE,ISNUMBER(SEARCH($S$2:$S$199, $A18)),0)))),"United States of America")</f>
        <v>United States of America</v>
      </c>
      <c r="D18" s="108" t="str">
        <f t="array" ref="D18">IF(A18="","",IF(ISNUMBER(MATCH(TRUE,ISNUMBER(SEARCH($Q$2:$Q$51, $A18)),0))=TRUE,"",IF(ISNUMBER(MATCH(TRUE,ISNUMBER(SEARCH($S$2:$S$199, $A18)),0))=TRUE,"","미국 확인 필요")))</f>
        <v>미국 확인 필요</v>
      </c>
      <c r="F18" s="37" t="s">
        <v>210</v>
      </c>
      <c r="G18" s="132">
        <v>143</v>
      </c>
      <c r="H18" s="108" t="str">
        <f t="array" ref="H18">IFERROR(IF(F18="","",IF(ISNUMBER(MATCH(TRUE,ISNUMBER(SEARCH($Q$2:$Q$51, $F18)),0))=TRUE,"United States of America",INDEX($S$2:$S$199,MATCH(TRUE,ISNUMBER(SEARCH($S$2:$S$199, $F18)),0)))),"United States of America")</f>
        <v>India</v>
      </c>
      <c r="I18" s="108" t="str">
        <f t="array" ref="I18">IF(F18="","",IF(ISNUMBER(MATCH(TRUE,ISNUMBER(SEARCH($Q$2:$Q$51, $F18)),0))=TRUE,"",IF(ISNUMBER(MATCH(TRUE,ISNUMBER(SEARCH($S$2:$S$199, $F18)),0))=TRUE,"","미국 확인 필요")))</f>
        <v/>
      </c>
      <c r="Q18" s="133" t="s">
        <v>199</v>
      </c>
      <c r="S18" s="2" t="s">
        <v>200</v>
      </c>
      <c r="T18" s="17">
        <f t="shared" si="0"/>
        <v>0</v>
      </c>
      <c r="U18" s="17" t="str">
        <f>IF(T18=0,"",RANK(T18,T:T,0)+COUNTIF(T$1:T17,T18))</f>
        <v/>
      </c>
      <c r="V18" s="17">
        <f t="shared" si="1"/>
        <v>0</v>
      </c>
      <c r="W18" s="17" t="str">
        <f>IF(V18=0,"",RANK(V18,V:V,0)+COUNTIF(V$1:V17,V18))</f>
        <v/>
      </c>
    </row>
    <row r="19" spans="1:23">
      <c r="A19" s="37" t="s">
        <v>720</v>
      </c>
      <c r="B19" s="132">
        <v>37</v>
      </c>
      <c r="C19" s="108" t="str">
        <f t="array" ref="C19">IFERROR(IF(A19="","",IF(ISNUMBER(MATCH(TRUE,ISNUMBER(SEARCH($Q$2:$Q$51, $A19)),0))=TRUE,"United States of America",INDEX($S$2:$S$199,MATCH(TRUE,ISNUMBER(SEARCH($S$2:$S$199, $A19)),0)))),"United States of America")</f>
        <v>Germany</v>
      </c>
      <c r="D19" s="108" t="str">
        <f t="array" ref="D19">IF(A19="","",IF(ISNUMBER(MATCH(TRUE,ISNUMBER(SEARCH($Q$2:$Q$51, $A19)),0))=TRUE,"",IF(ISNUMBER(MATCH(TRUE,ISNUMBER(SEARCH($S$2:$S$199, $A19)),0))=TRUE,"","미국 확인 필요")))</f>
        <v/>
      </c>
      <c r="F19" s="37" t="s">
        <v>570</v>
      </c>
      <c r="G19" s="132">
        <v>136</v>
      </c>
      <c r="H19" s="108" t="str">
        <f t="array" ref="H19">IFERROR(IF(F19="","",IF(ISNUMBER(MATCH(TRUE,ISNUMBER(SEARCH($Q$2:$Q$51, $F19)),0))=TRUE,"United States of America",INDEX($S$2:$S$199,MATCH(TRUE,ISNUMBER(SEARCH($S$2:$S$199, $F19)),0)))),"United States of America")</f>
        <v>Pakistan</v>
      </c>
      <c r="I19" s="108" t="str">
        <f t="array" ref="I19">IF(F19="","",IF(ISNUMBER(MATCH(TRUE,ISNUMBER(SEARCH($Q$2:$Q$51, $F19)),0))=TRUE,"",IF(ISNUMBER(MATCH(TRUE,ISNUMBER(SEARCH($S$2:$S$199, $F19)),0))=TRUE,"","미국 확인 필요")))</f>
        <v/>
      </c>
      <c r="Q19" s="133" t="s">
        <v>202</v>
      </c>
      <c r="S19" s="2" t="s">
        <v>203</v>
      </c>
      <c r="T19" s="17">
        <f t="shared" si="0"/>
        <v>14</v>
      </c>
      <c r="U19" s="17">
        <f>IF(T19=0,"",RANK(T19,T:T,0)+COUNTIF(T$1:T18,T19))</f>
        <v>14</v>
      </c>
      <c r="V19" s="17">
        <f t="shared" si="1"/>
        <v>57</v>
      </c>
      <c r="W19" s="17">
        <f>IF(V19=0,"",RANK(V19,V:V,0)+COUNTIF(V$1:V18,V19))</f>
        <v>19</v>
      </c>
    </row>
    <row r="20" spans="1:23" ht="17.25" thickBot="1">
      <c r="A20" s="37" t="s">
        <v>179</v>
      </c>
      <c r="B20" s="132">
        <v>10</v>
      </c>
      <c r="C20" s="108" t="str">
        <f t="array" ref="C20">IFERROR(IF(A20="","",IF(ISNUMBER(MATCH(TRUE,ISNUMBER(SEARCH($Q$2:$Q$51, $A20)),0))=TRUE,"United States of America",INDEX($S$2:$S$199,MATCH(TRUE,ISNUMBER(SEARCH($S$2:$S$199, $A20)),0)))),"United States of America")</f>
        <v>Brazil</v>
      </c>
      <c r="D20" s="108" t="str">
        <f t="array" ref="D20">IF(A20="","",IF(ISNUMBER(MATCH(TRUE,ISNUMBER(SEARCH($Q$2:$Q$51, $A20)),0))=TRUE,"",IF(ISNUMBER(MATCH(TRUE,ISNUMBER(SEARCH($S$2:$S$199, $A20)),0))=TRUE,"","미국 확인 필요")))</f>
        <v/>
      </c>
      <c r="F20" s="37" t="s">
        <v>201</v>
      </c>
      <c r="G20" s="132">
        <v>127</v>
      </c>
      <c r="H20" s="108" t="str">
        <f t="array" ref="H20">IFERROR(IF(F20="","",IF(ISNUMBER(MATCH(TRUE,ISNUMBER(SEARCH($Q$2:$Q$51, $F20)),0))=TRUE,"United States of America",INDEX($S$2:$S$199,MATCH(TRUE,ISNUMBER(SEARCH($S$2:$S$199, $F20)),0)))),"United States of America")</f>
        <v>Korea</v>
      </c>
      <c r="I20" s="108" t="str">
        <f t="array" ref="I20">IF(F20="","",IF(ISNUMBER(MATCH(TRUE,ISNUMBER(SEARCH($Q$2:$Q$51, $F20)),0))=TRUE,"",IF(ISNUMBER(MATCH(TRUE,ISNUMBER(SEARCH($S$2:$S$199, $F20)),0))=TRUE,"","미국 확인 필요")))</f>
        <v/>
      </c>
      <c r="L20" s="129"/>
      <c r="Q20" s="133" t="s">
        <v>204</v>
      </c>
      <c r="S20" s="2" t="s">
        <v>205</v>
      </c>
      <c r="T20" s="17">
        <f t="shared" si="0"/>
        <v>299</v>
      </c>
      <c r="U20" s="17">
        <f>IF(T20=0,"",RANK(T20,T:T,0)+COUNTIF(T$1:T19,T20))</f>
        <v>3</v>
      </c>
      <c r="V20" s="17">
        <f t="shared" si="1"/>
        <v>3953</v>
      </c>
      <c r="W20" s="17">
        <f>IF(V20=0,"",RANK(V20,V:V,0)+COUNTIF(V$1:V19,V20))</f>
        <v>2</v>
      </c>
    </row>
    <row r="21" spans="1:23" ht="17.25" thickBot="1">
      <c r="A21" s="37" t="s">
        <v>158</v>
      </c>
      <c r="B21" s="132">
        <v>4</v>
      </c>
      <c r="C21" s="108" t="str">
        <f t="array" ref="C21">IFERROR(IF(A21="","",IF(ISNUMBER(MATCH(TRUE,ISNUMBER(SEARCH($Q$2:$Q$51, $A21)),0))=TRUE,"United States of America",INDEX($S$2:$S$199,MATCH(TRUE,ISNUMBER(SEARCH($S$2:$S$199, $A21)),0)))),"United States of America")</f>
        <v>Taiwan</v>
      </c>
      <c r="D21" s="108" t="str">
        <f t="array" ref="D21">IF(A21="","",IF(ISNUMBER(MATCH(TRUE,ISNUMBER(SEARCH($Q$2:$Q$51, $A21)),0))=TRUE,"",IF(ISNUMBER(MATCH(TRUE,ISNUMBER(SEARCH($S$2:$S$199, $A21)),0))=TRUE,"","미국 확인 필요")))</f>
        <v/>
      </c>
      <c r="F21" s="37" t="s">
        <v>195</v>
      </c>
      <c r="G21" s="132">
        <v>120</v>
      </c>
      <c r="H21" s="108" t="str">
        <f t="array" ref="H21">IFERROR(IF(F21="","",IF(ISNUMBER(MATCH(TRUE,ISNUMBER(SEARCH($Q$2:$Q$51, $F21)),0))=TRUE,"United States of America",INDEX($S$2:$S$199,MATCH(TRUE,ISNUMBER(SEARCH($S$2:$S$199, $F21)),0)))),"United States of America")</f>
        <v>United Kingdom</v>
      </c>
      <c r="I21" s="108" t="str">
        <f t="array" ref="I21">IF(F21="","",IF(ISNUMBER(MATCH(TRUE,ISNUMBER(SEARCH($Q$2:$Q$51, $F21)),0))=TRUE,"",IF(ISNUMBER(MATCH(TRUE,ISNUMBER(SEARCH($S$2:$S$199, $F21)),0))=TRUE,"","미국 확인 필요")))</f>
        <v/>
      </c>
      <c r="L21" s="391" t="s">
        <v>207</v>
      </c>
      <c r="M21" s="392"/>
      <c r="N21" s="393"/>
      <c r="Q21" s="133" t="s">
        <v>208</v>
      </c>
      <c r="S21" s="2" t="s">
        <v>209</v>
      </c>
      <c r="T21" s="17">
        <f t="shared" si="0"/>
        <v>0</v>
      </c>
      <c r="U21" s="17" t="str">
        <f>IF(T21=0,"",RANK(T21,T:T,0)+COUNTIF(T$1:T20,T21))</f>
        <v/>
      </c>
      <c r="V21" s="17">
        <f t="shared" si="1"/>
        <v>29</v>
      </c>
      <c r="W21" s="17">
        <f>IF(V21=0,"",RANK(V21,V:V,0)+COUNTIF(V$1:V20,V21))</f>
        <v>27</v>
      </c>
    </row>
    <row r="22" spans="1:23">
      <c r="A22" s="37" t="s">
        <v>572</v>
      </c>
      <c r="B22" s="132">
        <v>10</v>
      </c>
      <c r="C22" s="108" t="str">
        <f t="array" ref="C22">IFERROR(IF(A22="","",IF(ISNUMBER(MATCH(TRUE,ISNUMBER(SEARCH($Q$2:$Q$51, $A22)),0))=TRUE,"United States of America",INDEX($S$2:$S$199,MATCH(TRUE,ISNUMBER(SEARCH($S$2:$S$199, $A22)),0)))),"United States of America")</f>
        <v>United States of America</v>
      </c>
      <c r="D22" s="108" t="str">
        <f t="array" ref="D22">IF(A22="","",IF(ISNUMBER(MATCH(TRUE,ISNUMBER(SEARCH($Q$2:$Q$51, $A22)),0))=TRUE,"",IF(ISNUMBER(MATCH(TRUE,ISNUMBER(SEARCH($S$2:$S$199, $A22)),0))=TRUE,"","미국 확인 필요")))</f>
        <v>미국 확인 필요</v>
      </c>
      <c r="F22" s="37" t="s">
        <v>164</v>
      </c>
      <c r="G22" s="132">
        <v>110</v>
      </c>
      <c r="H22" s="108" t="str">
        <f t="array" ref="H22">IFERROR(IF(F22="","",IF(ISNUMBER(MATCH(TRUE,ISNUMBER(SEARCH($Q$2:$Q$51, $F22)),0))=TRUE,"United States of America",INDEX($S$2:$S$199,MATCH(TRUE,ISNUMBER(SEARCH($S$2:$S$199, $F22)),0)))),"United States of America")</f>
        <v>United States of America</v>
      </c>
      <c r="I22" s="108" t="str">
        <f t="array" ref="I22">IF(F22="","",IF(ISNUMBER(MATCH(TRUE,ISNUMBER(SEARCH($Q$2:$Q$51, $F22)),0))=TRUE,"",IF(ISNUMBER(MATCH(TRUE,ISNUMBER(SEARCH($S$2:$S$199, $F22)),0))=TRUE,"","미국 확인 필요")))</f>
        <v/>
      </c>
      <c r="L22" s="134" t="s">
        <v>150</v>
      </c>
      <c r="M22" s="142" t="s">
        <v>211</v>
      </c>
      <c r="N22" s="136">
        <f>'일간 팔로워'!J1</f>
        <v>45444</v>
      </c>
      <c r="Q22" s="133" t="s">
        <v>212</v>
      </c>
      <c r="S22" s="2" t="s">
        <v>213</v>
      </c>
      <c r="T22" s="17">
        <f t="shared" si="0"/>
        <v>0</v>
      </c>
      <c r="U22" s="17" t="str">
        <f>IF(T22=0,"",RANK(T22,T:T,0)+COUNTIF(T$1:T21,T22))</f>
        <v/>
      </c>
      <c r="V22" s="17">
        <f t="shared" si="1"/>
        <v>0</v>
      </c>
      <c r="W22" s="17" t="str">
        <f>IF(V22=0,"",RANK(V22,V:V,0)+COUNTIF(V$1:V21,V22))</f>
        <v/>
      </c>
    </row>
    <row r="23" spans="1:23">
      <c r="A23" s="37" t="s">
        <v>721</v>
      </c>
      <c r="B23" s="132">
        <v>3</v>
      </c>
      <c r="C23" s="108" t="str">
        <f t="array" ref="C23">IFERROR(IF(A23="","",IF(ISNUMBER(MATCH(TRUE,ISNUMBER(SEARCH($Q$2:$Q$51, $A23)),0))=TRUE,"United States of America",INDEX($S$2:$S$199,MATCH(TRUE,ISNUMBER(SEARCH($S$2:$S$199, $A23)),0)))),"United States of America")</f>
        <v>United States of America</v>
      </c>
      <c r="D23" s="108" t="str">
        <f t="array" ref="D23">IF(A23="","",IF(ISNUMBER(MATCH(TRUE,ISNUMBER(SEARCH($Q$2:$Q$51, $A23)),0))=TRUE,"",IF(ISNUMBER(MATCH(TRUE,ISNUMBER(SEARCH($S$2:$S$199, $A23)),0))=TRUE,"","미국 확인 필요")))</f>
        <v>미국 확인 필요</v>
      </c>
      <c r="F23" s="37" t="s">
        <v>311</v>
      </c>
      <c r="G23" s="132">
        <v>99</v>
      </c>
      <c r="H23" s="108" t="str">
        <f t="array" ref="H23">IFERROR(IF(F23="","",IF(ISNUMBER(MATCH(TRUE,ISNUMBER(SEARCH($Q$2:$Q$51, $F23)),0))=TRUE,"United States of America",INDEX($S$2:$S$199,MATCH(TRUE,ISNUMBER(SEARCH($S$2:$S$199, $F23)),0)))),"United States of America")</f>
        <v>India</v>
      </c>
      <c r="I23" s="108" t="str">
        <f t="array" ref="I23">IF(F23="","",IF(ISNUMBER(MATCH(TRUE,ISNUMBER(SEARCH($Q$2:$Q$51, $F23)),0))=TRUE,"",IF(ISNUMBER(MATCH(TRUE,ISNUMBER(SEARCH($S$2:$S$199, $F23)),0))=TRUE,"","미국 확인 필요")))</f>
        <v/>
      </c>
      <c r="L23" s="143">
        <v>1</v>
      </c>
      <c r="M23" s="144" t="str">
        <f t="shared" ref="M23:M32" si="4">INDEX(S:S,MATCH(L5,W:W,0))</f>
        <v>Korea</v>
      </c>
      <c r="N23" s="145">
        <f t="shared" ref="N23:N32" si="5">INDEX(V:V,MATCH(L5,W:W,0))</f>
        <v>4932</v>
      </c>
      <c r="Q23" s="133" t="s">
        <v>215</v>
      </c>
      <c r="S23" s="2" t="s">
        <v>216</v>
      </c>
      <c r="T23" s="17">
        <f t="shared" si="0"/>
        <v>0</v>
      </c>
      <c r="U23" s="17" t="str">
        <f>IF(T23=0,"",RANK(T23,T:T,0)+COUNTIF(T$1:T22,T23))</f>
        <v/>
      </c>
      <c r="V23" s="17">
        <f t="shared" si="1"/>
        <v>0</v>
      </c>
      <c r="W23" s="17" t="str">
        <f>IF(V23=0,"",RANK(V23,V:V,0)+COUNTIF(V$1:V22,V23))</f>
        <v/>
      </c>
    </row>
    <row r="24" spans="1:23">
      <c r="A24" s="37" t="s">
        <v>227</v>
      </c>
      <c r="B24" s="132">
        <v>83</v>
      </c>
      <c r="C24" s="108" t="str">
        <f t="array" ref="C24">IFERROR(IF(A24="","",IF(ISNUMBER(MATCH(TRUE,ISNUMBER(SEARCH($Q$2:$Q$51, $A24)),0))=TRUE,"United States of America",INDEX($S$2:$S$199,MATCH(TRUE,ISNUMBER(SEARCH($S$2:$S$199, $A24)),0)))),"United States of America")</f>
        <v>United States of America</v>
      </c>
      <c r="D24" s="108" t="str">
        <f t="array" ref="D24">IF(A24="","",IF(ISNUMBER(MATCH(TRUE,ISNUMBER(SEARCH($Q$2:$Q$51, $A24)),0))=TRUE,"",IF(ISNUMBER(MATCH(TRUE,ISNUMBER(SEARCH($S$2:$S$199, $A24)),0))=TRUE,"","미국 확인 필요")))</f>
        <v>미국 확인 필요</v>
      </c>
      <c r="F24" s="37" t="s">
        <v>308</v>
      </c>
      <c r="G24" s="132">
        <v>95</v>
      </c>
      <c r="H24" s="108" t="str">
        <f t="array" ref="H24">IFERROR(IF(F24="","",IF(ISNUMBER(MATCH(TRUE,ISNUMBER(SEARCH($Q$2:$Q$51, $F24)),0))=TRUE,"United States of America",INDEX($S$2:$S$199,MATCH(TRUE,ISNUMBER(SEARCH($S$2:$S$199, $F24)),0)))),"United States of America")</f>
        <v>Korea</v>
      </c>
      <c r="I24" s="108" t="str">
        <f t="array" ref="I24">IF(F24="","",IF(ISNUMBER(MATCH(TRUE,ISNUMBER(SEARCH($Q$2:$Q$51, $F24)),0))=TRUE,"",IF(ISNUMBER(MATCH(TRUE,ISNUMBER(SEARCH($S$2:$S$199, $F24)),0))=TRUE,"","미국 확인 필요")))</f>
        <v/>
      </c>
      <c r="L24" s="137">
        <v>2</v>
      </c>
      <c r="M24" s="144" t="str">
        <f t="shared" si="4"/>
        <v>India</v>
      </c>
      <c r="N24" s="145">
        <f t="shared" si="5"/>
        <v>3953</v>
      </c>
      <c r="Q24" s="133" t="s">
        <v>217</v>
      </c>
      <c r="S24" s="2" t="s">
        <v>218</v>
      </c>
      <c r="T24" s="17">
        <f t="shared" si="0"/>
        <v>15</v>
      </c>
      <c r="U24" s="17">
        <f>IF(T24=0,"",RANK(T24,T:T,0)+COUNTIF(T$1:T23,T24))</f>
        <v>12</v>
      </c>
      <c r="V24" s="17">
        <f t="shared" si="1"/>
        <v>0</v>
      </c>
      <c r="W24" s="17" t="str">
        <f>IF(V24=0,"",RANK(V24,V:V,0)+COUNTIF(V$1:V23,V24))</f>
        <v/>
      </c>
    </row>
    <row r="25" spans="1:23">
      <c r="A25" s="37" t="s">
        <v>722</v>
      </c>
      <c r="B25" s="132">
        <v>4</v>
      </c>
      <c r="C25" s="108" t="str">
        <f t="array" ref="C25">IFERROR(IF(A25="","",IF(ISNUMBER(MATCH(TRUE,ISNUMBER(SEARCH($Q$2:$Q$51, $A25)),0))=TRUE,"United States of America",INDEX($S$2:$S$199,MATCH(TRUE,ISNUMBER(SEARCH($S$2:$S$199, $A25)),0)))),"United States of America")</f>
        <v>India</v>
      </c>
      <c r="D25" s="108" t="str">
        <f t="array" ref="D25">IF(A25="","",IF(ISNUMBER(MATCH(TRUE,ISNUMBER(SEARCH($Q$2:$Q$51, $A25)),0))=TRUE,"",IF(ISNUMBER(MATCH(TRUE,ISNUMBER(SEARCH($S$2:$S$199, $A25)),0))=TRUE,"","미국 확인 필요")))</f>
        <v/>
      </c>
      <c r="F25" s="37" t="s">
        <v>589</v>
      </c>
      <c r="G25" s="132">
        <v>93</v>
      </c>
      <c r="H25" s="108" t="str">
        <f t="array" ref="H25">IFERROR(IF(F25="","",IF(ISNUMBER(MATCH(TRUE,ISNUMBER(SEARCH($Q$2:$Q$51, $F25)),0))=TRUE,"United States of America",INDEX($S$2:$S$199,MATCH(TRUE,ISNUMBER(SEARCH($S$2:$S$199, $F25)),0)))),"United States of America")</f>
        <v>Tunisia</v>
      </c>
      <c r="I25" s="108" t="str">
        <f t="array" ref="I25">IF(F25="","",IF(ISNUMBER(MATCH(TRUE,ISNUMBER(SEARCH($Q$2:$Q$51, $F25)),0))=TRUE,"",IF(ISNUMBER(MATCH(TRUE,ISNUMBER(SEARCH($S$2:$S$199, $F25)),0))=TRUE,"","미국 확인 필요")))</f>
        <v/>
      </c>
      <c r="L25" s="137">
        <v>3</v>
      </c>
      <c r="M25" s="144" t="str">
        <f t="shared" si="4"/>
        <v>Pakistan</v>
      </c>
      <c r="N25" s="145">
        <f t="shared" si="5"/>
        <v>1209</v>
      </c>
      <c r="Q25" s="133" t="s">
        <v>220</v>
      </c>
      <c r="S25" s="2" t="s">
        <v>221</v>
      </c>
      <c r="T25" s="17">
        <f t="shared" si="0"/>
        <v>1362</v>
      </c>
      <c r="U25" s="17">
        <f>IF(T25=0,"",RANK(T25,T:T,0)+COUNTIF(T$1:T24,T25))</f>
        <v>1</v>
      </c>
      <c r="V25" s="17">
        <f t="shared" si="1"/>
        <v>4932</v>
      </c>
      <c r="W25" s="17">
        <f>IF(V25=0,"",RANK(V25,V:V,0)+COUNTIF(V$1:V24,V25))</f>
        <v>1</v>
      </c>
    </row>
    <row r="26" spans="1:23" ht="25.5">
      <c r="A26" s="37" t="s">
        <v>186</v>
      </c>
      <c r="B26" s="132">
        <v>114</v>
      </c>
      <c r="C26" s="108" t="str">
        <f t="array" ref="C26">IFERROR(IF(A26="","",IF(ISNUMBER(MATCH(TRUE,ISNUMBER(SEARCH($Q$2:$Q$51, $A26)),0))=TRUE,"United States of America",INDEX($S$2:$S$199,MATCH(TRUE,ISNUMBER(SEARCH($S$2:$S$199, $A26)),0)))),"United States of America")</f>
        <v>United States of America</v>
      </c>
      <c r="D26" s="108" t="str">
        <f t="array" ref="D26">IF(A26="","",IF(ISNUMBER(MATCH(TRUE,ISNUMBER(SEARCH($Q$2:$Q$51, $A26)),0))=TRUE,"",IF(ISNUMBER(MATCH(TRUE,ISNUMBER(SEARCH($S$2:$S$199, $A26)),0))=TRUE,"","미국 확인 필요")))</f>
        <v/>
      </c>
      <c r="F26" s="37" t="s">
        <v>590</v>
      </c>
      <c r="G26" s="132">
        <v>93</v>
      </c>
      <c r="H26" s="108" t="str">
        <f t="array" ref="H26">IFERROR(IF(F26="","",IF(ISNUMBER(MATCH(TRUE,ISNUMBER(SEARCH($Q$2:$Q$51, $F26)),0))=TRUE,"United States of America",INDEX($S$2:$S$199,MATCH(TRUE,ISNUMBER(SEARCH($S$2:$S$199, $F26)),0)))),"United States of America")</f>
        <v>Ethiopia</v>
      </c>
      <c r="I26" s="108" t="str">
        <f t="array" ref="I26">IF(F26="","",IF(ISNUMBER(MATCH(TRUE,ISNUMBER(SEARCH($Q$2:$Q$51, $F26)),0))=TRUE,"",IF(ISNUMBER(MATCH(TRUE,ISNUMBER(SEARCH($S$2:$S$199, $F26)),0))=TRUE,"","미국 확인 필요")))</f>
        <v/>
      </c>
      <c r="L26" s="137">
        <v>4</v>
      </c>
      <c r="M26" s="144" t="str">
        <f t="shared" si="4"/>
        <v>United States of America</v>
      </c>
      <c r="N26" s="145">
        <f t="shared" si="5"/>
        <v>884</v>
      </c>
      <c r="Q26" s="133" t="s">
        <v>223</v>
      </c>
      <c r="S26" s="2" t="s">
        <v>224</v>
      </c>
      <c r="T26" s="17">
        <f t="shared" si="0"/>
        <v>0</v>
      </c>
      <c r="U26" s="17" t="str">
        <f>IF(T26=0,"",RANK(T26,T:T,0)+COUNTIF(T$1:T25,T26))</f>
        <v/>
      </c>
      <c r="V26" s="17">
        <f t="shared" si="1"/>
        <v>57</v>
      </c>
      <c r="W26" s="17">
        <f>IF(V26=0,"",RANK(V26,V:V,0)+COUNTIF(V$1:V25,V26))</f>
        <v>20</v>
      </c>
    </row>
    <row r="27" spans="1:23">
      <c r="A27" s="37" t="s">
        <v>723</v>
      </c>
      <c r="B27" s="132">
        <v>5</v>
      </c>
      <c r="C27" s="108" t="str">
        <f t="array" ref="C27">IFERROR(IF(A27="","",IF(ISNUMBER(MATCH(TRUE,ISNUMBER(SEARCH($Q$2:$Q$51, $A27)),0))=TRUE,"United States of America",INDEX($S$2:$S$199,MATCH(TRUE,ISNUMBER(SEARCH($S$2:$S$199, $A27)),0)))),"United States of America")</f>
        <v>Philippines</v>
      </c>
      <c r="D27" s="108" t="str">
        <f t="array" ref="D27">IF(A27="","",IF(ISNUMBER(MATCH(TRUE,ISNUMBER(SEARCH($Q$2:$Q$51, $A27)),0))=TRUE,"",IF(ISNUMBER(MATCH(TRUE,ISNUMBER(SEARCH($S$2:$S$199, $A27)),0))=TRUE,"","미국 확인 필요")))</f>
        <v/>
      </c>
      <c r="F27" s="37" t="s">
        <v>232</v>
      </c>
      <c r="G27" s="132">
        <v>87</v>
      </c>
      <c r="H27" s="108" t="str">
        <f t="array" ref="H27">IFERROR(IF(F27="","",IF(ISNUMBER(MATCH(TRUE,ISNUMBER(SEARCH($Q$2:$Q$51, $F27)),0))=TRUE,"United States of America",INDEX($S$2:$S$199,MATCH(TRUE,ISNUMBER(SEARCH($S$2:$S$199, $F27)),0)))),"United States of America")</f>
        <v>United States of America</v>
      </c>
      <c r="I27" s="108" t="str">
        <f t="array" ref="I27">IF(F27="","",IF(ISNUMBER(MATCH(TRUE,ISNUMBER(SEARCH($Q$2:$Q$51, $F27)),0))=TRUE,"",IF(ISNUMBER(MATCH(TRUE,ISNUMBER(SEARCH($S$2:$S$199, $F27)),0))=TRUE,"","미국 확인 필요")))</f>
        <v>미국 확인 필요</v>
      </c>
      <c r="L27" s="137">
        <v>5</v>
      </c>
      <c r="M27" s="144" t="str">
        <f t="shared" si="4"/>
        <v>Singapore</v>
      </c>
      <c r="N27" s="145">
        <f t="shared" si="5"/>
        <v>170</v>
      </c>
      <c r="Q27" s="133" t="s">
        <v>225</v>
      </c>
      <c r="S27" s="2" t="s">
        <v>226</v>
      </c>
      <c r="T27" s="17">
        <f t="shared" si="0"/>
        <v>0</v>
      </c>
      <c r="U27" s="17" t="str">
        <f>IF(T27=0,"",RANK(T27,T:T,0)+COUNTIF(T$1:T26,T27))</f>
        <v/>
      </c>
      <c r="V27" s="17">
        <f t="shared" si="1"/>
        <v>0</v>
      </c>
      <c r="W27" s="17" t="str">
        <f>IF(V27=0,"",RANK(V27,V:V,0)+COUNTIF(V$1:V26,V27))</f>
        <v/>
      </c>
    </row>
    <row r="28" spans="1:23">
      <c r="A28" s="37" t="s">
        <v>232</v>
      </c>
      <c r="B28" s="132">
        <v>34</v>
      </c>
      <c r="C28" s="108" t="str">
        <f t="array" ref="C28">IFERROR(IF(A28="","",IF(ISNUMBER(MATCH(TRUE,ISNUMBER(SEARCH($Q$2:$Q$51, $A28)),0))=TRUE,"United States of America",INDEX($S$2:$S$199,MATCH(TRUE,ISNUMBER(SEARCH($S$2:$S$199, $A28)),0)))),"United States of America")</f>
        <v>United States of America</v>
      </c>
      <c r="D28" s="108" t="str">
        <f t="array" ref="D28">IF(A28="","",IF(ISNUMBER(MATCH(TRUE,ISNUMBER(SEARCH($Q$2:$Q$51, $A28)),0))=TRUE,"",IF(ISNUMBER(MATCH(TRUE,ISNUMBER(SEARCH($S$2:$S$199, $A28)),0))=TRUE,"","미국 확인 필요")))</f>
        <v>미국 확인 필요</v>
      </c>
      <c r="F28" s="37" t="s">
        <v>310</v>
      </c>
      <c r="G28" s="132">
        <v>83</v>
      </c>
      <c r="H28" s="108" t="str">
        <f t="array" ref="H28">IFERROR(IF(F28="","",IF(ISNUMBER(MATCH(TRUE,ISNUMBER(SEARCH($Q$2:$Q$51, $F28)),0))=TRUE,"United States of America",INDEX($S$2:$S$199,MATCH(TRUE,ISNUMBER(SEARCH($S$2:$S$199, $F28)),0)))),"United States of America")</f>
        <v>India</v>
      </c>
      <c r="I28" s="108" t="str">
        <f t="array" ref="I28">IF(F28="","",IF(ISNUMBER(MATCH(TRUE,ISNUMBER(SEARCH($Q$2:$Q$51, $F28)),0))=TRUE,"",IF(ISNUMBER(MATCH(TRUE,ISNUMBER(SEARCH($S$2:$S$199, $F28)),0))=TRUE,"","미국 확인 필요")))</f>
        <v/>
      </c>
      <c r="L28" s="137">
        <v>6</v>
      </c>
      <c r="M28" s="144" t="str">
        <f t="shared" si="4"/>
        <v>Egypt</v>
      </c>
      <c r="N28" s="145">
        <f t="shared" si="5"/>
        <v>167</v>
      </c>
      <c r="Q28" s="133" t="s">
        <v>228</v>
      </c>
      <c r="S28" s="2" t="s">
        <v>229</v>
      </c>
      <c r="T28" s="17">
        <f t="shared" si="0"/>
        <v>6</v>
      </c>
      <c r="U28" s="17">
        <f>IF(T28=0,"",RANK(T28,T:T,0)+COUNTIF(T$1:T27,T28))</f>
        <v>25</v>
      </c>
      <c r="V28" s="17">
        <f t="shared" si="1"/>
        <v>0</v>
      </c>
      <c r="W28" s="17" t="str">
        <f>IF(V28=0,"",RANK(V28,V:V,0)+COUNTIF(V$1:V27,V28))</f>
        <v/>
      </c>
    </row>
    <row r="29" spans="1:23">
      <c r="A29" s="37" t="s">
        <v>724</v>
      </c>
      <c r="B29" s="132">
        <v>7</v>
      </c>
      <c r="C29" s="108" t="str">
        <f t="array" ref="C29">IFERROR(IF(A29="","",IF(ISNUMBER(MATCH(TRUE,ISNUMBER(SEARCH($Q$2:$Q$51, $A29)),0))=TRUE,"United States of America",INDEX($S$2:$S$199,MATCH(TRUE,ISNUMBER(SEARCH($S$2:$S$199, $A29)),0)))),"United States of America")</f>
        <v>United States of America</v>
      </c>
      <c r="D29" s="108" t="str">
        <f t="array" ref="D29">IF(A29="","",IF(ISNUMBER(MATCH(TRUE,ISNUMBER(SEARCH($Q$2:$Q$51, $A29)),0))=TRUE,"",IF(ISNUMBER(MATCH(TRUE,ISNUMBER(SEARCH($S$2:$S$199, $A29)),0))=TRUE,"","미국 확인 필요")))</f>
        <v/>
      </c>
      <c r="F29" s="37" t="s">
        <v>314</v>
      </c>
      <c r="G29" s="132">
        <v>75</v>
      </c>
      <c r="H29" s="108" t="str">
        <f t="array" ref="H29">IFERROR(IF(F29="","",IF(ISNUMBER(MATCH(TRUE,ISNUMBER(SEARCH($Q$2:$Q$51, $F29)),0))=TRUE,"United States of America",INDEX($S$2:$S$199,MATCH(TRUE,ISNUMBER(SEARCH($S$2:$S$199, $F29)),0)))),"United States of America")</f>
        <v>Kenya</v>
      </c>
      <c r="I29" s="108" t="str">
        <f t="array" ref="I29">IF(F29="","",IF(ISNUMBER(MATCH(TRUE,ISNUMBER(SEARCH($Q$2:$Q$51, $F29)),0))=TRUE,"",IF(ISNUMBER(MATCH(TRUE,ISNUMBER(SEARCH($S$2:$S$199, $F29)),0))=TRUE,"","미국 확인 필요")))</f>
        <v/>
      </c>
      <c r="L29" s="137">
        <v>7</v>
      </c>
      <c r="M29" s="144" t="str">
        <f t="shared" si="4"/>
        <v>United Kingdom</v>
      </c>
      <c r="N29" s="145">
        <f t="shared" si="5"/>
        <v>120</v>
      </c>
      <c r="Q29" s="133" t="s">
        <v>230</v>
      </c>
      <c r="S29" s="2" t="s">
        <v>231</v>
      </c>
      <c r="T29" s="17">
        <f t="shared" si="0"/>
        <v>4</v>
      </c>
      <c r="U29" s="17">
        <f>IF(T29=0,"",RANK(T29,T:T,0)+COUNTIF(T$1:T28,T29))</f>
        <v>29</v>
      </c>
      <c r="V29" s="17">
        <f t="shared" si="1"/>
        <v>0</v>
      </c>
      <c r="W29" s="17" t="str">
        <f>IF(V29=0,"",RANK(V29,V:V,0)+COUNTIF(V$1:V28,V29))</f>
        <v/>
      </c>
    </row>
    <row r="30" spans="1:23">
      <c r="A30" s="37" t="s">
        <v>725</v>
      </c>
      <c r="B30" s="132">
        <v>8</v>
      </c>
      <c r="C30" s="108" t="str">
        <f t="array" ref="C30">IFERROR(IF(A30="","",IF(ISNUMBER(MATCH(TRUE,ISNUMBER(SEARCH($Q$2:$Q$51, $A30)),0))=TRUE,"United States of America",INDEX($S$2:$S$199,MATCH(TRUE,ISNUMBER(SEARCH($S$2:$S$199, $A30)),0)))),"United States of America")</f>
        <v>Italy</v>
      </c>
      <c r="D30" s="108" t="str">
        <f t="array" ref="D30">IF(A30="","",IF(ISNUMBER(MATCH(TRUE,ISNUMBER(SEARCH($Q$2:$Q$51, $A30)),0))=TRUE,"",IF(ISNUMBER(MATCH(TRUE,ISNUMBER(SEARCH($S$2:$S$199, $A30)),0))=TRUE,"","미국 확인 필요")))</f>
        <v/>
      </c>
      <c r="F30" s="37" t="s">
        <v>575</v>
      </c>
      <c r="G30" s="132">
        <v>75</v>
      </c>
      <c r="H30" s="108" t="str">
        <f t="array" ref="H30">IFERROR(IF(F30="","",IF(ISNUMBER(MATCH(TRUE,ISNUMBER(SEARCH($Q$2:$Q$51, $F30)),0))=TRUE,"United States of America",INDEX($S$2:$S$199,MATCH(TRUE,ISNUMBER(SEARCH($S$2:$S$199, $F30)),0)))),"United States of America")</f>
        <v>Pakistan</v>
      </c>
      <c r="I30" s="108" t="str">
        <f t="array" ref="I30">IF(F30="","",IF(ISNUMBER(MATCH(TRUE,ISNUMBER(SEARCH($Q$2:$Q$51, $F30)),0))=TRUE,"",IF(ISNUMBER(MATCH(TRUE,ISNUMBER(SEARCH($S$2:$S$199, $F30)),0))=TRUE,"","미국 확인 필요")))</f>
        <v/>
      </c>
      <c r="L30" s="137">
        <v>8</v>
      </c>
      <c r="M30" s="144" t="str">
        <f t="shared" si="4"/>
        <v>Australia</v>
      </c>
      <c r="N30" s="145">
        <f t="shared" si="5"/>
        <v>116</v>
      </c>
      <c r="Q30" s="133" t="s">
        <v>233</v>
      </c>
      <c r="S30" s="2" t="s">
        <v>234</v>
      </c>
      <c r="T30" s="17">
        <f t="shared" si="0"/>
        <v>25</v>
      </c>
      <c r="U30" s="17">
        <f>IF(T30=0,"",RANK(T30,T:T,0)+COUNTIF(T$1:T29,T30))</f>
        <v>9</v>
      </c>
      <c r="V30" s="17">
        <f t="shared" si="1"/>
        <v>60</v>
      </c>
      <c r="W30" s="17">
        <f>IF(V30=0,"",RANK(V30,V:V,0)+COUNTIF(V$1:V29,V30))</f>
        <v>18</v>
      </c>
    </row>
    <row r="31" spans="1:23">
      <c r="A31" s="37" t="s">
        <v>726</v>
      </c>
      <c r="B31" s="132">
        <v>8</v>
      </c>
      <c r="C31" s="108" t="str">
        <f t="array" ref="C31">IFERROR(IF(A31="","",IF(ISNUMBER(MATCH(TRUE,ISNUMBER(SEARCH($Q$2:$Q$51, $A31)),0))=TRUE,"United States of America",INDEX($S$2:$S$199,MATCH(TRUE,ISNUMBER(SEARCH($S$2:$S$199, $A31)),0)))),"United States of America")</f>
        <v>Serbia</v>
      </c>
      <c r="D31" s="108" t="str">
        <f t="array" ref="D31">IF(A31="","",IF(ISNUMBER(MATCH(TRUE,ISNUMBER(SEARCH($Q$2:$Q$51, $A31)),0))=TRUE,"",IF(ISNUMBER(MATCH(TRUE,ISNUMBER(SEARCH($S$2:$S$199, $A31)),0))=TRUE,"","미국 확인 필요")))</f>
        <v/>
      </c>
      <c r="F31" s="37" t="s">
        <v>322</v>
      </c>
      <c r="G31" s="132">
        <v>72</v>
      </c>
      <c r="H31" s="108" t="str">
        <f t="array" ref="H31">IFERROR(IF(F31="","",IF(ISNUMBER(MATCH(TRUE,ISNUMBER(SEARCH($Q$2:$Q$51, $F31)),0))=TRUE,"United States of America",INDEX($S$2:$S$199,MATCH(TRUE,ISNUMBER(SEARCH($S$2:$S$199, $F31)),0)))),"United States of America")</f>
        <v>India</v>
      </c>
      <c r="I31" s="108" t="str">
        <f t="array" ref="I31">IF(F31="","",IF(ISNUMBER(MATCH(TRUE,ISNUMBER(SEARCH($Q$2:$Q$51, $F31)),0))=TRUE,"",IF(ISNUMBER(MATCH(TRUE,ISNUMBER(SEARCH($S$2:$S$199, $F31)),0))=TRUE,"","미국 확인 필요")))</f>
        <v/>
      </c>
      <c r="L31" s="137">
        <v>9</v>
      </c>
      <c r="M31" s="144" t="str">
        <f t="shared" si="4"/>
        <v>France</v>
      </c>
      <c r="N31" s="145">
        <f t="shared" si="5"/>
        <v>94</v>
      </c>
      <c r="Q31" s="133" t="s">
        <v>235</v>
      </c>
      <c r="S31" s="2" t="s">
        <v>236</v>
      </c>
      <c r="T31" s="17">
        <f t="shared" si="0"/>
        <v>0</v>
      </c>
      <c r="U31" s="17" t="str">
        <f>IF(T31=0,"",RANK(T31,T:T,0)+COUNTIF(T$1:T30,T31))</f>
        <v/>
      </c>
      <c r="V31" s="17">
        <f t="shared" si="1"/>
        <v>0</v>
      </c>
      <c r="W31" s="17" t="str">
        <f>IF(V31=0,"",RANK(V31,V:V,0)+COUNTIF(V$1:V30,V31))</f>
        <v/>
      </c>
    </row>
    <row r="32" spans="1:23">
      <c r="A32" s="37" t="s">
        <v>727</v>
      </c>
      <c r="B32" s="132">
        <v>10</v>
      </c>
      <c r="C32" s="108" t="str">
        <f t="array" ref="C32">IFERROR(IF(A32="","",IF(ISNUMBER(MATCH(TRUE,ISNUMBER(SEARCH($Q$2:$Q$51, $A32)),0))=TRUE,"United States of America",INDEX($S$2:$S$199,MATCH(TRUE,ISNUMBER(SEARCH($S$2:$S$199, $A32)),0)))),"United States of America")</f>
        <v>Germany</v>
      </c>
      <c r="D32" s="108" t="str">
        <f t="array" ref="D32">IF(A32="","",IF(ISNUMBER(MATCH(TRUE,ISNUMBER(SEARCH($Q$2:$Q$51, $A32)),0))=TRUE,"",IF(ISNUMBER(MATCH(TRUE,ISNUMBER(SEARCH($S$2:$S$199, $A32)),0))=TRUE,"","미국 확인 필요")))</f>
        <v/>
      </c>
      <c r="F32" s="37" t="s">
        <v>305</v>
      </c>
      <c r="G32" s="132">
        <v>72</v>
      </c>
      <c r="H32" s="108" t="str">
        <f t="array" ref="H32">IFERROR(IF(F32="","",IF(ISNUMBER(MATCH(TRUE,ISNUMBER(SEARCH($Q$2:$Q$51, $F32)),0))=TRUE,"United States of America",INDEX($S$2:$S$199,MATCH(TRUE,ISNUMBER(SEARCH($S$2:$S$199, $F32)),0)))),"United States of America")</f>
        <v>India</v>
      </c>
      <c r="I32" s="108" t="str">
        <f t="array" ref="I32">IF(F32="","",IF(ISNUMBER(MATCH(TRUE,ISNUMBER(SEARCH($Q$2:$Q$51, $F32)),0))=TRUE,"",IF(ISNUMBER(MATCH(TRUE,ISNUMBER(SEARCH($S$2:$S$199, $F32)),0))=TRUE,"","미국 확인 필요")))</f>
        <v/>
      </c>
      <c r="L32" s="140">
        <v>10</v>
      </c>
      <c r="M32" s="144" t="str">
        <f t="shared" si="4"/>
        <v>Ethiopia</v>
      </c>
      <c r="N32" s="145">
        <f t="shared" si="5"/>
        <v>93</v>
      </c>
      <c r="Q32" s="133" t="s">
        <v>237</v>
      </c>
      <c r="S32" s="2" t="s">
        <v>238</v>
      </c>
      <c r="T32" s="17">
        <f t="shared" si="0"/>
        <v>11</v>
      </c>
      <c r="U32" s="17">
        <f>IF(T32=0,"",RANK(T32,T:T,0)+COUNTIF(T$1:T31,T32))</f>
        <v>16</v>
      </c>
      <c r="V32" s="17">
        <f t="shared" si="1"/>
        <v>65</v>
      </c>
      <c r="W32" s="17">
        <f>IF(V32=0,"",RANK(V32,V:V,0)+COUNTIF(V$1:V31,V32))</f>
        <v>14</v>
      </c>
    </row>
    <row r="33" spans="1:23" ht="17.25" thickBot="1">
      <c r="A33" s="37" t="s">
        <v>728</v>
      </c>
      <c r="B33" s="132">
        <v>10</v>
      </c>
      <c r="C33" s="108" t="str">
        <f t="array" ref="C33">IFERROR(IF(A33="","",IF(ISNUMBER(MATCH(TRUE,ISNUMBER(SEARCH($Q$2:$Q$51, $A33)),0))=TRUE,"United States of America",INDEX($S$2:$S$199,MATCH(TRUE,ISNUMBER(SEARCH($S$2:$S$199, $A33)),0)))),"United States of America")</f>
        <v>Belgium</v>
      </c>
      <c r="D33" s="108" t="str">
        <f t="array" ref="D33">IF(A33="","",IF(ISNUMBER(MATCH(TRUE,ISNUMBER(SEARCH($Q$2:$Q$51, $A33)),0))=TRUE,"",IF(ISNUMBER(MATCH(TRUE,ISNUMBER(SEARCH($S$2:$S$199, $A33)),0))=TRUE,"","미국 확인 필요")))</f>
        <v/>
      </c>
      <c r="F33" s="37" t="s">
        <v>249</v>
      </c>
      <c r="G33" s="132">
        <v>70</v>
      </c>
      <c r="H33" s="108" t="str">
        <f t="array" ref="H33">IFERROR(IF(F33="","",IF(ISNUMBER(MATCH(TRUE,ISNUMBER(SEARCH($Q$2:$Q$51, $F33)),0))=TRUE,"United States of America",INDEX($S$2:$S$199,MATCH(TRUE,ISNUMBER(SEARCH($S$2:$S$199, $F33)),0)))),"United States of America")</f>
        <v>Korea</v>
      </c>
      <c r="I33" s="108" t="str">
        <f t="array" ref="I33">IF(F33="","",IF(ISNUMBER(MATCH(TRUE,ISNUMBER(SEARCH($Q$2:$Q$51, $F33)),0))=TRUE,"",IF(ISNUMBER(MATCH(TRUE,ISNUMBER(SEARCH($S$2:$S$199, $F33)),0))=TRUE,"","미국 확인 필요")))</f>
        <v/>
      </c>
      <c r="L33" s="394" t="s">
        <v>82</v>
      </c>
      <c r="M33" s="395"/>
      <c r="N33" s="141" t="str">
        <f>TEXT(SUM(V:V),"#,###")&amp;" (전체 "&amp;TEXT(SUM(V:V)/'월간 HL'!W32,"#.0%")&amp;")"</f>
        <v>12,905 (전체 63.2%)</v>
      </c>
      <c r="Q33" s="133" t="s">
        <v>239</v>
      </c>
      <c r="S33" s="2" t="s">
        <v>240</v>
      </c>
      <c r="T33" s="17">
        <f t="shared" si="0"/>
        <v>4</v>
      </c>
      <c r="U33" s="17">
        <f>IF(T33=0,"",RANK(T33,T:T,0)+COUNTIF(T$1:T32,T33))</f>
        <v>30</v>
      </c>
      <c r="V33" s="17">
        <f t="shared" si="1"/>
        <v>26</v>
      </c>
      <c r="W33" s="17">
        <f>IF(V33=0,"",RANK(V33,V:V,0)+COUNTIF(V$1:V32,V33))</f>
        <v>28</v>
      </c>
    </row>
    <row r="34" spans="1:23">
      <c r="A34" s="37" t="s">
        <v>576</v>
      </c>
      <c r="B34" s="132">
        <v>5</v>
      </c>
      <c r="C34" s="108" t="str">
        <f t="array" ref="C34">IFERROR(IF(A34="","",IF(ISNUMBER(MATCH(TRUE,ISNUMBER(SEARCH($Q$2:$Q$51, $A34)),0))=TRUE,"United States of America",INDEX($S$2:$S$199,MATCH(TRUE,ISNUMBER(SEARCH($S$2:$S$199, $A34)),0)))),"United States of America")</f>
        <v>Azerbaijan</v>
      </c>
      <c r="D34" s="108" t="str">
        <f t="array" ref="D34">IF(A34="","",IF(ISNUMBER(MATCH(TRUE,ISNUMBER(SEARCH($Q$2:$Q$51, $A34)),0))=TRUE,"",IF(ISNUMBER(MATCH(TRUE,ISNUMBER(SEARCH($S$2:$S$199, $A34)),0))=TRUE,"","미국 확인 필요")))</f>
        <v/>
      </c>
      <c r="F34" s="37" t="s">
        <v>144</v>
      </c>
      <c r="G34" s="132">
        <v>64</v>
      </c>
      <c r="H34" s="108" t="str">
        <f t="array" ref="H34">IFERROR(IF(F34="","",IF(ISNUMBER(MATCH(TRUE,ISNUMBER(SEARCH($Q$2:$Q$51, $F34)),0))=TRUE,"United States of America",INDEX($S$2:$S$199,MATCH(TRUE,ISNUMBER(SEARCH($S$2:$S$199, $F34)),0)))),"United States of America")</f>
        <v>United States of America</v>
      </c>
      <c r="I34" s="108" t="str">
        <f t="array" ref="I34">IF(F34="","",IF(ISNUMBER(MATCH(TRUE,ISNUMBER(SEARCH($Q$2:$Q$51, $F34)),0))=TRUE,"",IF(ISNUMBER(MATCH(TRUE,ISNUMBER(SEARCH($S$2:$S$199, $F34)),0))=TRUE,"","미국 확인 필요")))</f>
        <v>미국 확인 필요</v>
      </c>
      <c r="Q34" s="133" t="s">
        <v>241</v>
      </c>
      <c r="S34" s="2" t="s">
        <v>242</v>
      </c>
      <c r="T34" s="17">
        <f t="shared" si="0"/>
        <v>9</v>
      </c>
      <c r="U34" s="17">
        <f>IF(T34=0,"",RANK(T34,T:T,0)+COUNTIF(T$1:T33,T34))</f>
        <v>18</v>
      </c>
      <c r="V34" s="17">
        <f t="shared" si="1"/>
        <v>23</v>
      </c>
      <c r="W34" s="17">
        <f>IF(V34=0,"",RANK(V34,V:V,0)+COUNTIF(V$1:V33,V34))</f>
        <v>34</v>
      </c>
    </row>
    <row r="35" spans="1:23">
      <c r="A35" s="37" t="s">
        <v>246</v>
      </c>
      <c r="B35" s="132">
        <v>4</v>
      </c>
      <c r="C35" s="108" t="str">
        <f t="array" ref="C35">IFERROR(IF(A35="","",IF(ISNUMBER(MATCH(TRUE,ISNUMBER(SEARCH($Q$2:$Q$51, $A35)),0))=TRUE,"United States of America",INDEX($S$2:$S$199,MATCH(TRUE,ISNUMBER(SEARCH($S$2:$S$199, $A35)),0)))),"United States of America")</f>
        <v>India</v>
      </c>
      <c r="D35" s="108" t="str">
        <f t="array" ref="D35">IF(A35="","",IF(ISNUMBER(MATCH(TRUE,ISNUMBER(SEARCH($Q$2:$Q$51, $A35)),0))=TRUE,"",IF(ISNUMBER(MATCH(TRUE,ISNUMBER(SEARCH($S$2:$S$199, $A35)),0))=TRUE,"","미국 확인 필요")))</f>
        <v/>
      </c>
      <c r="F35" s="37" t="s">
        <v>591</v>
      </c>
      <c r="G35" s="132">
        <v>62</v>
      </c>
      <c r="H35" s="108" t="str">
        <f t="array" ref="H35">IFERROR(IF(F35="","",IF(ISNUMBER(MATCH(TRUE,ISNUMBER(SEARCH($Q$2:$Q$51, $F35)),0))=TRUE,"United States of America",INDEX($S$2:$S$199,MATCH(TRUE,ISNUMBER(SEARCH($S$2:$S$199, $F35)),0)))),"United States of America")</f>
        <v>Bangladesh</v>
      </c>
      <c r="I35" s="108" t="str">
        <f t="array" ref="I35">IF(F35="","",IF(ISNUMBER(MATCH(TRUE,ISNUMBER(SEARCH($Q$2:$Q$51, $F35)),0))=TRUE,"",IF(ISNUMBER(MATCH(TRUE,ISNUMBER(SEARCH($S$2:$S$199, $F35)),0))=TRUE,"","미국 확인 필요")))</f>
        <v/>
      </c>
      <c r="Q35" s="133" t="s">
        <v>244</v>
      </c>
      <c r="S35" s="2" t="s">
        <v>245</v>
      </c>
      <c r="T35" s="17">
        <f t="shared" si="0"/>
        <v>5</v>
      </c>
      <c r="U35" s="17">
        <f>IF(T35=0,"",RANK(T35,T:T,0)+COUNTIF(T$1:T34,T35))</f>
        <v>26</v>
      </c>
      <c r="V35" s="17">
        <f t="shared" si="1"/>
        <v>35</v>
      </c>
      <c r="W35" s="17">
        <f>IF(V35=0,"",RANK(V35,V:V,0)+COUNTIF(V$1:V34,V35))</f>
        <v>23</v>
      </c>
    </row>
    <row r="36" spans="1:23">
      <c r="A36" s="37" t="s">
        <v>729</v>
      </c>
      <c r="B36" s="132">
        <v>8</v>
      </c>
      <c r="C36" s="108" t="str">
        <f t="array" ref="C36">IFERROR(IF(A36="","",IF(ISNUMBER(MATCH(TRUE,ISNUMBER(SEARCH($Q$2:$Q$51, $A36)),0))=TRUE,"United States of America",INDEX($S$2:$S$199,MATCH(TRUE,ISNUMBER(SEARCH($S$2:$S$199, $A36)),0)))),"United States of America")</f>
        <v>United States of America</v>
      </c>
      <c r="D36" s="108" t="str">
        <f t="array" ref="D36">IF(A36="","",IF(ISNUMBER(MATCH(TRUE,ISNUMBER(SEARCH($Q$2:$Q$51, $A36)),0))=TRUE,"",IF(ISNUMBER(MATCH(TRUE,ISNUMBER(SEARCH($S$2:$S$199, $A36)),0))=TRUE,"","미국 확인 필요")))</f>
        <v>미국 확인 필요</v>
      </c>
      <c r="F36" s="37" t="s">
        <v>189</v>
      </c>
      <c r="G36" s="132">
        <v>61</v>
      </c>
      <c r="H36" s="108" t="str">
        <f t="array" ref="H36">IFERROR(IF(F36="","",IF(ISNUMBER(MATCH(TRUE,ISNUMBER(SEARCH($Q$2:$Q$51, $F36)),0))=TRUE,"United States of America",INDEX($S$2:$S$199,MATCH(TRUE,ISNUMBER(SEARCH($S$2:$S$199, $F36)),0)))),"United States of America")</f>
        <v>United States of America</v>
      </c>
      <c r="I36" s="108" t="str">
        <f t="array" ref="I36">IF(F36="","",IF(ISNUMBER(MATCH(TRUE,ISNUMBER(SEARCH($Q$2:$Q$51, $F36)),0))=TRUE,"",IF(ISNUMBER(MATCH(TRUE,ISNUMBER(SEARCH($S$2:$S$199, $F36)),0))=TRUE,"","미국 확인 필요")))</f>
        <v>미국 확인 필요</v>
      </c>
      <c r="Q36" s="133" t="s">
        <v>247</v>
      </c>
      <c r="S36" s="2" t="s">
        <v>248</v>
      </c>
      <c r="T36" s="17">
        <f t="shared" si="0"/>
        <v>0</v>
      </c>
      <c r="U36" s="17" t="str">
        <f>IF(T36=0,"",RANK(T36,T:T,0)+COUNTIF(T$1:T35,T36))</f>
        <v/>
      </c>
      <c r="V36" s="17">
        <f t="shared" si="1"/>
        <v>19</v>
      </c>
      <c r="W36" s="17">
        <f>IF(V36=0,"",RANK(V36,V:V,0)+COUNTIF(V$1:V35,V36))</f>
        <v>38</v>
      </c>
    </row>
    <row r="37" spans="1:23">
      <c r="A37" s="37" t="s">
        <v>256</v>
      </c>
      <c r="B37" s="132">
        <v>12</v>
      </c>
      <c r="C37" s="108" t="str">
        <f t="array" ref="C37">IFERROR(IF(A37="","",IF(ISNUMBER(MATCH(TRUE,ISNUMBER(SEARCH($Q$2:$Q$51, $A37)),0))=TRUE,"United States of America",INDEX($S$2:$S$199,MATCH(TRUE,ISNUMBER(SEARCH($S$2:$S$199, $A37)),0)))),"United States of America")</f>
        <v>Germany</v>
      </c>
      <c r="D37" s="108" t="str">
        <f t="array" ref="D37">IF(A37="","",IF(ISNUMBER(MATCH(TRUE,ISNUMBER(SEARCH($Q$2:$Q$51, $A37)),0))=TRUE,"",IF(ISNUMBER(MATCH(TRUE,ISNUMBER(SEARCH($S$2:$S$199, $A37)),0))=TRUE,"","미국 확인 필요")))</f>
        <v/>
      </c>
      <c r="F37" s="37" t="s">
        <v>219</v>
      </c>
      <c r="G37" s="132">
        <v>61</v>
      </c>
      <c r="H37" s="108" t="str">
        <f t="array" ref="H37">IFERROR(IF(F37="","",IF(ISNUMBER(MATCH(TRUE,ISNUMBER(SEARCH($Q$2:$Q$51, $F37)),0))=TRUE,"United States of America",INDEX($S$2:$S$199,MATCH(TRUE,ISNUMBER(SEARCH($S$2:$S$199, $F37)),0)))),"United States of America")</f>
        <v>France</v>
      </c>
      <c r="I37" s="108" t="str">
        <f t="array" ref="I37">IF(F37="","",IF(ISNUMBER(MATCH(TRUE,ISNUMBER(SEARCH($Q$2:$Q$51, $F37)),0))=TRUE,"",IF(ISNUMBER(MATCH(TRUE,ISNUMBER(SEARCH($S$2:$S$199, $F37)),0))=TRUE,"","미국 확인 필요")))</f>
        <v/>
      </c>
      <c r="Q37" s="133" t="s">
        <v>250</v>
      </c>
      <c r="S37" s="2" t="s">
        <v>251</v>
      </c>
      <c r="T37" s="17">
        <f t="shared" si="0"/>
        <v>0</v>
      </c>
      <c r="U37" s="17" t="str">
        <f>IF(T37=0,"",RANK(T37,T:T,0)+COUNTIF(T$1:T36,T37))</f>
        <v/>
      </c>
      <c r="V37" s="17">
        <f t="shared" si="1"/>
        <v>0</v>
      </c>
      <c r="W37" s="17" t="str">
        <f>IF(V37=0,"",RANK(V37,V:V,0)+COUNTIF(V$1:V36,V37))</f>
        <v/>
      </c>
    </row>
    <row r="38" spans="1:23">
      <c r="A38" s="37" t="s">
        <v>260</v>
      </c>
      <c r="B38" s="132">
        <v>6</v>
      </c>
      <c r="C38" s="108" t="str">
        <f t="array" ref="C38">IFERROR(IF(A38="","",IF(ISNUMBER(MATCH(TRUE,ISNUMBER(SEARCH($Q$2:$Q$51, $A38)),0))=TRUE,"United States of America",INDEX($S$2:$S$199,MATCH(TRUE,ISNUMBER(SEARCH($S$2:$S$199, $A38)),0)))),"United States of America")</f>
        <v>France</v>
      </c>
      <c r="D38" s="108" t="str">
        <f t="array" ref="D38">IF(A38="","",IF(ISNUMBER(MATCH(TRUE,ISNUMBER(SEARCH($Q$2:$Q$51, $A38)),0))=TRUE,"",IF(ISNUMBER(MATCH(TRUE,ISNUMBER(SEARCH($S$2:$S$199, $A38)),0))=TRUE,"","미국 확인 필요")))</f>
        <v/>
      </c>
      <c r="F38" s="37" t="s">
        <v>298</v>
      </c>
      <c r="G38" s="132">
        <v>60</v>
      </c>
      <c r="H38" s="108" t="str">
        <f t="array" ref="H38">IFERROR(IF(F38="","",IF(ISNUMBER(MATCH(TRUE,ISNUMBER(SEARCH($Q$2:$Q$51, $F38)),0))=TRUE,"United States of America",INDEX($S$2:$S$199,MATCH(TRUE,ISNUMBER(SEARCH($S$2:$S$199, $F38)),0)))),"United States of America")</f>
        <v>Indonesia</v>
      </c>
      <c r="I38" s="108" t="str">
        <f t="array" ref="I38">IF(F38="","",IF(ISNUMBER(MATCH(TRUE,ISNUMBER(SEARCH($Q$2:$Q$51, $F38)),0))=TRUE,"",IF(ISNUMBER(MATCH(TRUE,ISNUMBER(SEARCH($S$2:$S$199, $F38)),0))=TRUE,"","미국 확인 필요")))</f>
        <v/>
      </c>
      <c r="Q38" s="133" t="s">
        <v>252</v>
      </c>
      <c r="S38" s="2" t="s">
        <v>253</v>
      </c>
      <c r="T38" s="17">
        <f t="shared" si="0"/>
        <v>0</v>
      </c>
      <c r="U38" s="17" t="str">
        <f>IF(T38=0,"",RANK(T38,T:T,0)+COUNTIF(T$1:T37,T38))</f>
        <v/>
      </c>
      <c r="V38" s="17">
        <f t="shared" si="1"/>
        <v>23</v>
      </c>
      <c r="W38" s="17">
        <f>IF(V38=0,"",RANK(V38,V:V,0)+COUNTIF(V$1:V37,V38))</f>
        <v>35</v>
      </c>
    </row>
    <row r="39" spans="1:23">
      <c r="A39" s="37" t="s">
        <v>264</v>
      </c>
      <c r="B39" s="132">
        <v>19</v>
      </c>
      <c r="C39" s="108" t="str">
        <f t="array" ref="C39">IFERROR(IF(A39="","",IF(ISNUMBER(MATCH(TRUE,ISNUMBER(SEARCH($Q$2:$Q$51, $A39)),0))=TRUE,"United States of America",INDEX($S$2:$S$199,MATCH(TRUE,ISNUMBER(SEARCH($S$2:$S$199, $A39)),0)))),"United States of America")</f>
        <v>Canada</v>
      </c>
      <c r="D39" s="108" t="str">
        <f t="array" ref="D39">IF(A39="","",IF(ISNUMBER(MATCH(TRUE,ISNUMBER(SEARCH($Q$2:$Q$51, $A39)),0))=TRUE,"",IF(ISNUMBER(MATCH(TRUE,ISNUMBER(SEARCH($S$2:$S$199, $A39)),0))=TRUE,"","미국 확인 필요")))</f>
        <v/>
      </c>
      <c r="F39" s="37" t="s">
        <v>316</v>
      </c>
      <c r="G39" s="132">
        <v>57</v>
      </c>
      <c r="H39" s="108" t="str">
        <f t="array" ref="H39">IFERROR(IF(F39="","",IF(ISNUMBER(MATCH(TRUE,ISNUMBER(SEARCH($Q$2:$Q$51, $F39)),0))=TRUE,"United States of America",INDEX($S$2:$S$199,MATCH(TRUE,ISNUMBER(SEARCH($S$2:$S$199, $F39)),0)))),"United States of America")</f>
        <v>Malaysia</v>
      </c>
      <c r="I39" s="108" t="str">
        <f t="array" ref="I39">IF(F39="","",IF(ISNUMBER(MATCH(TRUE,ISNUMBER(SEARCH($Q$2:$Q$51, $F39)),0))=TRUE,"",IF(ISNUMBER(MATCH(TRUE,ISNUMBER(SEARCH($S$2:$S$199, $F39)),0))=TRUE,"","미국 확인 필요")))</f>
        <v/>
      </c>
      <c r="Q39" s="133" t="s">
        <v>254</v>
      </c>
      <c r="S39" s="2" t="s">
        <v>255</v>
      </c>
      <c r="T39" s="17">
        <f t="shared" si="0"/>
        <v>0</v>
      </c>
      <c r="U39" s="17" t="str">
        <f>IF(T39=0,"",RANK(T39,T:T,0)+COUNTIF(T$1:T38,T39))</f>
        <v/>
      </c>
      <c r="V39" s="17">
        <f t="shared" si="1"/>
        <v>64</v>
      </c>
      <c r="W39" s="17">
        <f>IF(V39=0,"",RANK(V39,V:V,0)+COUNTIF(V$1:V38,V39))</f>
        <v>15</v>
      </c>
    </row>
    <row r="40" spans="1:23">
      <c r="A40" s="37" t="s">
        <v>578</v>
      </c>
      <c r="B40" s="132">
        <v>4</v>
      </c>
      <c r="C40" s="108" t="str">
        <f t="array" ref="C40">IFERROR(IF(A40="","",IF(ISNUMBER(MATCH(TRUE,ISNUMBER(SEARCH($Q$2:$Q$51, $A40)),0))=TRUE,"United States of America",INDEX($S$2:$S$199,MATCH(TRUE,ISNUMBER(SEARCH($S$2:$S$199, $A40)),0)))),"United States of America")</f>
        <v>Pakistan</v>
      </c>
      <c r="D40" s="108" t="str">
        <f t="array" ref="D40">IF(A40="","",IF(ISNUMBER(MATCH(TRUE,ISNUMBER(SEARCH($Q$2:$Q$51, $A40)),0))=TRUE,"",IF(ISNUMBER(MATCH(TRUE,ISNUMBER(SEARCH($S$2:$S$199, $A40)),0))=TRUE,"","미국 확인 필요")))</f>
        <v/>
      </c>
      <c r="F40" s="37" t="s">
        <v>179</v>
      </c>
      <c r="G40" s="132">
        <v>57</v>
      </c>
      <c r="H40" s="108" t="str">
        <f t="array" ref="H40">IFERROR(IF(F40="","",IF(ISNUMBER(MATCH(TRUE,ISNUMBER(SEARCH($Q$2:$Q$51, $F40)),0))=TRUE,"United States of America",INDEX($S$2:$S$199,MATCH(TRUE,ISNUMBER(SEARCH($S$2:$S$199, $F40)),0)))),"United States of America")</f>
        <v>Brazil</v>
      </c>
      <c r="I40" s="108" t="str">
        <f t="array" ref="I40">IF(F40="","",IF(ISNUMBER(MATCH(TRUE,ISNUMBER(SEARCH($Q$2:$Q$51, $F40)),0))=TRUE,"",IF(ISNUMBER(MATCH(TRUE,ISNUMBER(SEARCH($S$2:$S$199, $F40)),0))=TRUE,"","미국 확인 필요")))</f>
        <v/>
      </c>
      <c r="Q40" s="133" t="s">
        <v>258</v>
      </c>
      <c r="S40" s="2" t="s">
        <v>259</v>
      </c>
      <c r="T40" s="17">
        <f t="shared" si="0"/>
        <v>17</v>
      </c>
      <c r="U40" s="17">
        <f>IF(T40=0,"",RANK(T40,T:T,0)+COUNTIF(T$1:T39,T40))</f>
        <v>11</v>
      </c>
      <c r="V40" s="17">
        <f t="shared" si="1"/>
        <v>36</v>
      </c>
      <c r="W40" s="17">
        <f>IF(V40=0,"",RANK(V40,V:V,0)+COUNTIF(V$1:V39,V40))</f>
        <v>22</v>
      </c>
    </row>
    <row r="41" spans="1:23">
      <c r="A41" s="37" t="s">
        <v>579</v>
      </c>
      <c r="B41" s="132">
        <v>87</v>
      </c>
      <c r="C41" s="108" t="str">
        <f t="array" ref="C41">IFERROR(IF(A41="","",IF(ISNUMBER(MATCH(TRUE,ISNUMBER(SEARCH($Q$2:$Q$51, $A41)),0))=TRUE,"United States of America",INDEX($S$2:$S$199,MATCH(TRUE,ISNUMBER(SEARCH($S$2:$S$199, $A41)),0)))),"United States of America")</f>
        <v>Germany</v>
      </c>
      <c r="D41" s="108" t="str">
        <f t="array" ref="D41">IF(A41="","",IF(ISNUMBER(MATCH(TRUE,ISNUMBER(SEARCH($Q$2:$Q$51, $A41)),0))=TRUE,"",IF(ISNUMBER(MATCH(TRUE,ISNUMBER(SEARCH($S$2:$S$199, $A41)),0))=TRUE,"","미국 확인 필요")))</f>
        <v/>
      </c>
      <c r="F41" s="37" t="s">
        <v>356</v>
      </c>
      <c r="G41" s="132">
        <v>56</v>
      </c>
      <c r="H41" s="108" t="str">
        <f t="array" ref="H41">IFERROR(IF(F41="","",IF(ISNUMBER(MATCH(TRUE,ISNUMBER(SEARCH($Q$2:$Q$51, $F41)),0))=TRUE,"United States of America",INDEX($S$2:$S$199,MATCH(TRUE,ISNUMBER(SEARCH($S$2:$S$199, $F41)),0)))),"United States of America")</f>
        <v>India</v>
      </c>
      <c r="I41" s="108" t="str">
        <f t="array" ref="I41">IF(F41="","",IF(ISNUMBER(MATCH(TRUE,ISNUMBER(SEARCH($Q$2:$Q$51, $F41)),0))=TRUE,"",IF(ISNUMBER(MATCH(TRUE,ISNUMBER(SEARCH($S$2:$S$199, $F41)),0))=TRUE,"","미국 확인 필요")))</f>
        <v/>
      </c>
      <c r="Q41" s="133" t="s">
        <v>262</v>
      </c>
      <c r="S41" s="2" t="s">
        <v>263</v>
      </c>
      <c r="T41" s="17">
        <f t="shared" si="0"/>
        <v>7</v>
      </c>
      <c r="U41" s="17">
        <f>IF(T41=0,"",RANK(T41,T:T,0)+COUNTIF(T$1:T40,T41))</f>
        <v>23</v>
      </c>
      <c r="V41" s="17">
        <f t="shared" si="1"/>
        <v>1209</v>
      </c>
      <c r="W41" s="17">
        <f>IF(V41=0,"",RANK(V41,V:V,0)+COUNTIF(V$1:V40,V41))</f>
        <v>3</v>
      </c>
    </row>
    <row r="42" spans="1:23">
      <c r="A42" s="37" t="s">
        <v>730</v>
      </c>
      <c r="B42" s="132">
        <v>31</v>
      </c>
      <c r="C42" s="108" t="str">
        <f t="array" ref="C42">IFERROR(IF(A42="","",IF(ISNUMBER(MATCH(TRUE,ISNUMBER(SEARCH($Q$2:$Q$51, $A42)),0))=TRUE,"United States of America",INDEX($S$2:$S$199,MATCH(TRUE,ISNUMBER(SEARCH($S$2:$S$199, $A42)),0)))),"United States of America")</f>
        <v>Germany</v>
      </c>
      <c r="D42" s="108" t="str">
        <f t="array" ref="D42">IF(A42="","",IF(ISNUMBER(MATCH(TRUE,ISNUMBER(SEARCH($Q$2:$Q$51, $A42)),0))=TRUE,"",IF(ISNUMBER(MATCH(TRUE,ISNUMBER(SEARCH($S$2:$S$199, $A42)),0))=TRUE,"","미국 확인 필요")))</f>
        <v/>
      </c>
      <c r="F42" s="37" t="s">
        <v>345</v>
      </c>
      <c r="G42" s="132">
        <v>54</v>
      </c>
      <c r="H42" s="108" t="str">
        <f t="array" ref="H42">IFERROR(IF(F42="","",IF(ISNUMBER(MATCH(TRUE,ISNUMBER(SEARCH($Q$2:$Q$51, $F42)),0))=TRUE,"United States of America",INDEX($S$2:$S$199,MATCH(TRUE,ISNUMBER(SEARCH($S$2:$S$199, $F42)),0)))),"United States of America")</f>
        <v>India</v>
      </c>
      <c r="I42" s="108" t="str">
        <f t="array" ref="I42">IF(F42="","",IF(ISNUMBER(MATCH(TRUE,ISNUMBER(SEARCH($Q$2:$Q$51, $F42)),0))=TRUE,"",IF(ISNUMBER(MATCH(TRUE,ISNUMBER(SEARCH($S$2:$S$199, $F42)),0))=TRUE,"","미국 확인 필요")))</f>
        <v/>
      </c>
      <c r="Q42" s="133" t="s">
        <v>266</v>
      </c>
      <c r="S42" s="2" t="s">
        <v>267</v>
      </c>
      <c r="T42" s="17">
        <f t="shared" si="0"/>
        <v>0</v>
      </c>
      <c r="U42" s="17" t="str">
        <f>IF(T42=0,"",RANK(T42,T:T,0)+COUNTIF(T$1:T41,T42))</f>
        <v/>
      </c>
      <c r="V42" s="17">
        <f t="shared" si="1"/>
        <v>0</v>
      </c>
      <c r="W42" s="17" t="str">
        <f>IF(V42=0,"",RANK(V42,V:V,0)+COUNTIF(V$1:V41,V42))</f>
        <v/>
      </c>
    </row>
    <row r="43" spans="1:23">
      <c r="A43" s="37" t="s">
        <v>731</v>
      </c>
      <c r="B43" s="132">
        <v>4</v>
      </c>
      <c r="C43" s="108" t="str">
        <f t="array" ref="C43">IFERROR(IF(A43="","",IF(ISNUMBER(MATCH(TRUE,ISNUMBER(SEARCH($Q$2:$Q$51, $A43)),0))=TRUE,"United States of America",INDEX($S$2:$S$199,MATCH(TRUE,ISNUMBER(SEARCH($S$2:$S$199, $A43)),0)))),"United States of America")</f>
        <v>United States of America</v>
      </c>
      <c r="D43" s="108" t="str">
        <f t="array" ref="D43">IF(A43="","",IF(ISNUMBER(MATCH(TRUE,ISNUMBER(SEARCH($Q$2:$Q$51, $A43)),0))=TRUE,"",IF(ISNUMBER(MATCH(TRUE,ISNUMBER(SEARCH($S$2:$S$199, $A43)),0))=TRUE,"","미국 확인 필요")))</f>
        <v/>
      </c>
      <c r="F43" s="37" t="s">
        <v>270</v>
      </c>
      <c r="G43" s="132">
        <v>51</v>
      </c>
      <c r="H43" s="108" t="str">
        <f t="array" ref="H43">IFERROR(IF(F43="","",IF(ISNUMBER(MATCH(TRUE,ISNUMBER(SEARCH($Q$2:$Q$51, $F43)),0))=TRUE,"United States of America",INDEX($S$2:$S$199,MATCH(TRUE,ISNUMBER(SEARCH($S$2:$S$199, $F43)),0)))),"United States of America")</f>
        <v>Canada</v>
      </c>
      <c r="I43" s="108" t="str">
        <f t="array" ref="I43">IF(F43="","",IF(ISNUMBER(MATCH(TRUE,ISNUMBER(SEARCH($Q$2:$Q$51, $F43)),0))=TRUE,"",IF(ISNUMBER(MATCH(TRUE,ISNUMBER(SEARCH($S$2:$S$199, $F43)),0))=TRUE,"","미국 확인 필요")))</f>
        <v/>
      </c>
      <c r="Q43" s="133" t="s">
        <v>268</v>
      </c>
      <c r="S43" s="2" t="s">
        <v>269</v>
      </c>
      <c r="T43" s="17">
        <f t="shared" si="0"/>
        <v>0</v>
      </c>
      <c r="U43" s="17" t="str">
        <f>IF(T43=0,"",RANK(T43,T:T,0)+COUNTIF(T$1:T42,T43))</f>
        <v/>
      </c>
      <c r="V43" s="17">
        <f t="shared" si="1"/>
        <v>167</v>
      </c>
      <c r="W43" s="17">
        <f>IF(V43=0,"",RANK(V43,V:V,0)+COUNTIF(V$1:V42,V43))</f>
        <v>6</v>
      </c>
    </row>
    <row r="44" spans="1:23">
      <c r="A44" s="37" t="s">
        <v>270</v>
      </c>
      <c r="B44" s="132">
        <v>8</v>
      </c>
      <c r="C44" s="108" t="str">
        <f t="array" ref="C44">IFERROR(IF(A44="","",IF(ISNUMBER(MATCH(TRUE,ISNUMBER(SEARCH($Q$2:$Q$51, $A44)),0))=TRUE,"United States of America",INDEX($S$2:$S$199,MATCH(TRUE,ISNUMBER(SEARCH($S$2:$S$199, $A44)),0)))),"United States of America")</f>
        <v>Canada</v>
      </c>
      <c r="D44" s="108" t="str">
        <f t="array" ref="D44">IF(A44="","",IF(ISNUMBER(MATCH(TRUE,ISNUMBER(SEARCH($Q$2:$Q$51, $A44)),0))=TRUE,"",IF(ISNUMBER(MATCH(TRUE,ISNUMBER(SEARCH($S$2:$S$199, $A44)),0))=TRUE,"","미국 확인 필요")))</f>
        <v/>
      </c>
      <c r="F44" s="37" t="s">
        <v>347</v>
      </c>
      <c r="G44" s="132">
        <v>50</v>
      </c>
      <c r="H44" s="108" t="str">
        <f t="array" ref="H44">IFERROR(IF(F44="","",IF(ISNUMBER(MATCH(TRUE,ISNUMBER(SEARCH($Q$2:$Q$51, $F44)),0))=TRUE,"United States of America",INDEX($S$2:$S$199,MATCH(TRUE,ISNUMBER(SEARCH($S$2:$S$199, $F44)),0)))),"United States of America")</f>
        <v>Australia</v>
      </c>
      <c r="I44" s="108" t="str">
        <f t="array" ref="I44">IF(F44="","",IF(ISNUMBER(MATCH(TRUE,ISNUMBER(SEARCH($Q$2:$Q$51, $F44)),0))=TRUE,"",IF(ISNUMBER(MATCH(TRUE,ISNUMBER(SEARCH($S$2:$S$199, $F44)),0))=TRUE,"","미국 확인 필요")))</f>
        <v/>
      </c>
      <c r="Q44" s="133" t="s">
        <v>271</v>
      </c>
      <c r="S44" s="2" t="s">
        <v>272</v>
      </c>
      <c r="T44" s="17">
        <f t="shared" si="0"/>
        <v>0</v>
      </c>
      <c r="U44" s="17" t="str">
        <f>IF(T44=0,"",RANK(T44,T:T,0)+COUNTIF(T$1:T43,T44))</f>
        <v/>
      </c>
      <c r="V44" s="17">
        <f t="shared" si="1"/>
        <v>0</v>
      </c>
      <c r="W44" s="17" t="str">
        <f>IF(V44=0,"",RANK(V44,V:V,0)+COUNTIF(V$1:V43,V44))</f>
        <v/>
      </c>
    </row>
    <row r="45" spans="1:23">
      <c r="A45" s="37" t="s">
        <v>732</v>
      </c>
      <c r="B45" s="132">
        <v>5</v>
      </c>
      <c r="C45" s="108" t="str">
        <f t="array" ref="C45">IFERROR(IF(A45="","",IF(ISNUMBER(MATCH(TRUE,ISNUMBER(SEARCH($Q$2:$Q$51, $A45)),0))=TRUE,"United States of America",INDEX($S$2:$S$199,MATCH(TRUE,ISNUMBER(SEARCH($S$2:$S$199, $A45)),0)))),"United States of America")</f>
        <v>Germany</v>
      </c>
      <c r="D45" s="108" t="str">
        <f t="array" ref="D45">IF(A45="","",IF(ISNUMBER(MATCH(TRUE,ISNUMBER(SEARCH($Q$2:$Q$51, $A45)),0))=TRUE,"",IF(ISNUMBER(MATCH(TRUE,ISNUMBER(SEARCH($S$2:$S$199, $A45)),0))=TRUE,"","미국 확인 필요")))</f>
        <v/>
      </c>
      <c r="F45" s="37" t="s">
        <v>257</v>
      </c>
      <c r="G45" s="132">
        <v>45</v>
      </c>
      <c r="H45" s="108" t="str">
        <f t="array" ref="H45">IFERROR(IF(F45="","",IF(ISNUMBER(MATCH(TRUE,ISNUMBER(SEARCH($Q$2:$Q$51, $F45)),0))=TRUE,"United States of America",INDEX($S$2:$S$199,MATCH(TRUE,ISNUMBER(SEARCH($S$2:$S$199, $F45)),0)))),"United States of America")</f>
        <v>United States of America</v>
      </c>
      <c r="I45" s="108" t="str">
        <f t="array" ref="I45">IF(F45="","",IF(ISNUMBER(MATCH(TRUE,ISNUMBER(SEARCH($Q$2:$Q$51, $F45)),0))=TRUE,"",IF(ISNUMBER(MATCH(TRUE,ISNUMBER(SEARCH($S$2:$S$199, $F45)),0))=TRUE,"","미국 확인 필요")))</f>
        <v>미국 확인 필요</v>
      </c>
      <c r="Q45" s="133" t="s">
        <v>274</v>
      </c>
      <c r="S45" s="2" t="s">
        <v>275</v>
      </c>
      <c r="T45" s="17">
        <f t="shared" si="0"/>
        <v>0</v>
      </c>
      <c r="U45" s="17" t="str">
        <f>IF(T45=0,"",RANK(T45,T:T,0)+COUNTIF(T$1:T44,T45))</f>
        <v/>
      </c>
      <c r="V45" s="17">
        <f t="shared" si="1"/>
        <v>75</v>
      </c>
      <c r="W45" s="17">
        <f>IF(V45=0,"",RANK(V45,V:V,0)+COUNTIF(V$1:V44,V45))</f>
        <v>13</v>
      </c>
    </row>
    <row r="46" spans="1:23">
      <c r="A46" s="37" t="s">
        <v>261</v>
      </c>
      <c r="B46" s="132">
        <v>8</v>
      </c>
      <c r="C46" s="108" t="str">
        <f t="array" ref="C46">IFERROR(IF(A46="","",IF(ISNUMBER(MATCH(TRUE,ISNUMBER(SEARCH($Q$2:$Q$51, $A46)),0))=TRUE,"United States of America",INDEX($S$2:$S$199,MATCH(TRUE,ISNUMBER(SEARCH($S$2:$S$199, $A46)),0)))),"United States of America")</f>
        <v>United States of America</v>
      </c>
      <c r="D46" s="108" t="str">
        <f t="array" ref="D46">IF(A46="","",IF(ISNUMBER(MATCH(TRUE,ISNUMBER(SEARCH($Q$2:$Q$51, $A46)),0))=TRUE,"",IF(ISNUMBER(MATCH(TRUE,ISNUMBER(SEARCH($S$2:$S$199, $A46)),0))=TRUE,"","미국 확인 필요")))</f>
        <v>미국 확인 필요</v>
      </c>
      <c r="F46" s="37" t="s">
        <v>279</v>
      </c>
      <c r="G46" s="132">
        <v>43</v>
      </c>
      <c r="H46" s="108" t="str">
        <f t="array" ref="H46">IFERROR(IF(F46="","",IF(ISNUMBER(MATCH(TRUE,ISNUMBER(SEARCH($Q$2:$Q$51, $F46)),0))=TRUE,"United States of America",INDEX($S$2:$S$199,MATCH(TRUE,ISNUMBER(SEARCH($S$2:$S$199, $F46)),0)))),"United States of America")</f>
        <v>Korea</v>
      </c>
      <c r="I46" s="108" t="str">
        <f t="array" ref="I46">IF(F46="","",IF(ISNUMBER(MATCH(TRUE,ISNUMBER(SEARCH($Q$2:$Q$51, $F46)),0))=TRUE,"",IF(ISNUMBER(MATCH(TRUE,ISNUMBER(SEARCH($S$2:$S$199, $F46)),0))=TRUE,"","미국 확인 필요")))</f>
        <v/>
      </c>
      <c r="Q46" s="133" t="s">
        <v>277</v>
      </c>
      <c r="S46" s="2" t="s">
        <v>278</v>
      </c>
      <c r="T46" s="17">
        <f t="shared" si="0"/>
        <v>0</v>
      </c>
      <c r="U46" s="17" t="str">
        <f>IF(T46=0,"",RANK(T46,T:T,0)+COUNTIF(T$1:T45,T46))</f>
        <v/>
      </c>
      <c r="V46" s="17">
        <f t="shared" si="1"/>
        <v>0</v>
      </c>
      <c r="W46" s="17" t="str">
        <f>IF(V46=0,"",RANK(V46,V:V,0)+COUNTIF(V$1:V45,V46))</f>
        <v/>
      </c>
    </row>
    <row r="47" spans="1:23">
      <c r="A47" s="37" t="s">
        <v>582</v>
      </c>
      <c r="B47" s="132">
        <v>5</v>
      </c>
      <c r="C47" s="108" t="str">
        <f t="array" ref="C47">IFERROR(IF(A47="","",IF(ISNUMBER(MATCH(TRUE,ISNUMBER(SEARCH($Q$2:$Q$51, $A47)),0))=TRUE,"United States of America",INDEX($S$2:$S$199,MATCH(TRUE,ISNUMBER(SEARCH($S$2:$S$199, $A47)),0)))),"United States of America")</f>
        <v>Greece</v>
      </c>
      <c r="D47" s="108" t="str">
        <f t="array" ref="D47">IF(A47="","",IF(ISNUMBER(MATCH(TRUE,ISNUMBER(SEARCH($Q$2:$Q$51, $A47)),0))=TRUE,"",IF(ISNUMBER(MATCH(TRUE,ISNUMBER(SEARCH($S$2:$S$199, $A47)),0))=TRUE,"","미국 확인 필요")))</f>
        <v/>
      </c>
      <c r="F47" s="37" t="s">
        <v>592</v>
      </c>
      <c r="G47" s="132">
        <v>43</v>
      </c>
      <c r="H47" s="108" t="str">
        <f t="array" ref="H47">IFERROR(IF(F47="","",IF(ISNUMBER(MATCH(TRUE,ISNUMBER(SEARCH($Q$2:$Q$51, $F47)),0))=TRUE,"United States of America",INDEX($S$2:$S$199,MATCH(TRUE,ISNUMBER(SEARCH($S$2:$S$199, $F47)),0)))),"United States of America")</f>
        <v>India</v>
      </c>
      <c r="I47" s="108" t="str">
        <f t="array" ref="I47">IF(F47="","",IF(ISNUMBER(MATCH(TRUE,ISNUMBER(SEARCH($Q$2:$Q$51, $F47)),0))=TRUE,"",IF(ISNUMBER(MATCH(TRUE,ISNUMBER(SEARCH($S$2:$S$199, $F47)),0))=TRUE,"","미국 확인 필요")))</f>
        <v/>
      </c>
      <c r="Q47" s="133" t="s">
        <v>280</v>
      </c>
      <c r="S47" s="2" t="s">
        <v>281</v>
      </c>
      <c r="T47" s="17">
        <f t="shared" si="0"/>
        <v>9</v>
      </c>
      <c r="U47" s="17">
        <f>IF(T47=0,"",RANK(T47,T:T,0)+COUNTIF(T$1:T46,T47))</f>
        <v>19</v>
      </c>
      <c r="V47" s="17">
        <f t="shared" si="1"/>
        <v>35</v>
      </c>
      <c r="W47" s="17">
        <f>IF(V47=0,"",RANK(V47,V:V,0)+COUNTIF(V$1:V46,V47))</f>
        <v>24</v>
      </c>
    </row>
    <row r="48" spans="1:23">
      <c r="A48" s="37" t="s">
        <v>289</v>
      </c>
      <c r="B48" s="132">
        <v>4</v>
      </c>
      <c r="C48" s="108" t="str">
        <f t="array" ref="C48">IFERROR(IF(A48="","",IF(ISNUMBER(MATCH(TRUE,ISNUMBER(SEARCH($Q$2:$Q$51, $A48)),0))=TRUE,"United States of America",INDEX($S$2:$S$199,MATCH(TRUE,ISNUMBER(SEARCH($S$2:$S$199, $A48)),0)))),"United States of America")</f>
        <v>Poland</v>
      </c>
      <c r="D48" s="108" t="str">
        <f t="array" ref="D48">IF(A48="","",IF(ISNUMBER(MATCH(TRUE,ISNUMBER(SEARCH($Q$2:$Q$51, $A48)),0))=TRUE,"",IF(ISNUMBER(MATCH(TRUE,ISNUMBER(SEARCH($S$2:$S$199, $A48)),0))=TRUE,"","미국 확인 필요")))</f>
        <v/>
      </c>
      <c r="F48" s="37" t="s">
        <v>185</v>
      </c>
      <c r="G48" s="132">
        <v>42</v>
      </c>
      <c r="H48" s="108" t="str">
        <f t="array" ref="H48">IFERROR(IF(F48="","",IF(ISNUMBER(MATCH(TRUE,ISNUMBER(SEARCH($Q$2:$Q$51, $F48)),0))=TRUE,"United States of America",INDEX($S$2:$S$199,MATCH(TRUE,ISNUMBER(SEARCH($S$2:$S$199, $F48)),0)))),"United States of America")</f>
        <v>India</v>
      </c>
      <c r="I48" s="108" t="str">
        <f t="array" ref="I48">IF(F48="","",IF(ISNUMBER(MATCH(TRUE,ISNUMBER(SEARCH($Q$2:$Q$51, $F48)),0))=TRUE,"",IF(ISNUMBER(MATCH(TRUE,ISNUMBER(SEARCH($S$2:$S$199, $F48)),0))=TRUE,"","미국 확인 필요")))</f>
        <v/>
      </c>
      <c r="Q48" s="133" t="s">
        <v>283</v>
      </c>
      <c r="S48" s="2" t="s">
        <v>284</v>
      </c>
      <c r="T48" s="17">
        <f t="shared" si="0"/>
        <v>0</v>
      </c>
      <c r="U48" s="17" t="str">
        <f>IF(T48=0,"",RANK(T48,T:T,0)+COUNTIF(T$1:T47,T48))</f>
        <v/>
      </c>
      <c r="V48" s="17">
        <f t="shared" si="1"/>
        <v>0</v>
      </c>
      <c r="W48" s="17" t="str">
        <f>IF(V48=0,"",RANK(V48,V:V,0)+COUNTIF(V$1:V47,V48))</f>
        <v/>
      </c>
    </row>
    <row r="49" spans="1:23">
      <c r="A49" s="37" t="s">
        <v>335</v>
      </c>
      <c r="B49" s="132">
        <v>5</v>
      </c>
      <c r="C49" s="108" t="str">
        <f t="array" ref="C49">IFERROR(IF(A49="","",IF(ISNUMBER(MATCH(TRUE,ISNUMBER(SEARCH($Q$2:$Q$51, $A49)),0))=TRUE,"United States of America",INDEX($S$2:$S$199,MATCH(TRUE,ISNUMBER(SEARCH($S$2:$S$199, $A49)),0)))),"United States of America")</f>
        <v>United States of America</v>
      </c>
      <c r="D49" s="108" t="str">
        <f t="array" ref="D49">IF(A49="","",IF(ISNUMBER(MATCH(TRUE,ISNUMBER(SEARCH($Q$2:$Q$51, $A49)),0))=TRUE,"",IF(ISNUMBER(MATCH(TRUE,ISNUMBER(SEARCH($S$2:$S$199, $A49)),0))=TRUE,"","미국 확인 필요")))</f>
        <v>미국 확인 필요</v>
      </c>
      <c r="F49" s="37" t="s">
        <v>593</v>
      </c>
      <c r="G49" s="132">
        <v>42</v>
      </c>
      <c r="H49" s="108" t="str">
        <f t="array" ref="H49">IFERROR(IF(F49="","",IF(ISNUMBER(MATCH(TRUE,ISNUMBER(SEARCH($Q$2:$Q$51, $F49)),0))=TRUE,"United States of America",INDEX($S$2:$S$199,MATCH(TRUE,ISNUMBER(SEARCH($S$2:$S$199, $F49)),0)))),"United States of America")</f>
        <v>Pakistan</v>
      </c>
      <c r="I49" s="108" t="str">
        <f t="array" ref="I49">IF(F49="","",IF(ISNUMBER(MATCH(TRUE,ISNUMBER(SEARCH($Q$2:$Q$51, $F49)),0))=TRUE,"",IF(ISNUMBER(MATCH(TRUE,ISNUMBER(SEARCH($S$2:$S$199, $F49)),0))=TRUE,"","미국 확인 필요")))</f>
        <v/>
      </c>
      <c r="Q49" s="133" t="s">
        <v>285</v>
      </c>
      <c r="S49" s="2" t="s">
        <v>286</v>
      </c>
      <c r="T49" s="17">
        <f t="shared" si="0"/>
        <v>0</v>
      </c>
      <c r="U49" s="17" t="str">
        <f>IF(T49=0,"",RANK(T49,T:T,0)+COUNTIF(T$1:T48,T49))</f>
        <v/>
      </c>
      <c r="V49" s="17">
        <f t="shared" si="1"/>
        <v>26</v>
      </c>
      <c r="W49" s="17">
        <f>IF(V49=0,"",RANK(V49,V:V,0)+COUNTIF(V$1:V48,V49))</f>
        <v>29</v>
      </c>
    </row>
    <row r="50" spans="1:23">
      <c r="A50" s="37" t="s">
        <v>733</v>
      </c>
      <c r="B50" s="132">
        <v>4</v>
      </c>
      <c r="C50" s="108" t="str">
        <f t="array" ref="C50">IFERROR(IF(A50="","",IF(ISNUMBER(MATCH(TRUE,ISNUMBER(SEARCH($Q$2:$Q$51, $A50)),0))=TRUE,"United States of America",INDEX($S$2:$S$199,MATCH(TRUE,ISNUMBER(SEARCH($S$2:$S$199, $A50)),0)))),"United States of America")</f>
        <v>Netherlands</v>
      </c>
      <c r="D50" s="108" t="str">
        <f t="array" ref="D50">IF(A50="","",IF(ISNUMBER(MATCH(TRUE,ISNUMBER(SEARCH($Q$2:$Q$51, $A50)),0))=TRUE,"",IF(ISNUMBER(MATCH(TRUE,ISNUMBER(SEARCH($S$2:$S$199, $A50)),0))=TRUE,"","미국 확인 필요")))</f>
        <v/>
      </c>
      <c r="F50" s="37" t="s">
        <v>154</v>
      </c>
      <c r="G50" s="132">
        <v>40</v>
      </c>
      <c r="H50" s="108" t="str">
        <f t="array" ref="H50">IFERROR(IF(F50="","",IF(ISNUMBER(MATCH(TRUE,ISNUMBER(SEARCH($Q$2:$Q$51, $F50)),0))=TRUE,"United States of America",INDEX($S$2:$S$199,MATCH(TRUE,ISNUMBER(SEARCH($S$2:$S$199, $F50)),0)))),"United States of America")</f>
        <v>India</v>
      </c>
      <c r="I50" s="108" t="str">
        <f t="array" ref="I50">IF(F50="","",IF(ISNUMBER(MATCH(TRUE,ISNUMBER(SEARCH($Q$2:$Q$51, $F50)),0))=TRUE,"",IF(ISNUMBER(MATCH(TRUE,ISNUMBER(SEARCH($S$2:$S$199, $F50)),0))=TRUE,"","미국 확인 필요")))</f>
        <v/>
      </c>
      <c r="Q50" s="133" t="s">
        <v>287</v>
      </c>
      <c r="S50" s="2" t="s">
        <v>288</v>
      </c>
      <c r="T50" s="17">
        <f t="shared" si="0"/>
        <v>0</v>
      </c>
      <c r="U50" s="17" t="str">
        <f>IF(T50=0,"",RANK(T50,T:T,0)+COUNTIF(T$1:T49,T50))</f>
        <v/>
      </c>
      <c r="V50" s="17">
        <f t="shared" si="1"/>
        <v>0</v>
      </c>
      <c r="W50" s="17" t="str">
        <f>IF(V50=0,"",RANK(V50,V:V,0)+COUNTIF(V$1:V49,V50))</f>
        <v/>
      </c>
    </row>
    <row r="51" spans="1:23" ht="17.25" thickBot="1">
      <c r="A51" s="37" t="s">
        <v>273</v>
      </c>
      <c r="B51" s="132">
        <v>17</v>
      </c>
      <c r="C51" s="108" t="str">
        <f t="array" ref="C51">IFERROR(IF(A51="","",IF(ISNUMBER(MATCH(TRUE,ISNUMBER(SEARCH($Q$2:$Q$51, $A51)),0))=TRUE,"United States of America",INDEX($S$2:$S$199,MATCH(TRUE,ISNUMBER(SEARCH($S$2:$S$199, $A51)),0)))),"United States of America")</f>
        <v>Ireland</v>
      </c>
      <c r="D51" s="108" t="str">
        <f t="array" ref="D51">IF(A51="","",IF(ISNUMBER(MATCH(TRUE,ISNUMBER(SEARCH($Q$2:$Q$51, $A51)),0))=TRUE,"",IF(ISNUMBER(MATCH(TRUE,ISNUMBER(SEARCH($S$2:$S$199, $A51)),0))=TRUE,"","미국 확인 필요")))</f>
        <v/>
      </c>
      <c r="F51" s="37" t="s">
        <v>364</v>
      </c>
      <c r="G51" s="132">
        <v>38</v>
      </c>
      <c r="H51" s="108" t="str">
        <f t="array" ref="H51">IFERROR(IF(F51="","",IF(ISNUMBER(MATCH(TRUE,ISNUMBER(SEARCH($Q$2:$Q$51, $F51)),0))=TRUE,"United States of America",INDEX($S$2:$S$199,MATCH(TRUE,ISNUMBER(SEARCH($S$2:$S$199, $F51)),0)))),"United States of America")</f>
        <v>Korea</v>
      </c>
      <c r="I51" s="108" t="str">
        <f t="array" ref="I51">IF(F51="","",IF(ISNUMBER(MATCH(TRUE,ISNUMBER(SEARCH($Q$2:$Q$51, $F51)),0))=TRUE,"",IF(ISNUMBER(MATCH(TRUE,ISNUMBER(SEARCH($S$2:$S$199, $F51)),0))=TRUE,"","미국 확인 필요")))</f>
        <v/>
      </c>
      <c r="Q51" s="146" t="s">
        <v>290</v>
      </c>
      <c r="S51" s="2" t="s">
        <v>291</v>
      </c>
      <c r="T51" s="17">
        <f t="shared" si="0"/>
        <v>0</v>
      </c>
      <c r="U51" s="17" t="str">
        <f>IF(T51=0,"",RANK(T51,T:T,0)+COUNTIF(T$1:T50,T51))</f>
        <v/>
      </c>
      <c r="V51" s="17">
        <f t="shared" si="1"/>
        <v>0</v>
      </c>
      <c r="W51" s="17" t="str">
        <f>IF(V51=0,"",RANK(V51,V:V,0)+COUNTIF(V$1:V50,V51))</f>
        <v/>
      </c>
    </row>
    <row r="52" spans="1:23">
      <c r="A52" s="37" t="s">
        <v>265</v>
      </c>
      <c r="B52" s="132">
        <v>21</v>
      </c>
      <c r="C52" s="108" t="str">
        <f t="array" ref="C52">IFERROR(IF(A52="","",IF(ISNUMBER(MATCH(TRUE,ISNUMBER(SEARCH($Q$2:$Q$51, $A52)),0))=TRUE,"United States of America",INDEX($S$2:$S$199,MATCH(TRUE,ISNUMBER(SEARCH($S$2:$S$199, $A52)),0)))),"United States of America")</f>
        <v>Netherlands</v>
      </c>
      <c r="D52" s="108" t="str">
        <f t="array" ref="D52">IF(A52="","",IF(ISNUMBER(MATCH(TRUE,ISNUMBER(SEARCH($Q$2:$Q$51, $A52)),0))=TRUE,"",IF(ISNUMBER(MATCH(TRUE,ISNUMBER(SEARCH($S$2:$S$199, $A52)),0))=TRUE,"","미국 확인 필요")))</f>
        <v/>
      </c>
      <c r="F52" s="37" t="s">
        <v>338</v>
      </c>
      <c r="G52" s="132">
        <v>37</v>
      </c>
      <c r="H52" s="108" t="str">
        <f t="array" ref="H52">IFERROR(IF(F52="","",IF(ISNUMBER(MATCH(TRUE,ISNUMBER(SEARCH($Q$2:$Q$51, $F52)),0))=TRUE,"United States of America",INDEX($S$2:$S$199,MATCH(TRUE,ISNUMBER(SEARCH($S$2:$S$199, $F52)),0)))),"United States of America")</f>
        <v>Korea</v>
      </c>
      <c r="I52" s="108" t="str">
        <f t="array" ref="I52">IF(F52="","",IF(ISNUMBER(MATCH(TRUE,ISNUMBER(SEARCH($Q$2:$Q$51, $F52)),0))=TRUE,"",IF(ISNUMBER(MATCH(TRUE,ISNUMBER(SEARCH($S$2:$S$199, $F52)),0))=TRUE,"","미국 확인 필요")))</f>
        <v/>
      </c>
      <c r="S52" s="2" t="s">
        <v>292</v>
      </c>
      <c r="T52" s="17">
        <f t="shared" si="0"/>
        <v>3</v>
      </c>
      <c r="U52" s="17">
        <f>IF(T52=0,"",RANK(T52,T:T,0)+COUNTIF(T$1:T51,T52))</f>
        <v>33</v>
      </c>
      <c r="V52" s="17">
        <f t="shared" si="1"/>
        <v>31</v>
      </c>
      <c r="W52" s="17">
        <f>IF(V52=0,"",RANK(V52,V:V,0)+COUNTIF(V$1:V51,V52))</f>
        <v>26</v>
      </c>
    </row>
    <row r="53" spans="1:23">
      <c r="A53" s="37" t="s">
        <v>734</v>
      </c>
      <c r="B53" s="132">
        <v>6</v>
      </c>
      <c r="C53" s="108" t="str">
        <f t="array" ref="C53">IFERROR(IF(A53="","",IF(ISNUMBER(MATCH(TRUE,ISNUMBER(SEARCH($Q$2:$Q$51, $A53)),0))=TRUE,"United States of America",INDEX($S$2:$S$199,MATCH(TRUE,ISNUMBER(SEARCH($S$2:$S$199, $A53)),0)))),"United States of America")</f>
        <v>Sweden</v>
      </c>
      <c r="D53" s="108" t="str">
        <f t="array" ref="D53">IF(A53="","",IF(ISNUMBER(MATCH(TRUE,ISNUMBER(SEARCH($Q$2:$Q$51, $A53)),0))=TRUE,"",IF(ISNUMBER(MATCH(TRUE,ISNUMBER(SEARCH($S$2:$S$199, $A53)),0))=TRUE,"","미국 확인 필요")))</f>
        <v/>
      </c>
      <c r="F53" s="37" t="s">
        <v>594</v>
      </c>
      <c r="G53" s="132">
        <v>37</v>
      </c>
      <c r="H53" s="108" t="str">
        <f t="array" ref="H53">IFERROR(IF(F53="","",IF(ISNUMBER(MATCH(TRUE,ISNUMBER(SEARCH($Q$2:$Q$51, $F53)),0))=TRUE,"United States of America",INDEX($S$2:$S$199,MATCH(TRUE,ISNUMBER(SEARCH($S$2:$S$199, $F53)),0)))),"United States of America")</f>
        <v>Nepal</v>
      </c>
      <c r="I53" s="108" t="str">
        <f t="array" ref="I53">IF(F53="","",IF(ISNUMBER(MATCH(TRUE,ISNUMBER(SEARCH($Q$2:$Q$51, $F53)),0))=TRUE,"",IF(ISNUMBER(MATCH(TRUE,ISNUMBER(SEARCH($S$2:$S$199, $F53)),0))=TRUE,"","미국 확인 필요")))</f>
        <v/>
      </c>
      <c r="S53" s="2" t="s">
        <v>294</v>
      </c>
      <c r="T53" s="17">
        <f t="shared" si="0"/>
        <v>0</v>
      </c>
      <c r="U53" s="17" t="str">
        <f>IF(T53=0,"",RANK(T53,T:T,0)+COUNTIF(T$1:T52,T53))</f>
        <v/>
      </c>
      <c r="V53" s="17">
        <f t="shared" si="1"/>
        <v>0</v>
      </c>
      <c r="W53" s="17" t="str">
        <f>IF(V53=0,"",RANK(V53,V:V,0)+COUNTIF(V$1:V52,V53))</f>
        <v/>
      </c>
    </row>
    <row r="54" spans="1:23">
      <c r="A54" s="37" t="s">
        <v>735</v>
      </c>
      <c r="B54" s="132">
        <v>6</v>
      </c>
      <c r="C54" s="108" t="str">
        <f t="array" ref="C54">IFERROR(IF(A54="","",IF(ISNUMBER(MATCH(TRUE,ISNUMBER(SEARCH($Q$2:$Q$51, $A54)),0))=TRUE,"United States of America",INDEX($S$2:$S$199,MATCH(TRUE,ISNUMBER(SEARCH($S$2:$S$199, $A54)),0)))),"United States of America")</f>
        <v>Spain</v>
      </c>
      <c r="D54" s="108" t="str">
        <f t="array" ref="D54">IF(A54="","",IF(ISNUMBER(MATCH(TRUE,ISNUMBER(SEARCH($Q$2:$Q$51, $A54)),0))=TRUE,"",IF(ISNUMBER(MATCH(TRUE,ISNUMBER(SEARCH($S$2:$S$199, $A54)),0))=TRUE,"","미국 확인 필요")))</f>
        <v/>
      </c>
      <c r="F54" s="37" t="s">
        <v>303</v>
      </c>
      <c r="G54" s="132">
        <v>36</v>
      </c>
      <c r="H54" s="108" t="str">
        <f t="array" ref="H54">IFERROR(IF(F54="","",IF(ISNUMBER(MATCH(TRUE,ISNUMBER(SEARCH($Q$2:$Q$51, $F54)),0))=TRUE,"United States of America",INDEX($S$2:$S$199,MATCH(TRUE,ISNUMBER(SEARCH($S$2:$S$199, $F54)),0)))),"United States of America")</f>
        <v>Korea</v>
      </c>
      <c r="I54" s="108" t="str">
        <f t="array" ref="I54">IF(F54="","",IF(ISNUMBER(MATCH(TRUE,ISNUMBER(SEARCH($Q$2:$Q$51, $F54)),0))=TRUE,"",IF(ISNUMBER(MATCH(TRUE,ISNUMBER(SEARCH($S$2:$S$199, $F54)),0))=TRUE,"","미국 확인 필요")))</f>
        <v/>
      </c>
      <c r="S54" s="2" t="s">
        <v>296</v>
      </c>
      <c r="T54" s="17">
        <f t="shared" si="0"/>
        <v>0</v>
      </c>
      <c r="U54" s="17" t="str">
        <f>IF(T54=0,"",RANK(T54,T:T,0)+COUNTIF(T$1:T53,T54))</f>
        <v/>
      </c>
      <c r="V54" s="17">
        <f t="shared" si="1"/>
        <v>0</v>
      </c>
      <c r="W54" s="17" t="str">
        <f>IF(V54=0,"",RANK(V54,V:V,0)+COUNTIF(V$1:V53,V54))</f>
        <v/>
      </c>
    </row>
    <row r="55" spans="1:23">
      <c r="A55" s="37" t="s">
        <v>293</v>
      </c>
      <c r="B55" s="132">
        <v>5</v>
      </c>
      <c r="C55" s="108" t="str">
        <f t="array" ref="C55">IFERROR(IF(A55="","",IF(ISNUMBER(MATCH(TRUE,ISNUMBER(SEARCH($Q$2:$Q$51, $A55)),0))=TRUE,"United States of America",INDEX($S$2:$S$199,MATCH(TRUE,ISNUMBER(SEARCH($S$2:$S$199, $A55)),0)))),"United States of America")</f>
        <v>United States of America</v>
      </c>
      <c r="D55" s="108" t="str">
        <f t="array" ref="D55">IF(A55="","",IF(ISNUMBER(MATCH(TRUE,ISNUMBER(SEARCH($Q$2:$Q$51, $A55)),0))=TRUE,"",IF(ISNUMBER(MATCH(TRUE,ISNUMBER(SEARCH($S$2:$S$199, $A55)),0))=TRUE,"","미국 확인 필요")))</f>
        <v>미국 확인 필요</v>
      </c>
      <c r="F55" s="37" t="s">
        <v>273</v>
      </c>
      <c r="G55" s="132">
        <v>36</v>
      </c>
      <c r="H55" s="108" t="str">
        <f t="array" ref="H55">IFERROR(IF(F55="","",IF(ISNUMBER(MATCH(TRUE,ISNUMBER(SEARCH($Q$2:$Q$51, $F55)),0))=TRUE,"United States of America",INDEX($S$2:$S$199,MATCH(TRUE,ISNUMBER(SEARCH($S$2:$S$199, $F55)),0)))),"United States of America")</f>
        <v>Ireland</v>
      </c>
      <c r="I55" s="108" t="str">
        <f t="array" ref="I55">IF(F55="","",IF(ISNUMBER(MATCH(TRUE,ISNUMBER(SEARCH($Q$2:$Q$51, $F55)),0))=TRUE,"",IF(ISNUMBER(MATCH(TRUE,ISNUMBER(SEARCH($S$2:$S$199, $F55)),0))=TRUE,"","미국 확인 필요")))</f>
        <v/>
      </c>
      <c r="S55" s="2" t="s">
        <v>299</v>
      </c>
      <c r="T55" s="17">
        <f t="shared" si="0"/>
        <v>0</v>
      </c>
      <c r="U55" s="17" t="str">
        <f>IF(T55=0,"",RANK(T55,T:T,0)+COUNTIF(T$1:T54,T55))</f>
        <v/>
      </c>
      <c r="V55" s="17">
        <f t="shared" si="1"/>
        <v>0</v>
      </c>
      <c r="W55" s="17" t="str">
        <f>IF(V55=0,"",RANK(V55,V:V,0)+COUNTIF(V$1:V54,V55))</f>
        <v/>
      </c>
    </row>
    <row r="56" spans="1:23">
      <c r="A56" s="37" t="s">
        <v>736</v>
      </c>
      <c r="B56" s="132">
        <v>6</v>
      </c>
      <c r="C56" s="108" t="str">
        <f t="array" ref="C56">IFERROR(IF(A56="","",IF(ISNUMBER(MATCH(TRUE,ISNUMBER(SEARCH($Q$2:$Q$51, $A56)),0))=TRUE,"United States of America",INDEX($S$2:$S$199,MATCH(TRUE,ISNUMBER(SEARCH($S$2:$S$199, $A56)),0)))),"United States of America")</f>
        <v>United Kingdom</v>
      </c>
      <c r="D56" s="108" t="str">
        <f t="array" ref="D56">IF(A56="","",IF(ISNUMBER(MATCH(TRUE,ISNUMBER(SEARCH($Q$2:$Q$51, $A56)),0))=TRUE,"",IF(ISNUMBER(MATCH(TRUE,ISNUMBER(SEARCH($S$2:$S$199, $A56)),0))=TRUE,"","미국 확인 필요")))</f>
        <v/>
      </c>
      <c r="F56" s="37" t="s">
        <v>295</v>
      </c>
      <c r="G56" s="132">
        <v>36</v>
      </c>
      <c r="H56" s="108" t="str">
        <f t="array" ref="H56">IFERROR(IF(F56="","",IF(ISNUMBER(MATCH(TRUE,ISNUMBER(SEARCH($Q$2:$Q$51, $F56)),0))=TRUE,"United States of America",INDEX($S$2:$S$199,MATCH(TRUE,ISNUMBER(SEARCH($S$2:$S$199, $F56)),0)))),"United States of America")</f>
        <v>Pakistan</v>
      </c>
      <c r="I56" s="108" t="str">
        <f t="array" ref="I56">IF(F56="","",IF(ISNUMBER(MATCH(TRUE,ISNUMBER(SEARCH($Q$2:$Q$51, $F56)),0))=TRUE,"",IF(ISNUMBER(MATCH(TRUE,ISNUMBER(SEARCH($S$2:$S$199, $F56)),0))=TRUE,"","미국 확인 필요")))</f>
        <v/>
      </c>
      <c r="S56" s="2" t="s">
        <v>301</v>
      </c>
      <c r="T56" s="17">
        <f t="shared" si="0"/>
        <v>8</v>
      </c>
      <c r="U56" s="17">
        <f>IF(T56=0,"",RANK(T56,T:T,0)+COUNTIF(T$1:T55,T56))</f>
        <v>21</v>
      </c>
      <c r="V56" s="17">
        <f t="shared" si="1"/>
        <v>0</v>
      </c>
      <c r="W56" s="17" t="str">
        <f>IF(V56=0,"",RANK(V56,V:V,0)+COUNTIF(V$1:V55,V56))</f>
        <v/>
      </c>
    </row>
    <row r="57" spans="1:23">
      <c r="A57" s="37" t="s">
        <v>737</v>
      </c>
      <c r="B57" s="132">
        <v>4</v>
      </c>
      <c r="C57" s="108" t="str">
        <f t="array" ref="C57">IFERROR(IF(A57="","",IF(ISNUMBER(MATCH(TRUE,ISNUMBER(SEARCH($Q$2:$Q$51, $A57)),0))=TRUE,"United States of America",INDEX($S$2:$S$199,MATCH(TRUE,ISNUMBER(SEARCH($S$2:$S$199, $A57)),0)))),"United States of America")</f>
        <v>Korea</v>
      </c>
      <c r="D57" s="108" t="str">
        <f t="array" ref="D57">IF(A57="","",IF(ISNUMBER(MATCH(TRUE,ISNUMBER(SEARCH($Q$2:$Q$51, $A57)),0))=TRUE,"",IF(ISNUMBER(MATCH(TRUE,ISNUMBER(SEARCH($S$2:$S$199, $A57)),0))=TRUE,"","미국 확인 필요")))</f>
        <v/>
      </c>
      <c r="F57" s="37" t="s">
        <v>198</v>
      </c>
      <c r="G57" s="132">
        <v>36</v>
      </c>
      <c r="H57" s="108" t="str">
        <f t="array" ref="H57">IFERROR(IF(F57="","",IF(ISNUMBER(MATCH(TRUE,ISNUMBER(SEARCH($Q$2:$Q$51, $F57)),0))=TRUE,"United States of America",INDEX($S$2:$S$199,MATCH(TRUE,ISNUMBER(SEARCH($S$2:$S$199, $F57)),0)))),"United States of America")</f>
        <v>United States of America</v>
      </c>
      <c r="I57" s="108" t="str">
        <f t="array" ref="I57">IF(F57="","",IF(ISNUMBER(MATCH(TRUE,ISNUMBER(SEARCH($Q$2:$Q$51, $F57)),0))=TRUE,"",IF(ISNUMBER(MATCH(TRUE,ISNUMBER(SEARCH($S$2:$S$199, $F57)),0))=TRUE,"","미국 확인 필요")))</f>
        <v>미국 확인 필요</v>
      </c>
      <c r="S57" s="2" t="s">
        <v>304</v>
      </c>
      <c r="T57" s="17">
        <f t="shared" si="0"/>
        <v>5</v>
      </c>
      <c r="U57" s="17">
        <f>IF(T57=0,"",RANK(T57,T:T,0)+COUNTIF(T$1:T56,T57))</f>
        <v>27</v>
      </c>
      <c r="V57" s="17">
        <f t="shared" si="1"/>
        <v>23</v>
      </c>
      <c r="W57" s="17">
        <f>IF(V57=0,"",RANK(V57,V:V,0)+COUNTIF(V$1:V56,V57))</f>
        <v>36</v>
      </c>
    </row>
    <row r="58" spans="1:23">
      <c r="A58" s="37" t="s">
        <v>738</v>
      </c>
      <c r="B58" s="132">
        <v>8</v>
      </c>
      <c r="C58" s="108" t="str">
        <f t="array" ref="C58">IFERROR(IF(A58="","",IF(ISNUMBER(MATCH(TRUE,ISNUMBER(SEARCH($Q$2:$Q$51, $A58)),0))=TRUE,"United States of America",INDEX($S$2:$S$199,MATCH(TRUE,ISNUMBER(SEARCH($S$2:$S$199, $A58)),0)))),"United States of America")</f>
        <v>United States of America</v>
      </c>
      <c r="D58" s="108" t="str">
        <f t="array" ref="D58">IF(A58="","",IF(ISNUMBER(MATCH(TRUE,ISNUMBER(SEARCH($Q$2:$Q$51, $A58)),0))=TRUE,"",IF(ISNUMBER(MATCH(TRUE,ISNUMBER(SEARCH($S$2:$S$199, $A58)),0))=TRUE,"","미국 확인 필요")))</f>
        <v/>
      </c>
      <c r="F58" s="37" t="s">
        <v>353</v>
      </c>
      <c r="G58" s="132">
        <v>36</v>
      </c>
      <c r="H58" s="108" t="str">
        <f t="array" ref="H58">IFERROR(IF(F58="","",IF(ISNUMBER(MATCH(TRUE,ISNUMBER(SEARCH($Q$2:$Q$51, $F58)),0))=TRUE,"United States of America",INDEX($S$2:$S$199,MATCH(TRUE,ISNUMBER(SEARCH($S$2:$S$199, $F58)),0)))),"United States of America")</f>
        <v>Australia</v>
      </c>
      <c r="I58" s="108" t="str">
        <f t="array" ref="I58">IF(F58="","",IF(ISNUMBER(MATCH(TRUE,ISNUMBER(SEARCH($Q$2:$Q$51, $F58)),0))=TRUE,"",IF(ISNUMBER(MATCH(TRUE,ISNUMBER(SEARCH($S$2:$S$199, $F58)),0))=TRUE,"","미국 확인 필요")))</f>
        <v/>
      </c>
      <c r="S58" s="2" t="s">
        <v>306</v>
      </c>
      <c r="T58" s="17">
        <f t="shared" si="0"/>
        <v>0</v>
      </c>
      <c r="U58" s="17" t="str">
        <f>IF(T58=0,"",RANK(T58,T:T,0)+COUNTIF(T$1:T57,T58))</f>
        <v/>
      </c>
      <c r="V58" s="17">
        <f t="shared" si="1"/>
        <v>0</v>
      </c>
      <c r="W58" s="17" t="str">
        <f>IF(V58=0,"",RANK(V58,V:V,0)+COUNTIF(V$1:V57,V58))</f>
        <v/>
      </c>
    </row>
    <row r="59" spans="1:23">
      <c r="A59" s="37" t="s">
        <v>583</v>
      </c>
      <c r="B59" s="132">
        <v>12</v>
      </c>
      <c r="C59" s="108" t="str">
        <f t="array" ref="C59">IFERROR(IF(A59="","",IF(ISNUMBER(MATCH(TRUE,ISNUMBER(SEARCH($Q$2:$Q$51, $A59)),0))=TRUE,"United States of America",INDEX($S$2:$S$199,MATCH(TRUE,ISNUMBER(SEARCH($S$2:$S$199, $A59)),0)))),"United States of America")</f>
        <v>Korea</v>
      </c>
      <c r="D59" s="108" t="str">
        <f t="array" ref="D59">IF(A59="","",IF(ISNUMBER(MATCH(TRUE,ISNUMBER(SEARCH($Q$2:$Q$51, $A59)),0))=TRUE,"",IF(ISNUMBER(MATCH(TRUE,ISNUMBER(SEARCH($S$2:$S$199, $A59)),0))=TRUE,"","미국 확인 필요")))</f>
        <v/>
      </c>
      <c r="F59" s="37" t="s">
        <v>302</v>
      </c>
      <c r="G59" s="132">
        <v>35</v>
      </c>
      <c r="H59" s="108" t="str">
        <f t="array" ref="H59">IFERROR(IF(F59="","",IF(ISNUMBER(MATCH(TRUE,ISNUMBER(SEARCH($Q$2:$Q$51, $F59)),0))=TRUE,"United States of America",INDEX($S$2:$S$199,MATCH(TRUE,ISNUMBER(SEARCH($S$2:$S$199, $F59)),0)))),"United States of America")</f>
        <v>India</v>
      </c>
      <c r="I59" s="108" t="str">
        <f t="array" ref="I59">IF(F59="","",IF(ISNUMBER(MATCH(TRUE,ISNUMBER(SEARCH($Q$2:$Q$51, $F59)),0))=TRUE,"",IF(ISNUMBER(MATCH(TRUE,ISNUMBER(SEARCH($S$2:$S$199, $F59)),0))=TRUE,"","미국 확인 필요")))</f>
        <v/>
      </c>
      <c r="S59" s="2" t="s">
        <v>307</v>
      </c>
      <c r="T59" s="17">
        <f t="shared" si="0"/>
        <v>0</v>
      </c>
      <c r="U59" s="17" t="str">
        <f>IF(T59=0,"",RANK(T59,T:T,0)+COUNTIF(T$1:T58,T59))</f>
        <v/>
      </c>
      <c r="V59" s="17">
        <f t="shared" si="1"/>
        <v>0</v>
      </c>
      <c r="W59" s="17" t="str">
        <f>IF(V59=0,"",RANK(V59,V:V,0)+COUNTIF(V$1:V58,V59))</f>
        <v/>
      </c>
    </row>
    <row r="60" spans="1:23">
      <c r="A60" s="37" t="s">
        <v>739</v>
      </c>
      <c r="B60" s="132">
        <v>8</v>
      </c>
      <c r="C60" s="108" t="str">
        <f t="array" ref="C60">IFERROR(IF(A60="","",IF(ISNUMBER(MATCH(TRUE,ISNUMBER(SEARCH($Q$2:$Q$51, $A60)),0))=TRUE,"United States of America",INDEX($S$2:$S$199,MATCH(TRUE,ISNUMBER(SEARCH($S$2:$S$199, $A60)),0)))),"United States of America")</f>
        <v>Armenia</v>
      </c>
      <c r="D60" s="108" t="str">
        <f t="array" ref="D60">IF(A60="","",IF(ISNUMBER(MATCH(TRUE,ISNUMBER(SEARCH($Q$2:$Q$51, $A60)),0))=TRUE,"",IF(ISNUMBER(MATCH(TRUE,ISNUMBER(SEARCH($S$2:$S$199, $A60)),0))=TRUE,"","미국 확인 필요")))</f>
        <v/>
      </c>
      <c r="F60" s="37" t="s">
        <v>333</v>
      </c>
      <c r="G60" s="132">
        <v>35</v>
      </c>
      <c r="H60" s="108" t="str">
        <f t="array" ref="H60">IFERROR(IF(F60="","",IF(ISNUMBER(MATCH(TRUE,ISNUMBER(SEARCH($Q$2:$Q$51, $F60)),0))=TRUE,"United States of America",INDEX($S$2:$S$199,MATCH(TRUE,ISNUMBER(SEARCH($S$2:$S$199, $F60)),0)))),"United States of America")</f>
        <v>Vietnam</v>
      </c>
      <c r="I60" s="108" t="str">
        <f t="array" ref="I60">IF(F60="","",IF(ISNUMBER(MATCH(TRUE,ISNUMBER(SEARCH($Q$2:$Q$51, $F60)),0))=TRUE,"",IF(ISNUMBER(MATCH(TRUE,ISNUMBER(SEARCH($S$2:$S$199, $F60)),0))=TRUE,"","미국 확인 필요")))</f>
        <v/>
      </c>
      <c r="S60" s="2" t="s">
        <v>309</v>
      </c>
      <c r="T60" s="17">
        <f t="shared" si="0"/>
        <v>0</v>
      </c>
      <c r="U60" s="17" t="str">
        <f>IF(T60=0,"",RANK(T60,T:T,0)+COUNTIF(T$1:T59,T60))</f>
        <v/>
      </c>
      <c r="V60" s="17">
        <f t="shared" si="1"/>
        <v>62</v>
      </c>
      <c r="W60" s="17">
        <f>IF(V60=0,"",RANK(V60,V:V,0)+COUNTIF(V$1:V59,V60))</f>
        <v>17</v>
      </c>
    </row>
    <row r="61" spans="1:23">
      <c r="A61" s="37" t="s">
        <v>189</v>
      </c>
      <c r="B61" s="132">
        <v>19</v>
      </c>
      <c r="C61" s="108" t="str">
        <f t="array" ref="C61">IFERROR(IF(A61="","",IF(ISNUMBER(MATCH(TRUE,ISNUMBER(SEARCH($Q$2:$Q$51, $A61)),0))=TRUE,"United States of America",INDEX($S$2:$S$199,MATCH(TRUE,ISNUMBER(SEARCH($S$2:$S$199, $A61)),0)))),"United States of America")</f>
        <v>United States of America</v>
      </c>
      <c r="D61" s="108" t="str">
        <f t="array" ref="D61">IF(A61="","",IF(ISNUMBER(MATCH(TRUE,ISNUMBER(SEARCH($Q$2:$Q$51, $A61)),0))=TRUE,"",IF(ISNUMBER(MATCH(TRUE,ISNUMBER(SEARCH($S$2:$S$199, $A61)),0))=TRUE,"","미국 확인 필요")))</f>
        <v>미국 확인 필요</v>
      </c>
      <c r="F61" s="37" t="s">
        <v>148</v>
      </c>
      <c r="G61" s="132">
        <v>35</v>
      </c>
      <c r="H61" s="108" t="str">
        <f t="array" ref="H61">IFERROR(IF(F61="","",IF(ISNUMBER(MATCH(TRUE,ISNUMBER(SEARCH($Q$2:$Q$51, $F61)),0))=TRUE,"United States of America",INDEX($S$2:$S$199,MATCH(TRUE,ISNUMBER(SEARCH($S$2:$S$199, $F61)),0)))),"United States of America")</f>
        <v>Thailand</v>
      </c>
      <c r="I61" s="108" t="str">
        <f t="array" ref="I61">IF(F61="","",IF(ISNUMBER(MATCH(TRUE,ISNUMBER(SEARCH($Q$2:$Q$51, $F61)),0))=TRUE,"",IF(ISNUMBER(MATCH(TRUE,ISNUMBER(SEARCH($S$2:$S$199, $F61)),0))=TRUE,"","미국 확인 필요")))</f>
        <v/>
      </c>
      <c r="S61" s="2" t="s">
        <v>312</v>
      </c>
      <c r="T61" s="17">
        <f t="shared" si="0"/>
        <v>0</v>
      </c>
      <c r="U61" s="17" t="str">
        <f>IF(T61=0,"",RANK(T61,T:T,0)+COUNTIF(T$1:T60,T61))</f>
        <v/>
      </c>
      <c r="V61" s="17">
        <f t="shared" si="1"/>
        <v>0</v>
      </c>
      <c r="W61" s="17" t="str">
        <f>IF(V61=0,"",RANK(V61,V:V,0)+COUNTIF(V$1:V60,V61))</f>
        <v/>
      </c>
    </row>
    <row r="62" spans="1:23">
      <c r="A62" s="37" t="s">
        <v>219</v>
      </c>
      <c r="B62" s="132">
        <v>20</v>
      </c>
      <c r="C62" s="108" t="str">
        <f t="array" ref="C62">IFERROR(IF(A62="","",IF(ISNUMBER(MATCH(TRUE,ISNUMBER(SEARCH($Q$2:$Q$51, $A62)),0))=TRUE,"United States of America",INDEX($S$2:$S$199,MATCH(TRUE,ISNUMBER(SEARCH($S$2:$S$199, $A62)),0)))),"United States of America")</f>
        <v>France</v>
      </c>
      <c r="D62" s="108" t="str">
        <f t="array" ref="D62">IF(A62="","",IF(ISNUMBER(MATCH(TRUE,ISNUMBER(SEARCH($Q$2:$Q$51, $A62)),0))=TRUE,"",IF(ISNUMBER(MATCH(TRUE,ISNUMBER(SEARCH($S$2:$S$199, $A62)),0))=TRUE,"","미국 확인 필요")))</f>
        <v/>
      </c>
      <c r="F62" s="37" t="s">
        <v>581</v>
      </c>
      <c r="G62" s="132">
        <v>34</v>
      </c>
      <c r="H62" s="108" t="str">
        <f t="array" ref="H62">IFERROR(IF(F62="","",IF(ISNUMBER(MATCH(TRUE,ISNUMBER(SEARCH($Q$2:$Q$51, $F62)),0))=TRUE,"United States of America",INDEX($S$2:$S$199,MATCH(TRUE,ISNUMBER(SEARCH($S$2:$S$199, $F62)),0)))),"United States of America")</f>
        <v>India</v>
      </c>
      <c r="I62" s="108" t="str">
        <f t="array" ref="I62">IF(F62="","",IF(ISNUMBER(MATCH(TRUE,ISNUMBER(SEARCH($Q$2:$Q$51, $F62)),0))=TRUE,"",IF(ISNUMBER(MATCH(TRUE,ISNUMBER(SEARCH($S$2:$S$199, $F62)),0))=TRUE,"","미국 확인 필요")))</f>
        <v/>
      </c>
      <c r="S62" s="2" t="s">
        <v>313</v>
      </c>
      <c r="T62" s="17">
        <f t="shared" si="0"/>
        <v>0</v>
      </c>
      <c r="U62" s="17" t="str">
        <f>IF(T62=0,"",RANK(T62,T:T,0)+COUNTIF(T$1:T61,T62))</f>
        <v/>
      </c>
      <c r="V62" s="17">
        <f t="shared" si="1"/>
        <v>0</v>
      </c>
      <c r="W62" s="17" t="str">
        <f>IF(V62=0,"",RANK(V62,V:V,0)+COUNTIF(V$1:V61,V62))</f>
        <v/>
      </c>
    </row>
    <row r="63" spans="1:23">
      <c r="A63" s="37" t="s">
        <v>326</v>
      </c>
      <c r="B63" s="132">
        <v>12</v>
      </c>
      <c r="C63" s="108" t="str">
        <f t="array" ref="C63">IFERROR(IF(A63="","",IF(ISNUMBER(MATCH(TRUE,ISNUMBER(SEARCH($Q$2:$Q$51, $A63)),0))=TRUE,"United States of America",INDEX($S$2:$S$199,MATCH(TRUE,ISNUMBER(SEARCH($S$2:$S$199, $A63)),0)))),"United States of America")</f>
        <v>Singapore</v>
      </c>
      <c r="D63" s="108" t="str">
        <f t="array" ref="D63">IF(A63="","",IF(ISNUMBER(MATCH(TRUE,ISNUMBER(SEARCH($Q$2:$Q$51, $A63)),0))=TRUE,"",IF(ISNUMBER(MATCH(TRUE,ISNUMBER(SEARCH($S$2:$S$199, $A63)),0))=TRUE,"","미국 확인 필요")))</f>
        <v/>
      </c>
      <c r="F63" s="37" t="s">
        <v>246</v>
      </c>
      <c r="G63" s="132">
        <v>34</v>
      </c>
      <c r="H63" s="108" t="str">
        <f t="array" ref="H63">IFERROR(IF(F63="","",IF(ISNUMBER(MATCH(TRUE,ISNUMBER(SEARCH($Q$2:$Q$51, $F63)),0))=TRUE,"United States of America",INDEX($S$2:$S$199,MATCH(TRUE,ISNUMBER(SEARCH($S$2:$S$199, $F63)),0)))),"United States of America")</f>
        <v>India</v>
      </c>
      <c r="I63" s="108" t="str">
        <f t="array" ref="I63">IF(F63="","",IF(ISNUMBER(MATCH(TRUE,ISNUMBER(SEARCH($Q$2:$Q$51, $F63)),0))=TRUE,"",IF(ISNUMBER(MATCH(TRUE,ISNUMBER(SEARCH($S$2:$S$199, $F63)),0))=TRUE,"","미국 확인 필요")))</f>
        <v/>
      </c>
      <c r="S63" s="2" t="s">
        <v>315</v>
      </c>
      <c r="T63" s="17">
        <f t="shared" si="0"/>
        <v>0</v>
      </c>
      <c r="U63" s="17" t="str">
        <f>IF(T63=0,"",RANK(T63,T:T,0)+COUNTIF(T$1:T62,T63))</f>
        <v/>
      </c>
      <c r="V63" s="17">
        <f t="shared" si="1"/>
        <v>0</v>
      </c>
      <c r="W63" s="17" t="str">
        <f>IF(V63=0,"",RANK(V63,V:V,0)+COUNTIF(V$1:V62,V63))</f>
        <v/>
      </c>
    </row>
    <row r="64" spans="1:23">
      <c r="A64" s="37" t="s">
        <v>161</v>
      </c>
      <c r="B64" s="132">
        <v>30</v>
      </c>
      <c r="C64" s="108" t="str">
        <f t="array" ref="C64">IFERROR(IF(A64="","",IF(ISNUMBER(MATCH(TRUE,ISNUMBER(SEARCH($Q$2:$Q$51, $A64)),0))=TRUE,"United States of America",INDEX($S$2:$S$199,MATCH(TRUE,ISNUMBER(SEARCH($S$2:$S$199, $A64)),0)))),"United States of America")</f>
        <v>India</v>
      </c>
      <c r="D64" s="108" t="str">
        <f t="array" ref="D64">IF(A64="","",IF(ISNUMBER(MATCH(TRUE,ISNUMBER(SEARCH($Q$2:$Q$51, $A64)),0))=TRUE,"",IF(ISNUMBER(MATCH(TRUE,ISNUMBER(SEARCH($S$2:$S$199, $A64)),0))=TRUE,"","미국 확인 필요")))</f>
        <v/>
      </c>
      <c r="F64" s="37" t="s">
        <v>596</v>
      </c>
      <c r="G64" s="132">
        <v>34</v>
      </c>
      <c r="H64" s="108" t="str">
        <f t="array" ref="H64">IFERROR(IF(F64="","",IF(ISNUMBER(MATCH(TRUE,ISNUMBER(SEARCH($Q$2:$Q$51, $F64)),0))=TRUE,"United States of America",INDEX($S$2:$S$199,MATCH(TRUE,ISNUMBER(SEARCH($S$2:$S$199, $F64)),0)))),"United States of America")</f>
        <v>Pakistan</v>
      </c>
      <c r="I64" s="108" t="str">
        <f t="array" ref="I64">IF(F64="","",IF(ISNUMBER(MATCH(TRUE,ISNUMBER(SEARCH($Q$2:$Q$51, $F64)),0))=TRUE,"",IF(ISNUMBER(MATCH(TRUE,ISNUMBER(SEARCH($S$2:$S$199, $F64)),0))=TRUE,"","미국 확인 필요")))</f>
        <v/>
      </c>
      <c r="S64" s="2" t="s">
        <v>317</v>
      </c>
      <c r="T64" s="17">
        <f t="shared" si="0"/>
        <v>0</v>
      </c>
      <c r="U64" s="17" t="str">
        <f>IF(T64=0,"",RANK(T64,T:T,0)+COUNTIF(T$1:T63,T64))</f>
        <v/>
      </c>
      <c r="V64" s="17">
        <f t="shared" si="1"/>
        <v>0</v>
      </c>
      <c r="W64" s="17" t="str">
        <f>IF(V64=0,"",RANK(V64,V:V,0)+COUNTIF(V$1:V63,V64))</f>
        <v/>
      </c>
    </row>
    <row r="65" spans="1:23">
      <c r="A65" s="37" t="s">
        <v>195</v>
      </c>
      <c r="B65" s="132">
        <v>52</v>
      </c>
      <c r="C65" s="108" t="str">
        <f t="array" ref="C65">IFERROR(IF(A65="","",IF(ISNUMBER(MATCH(TRUE,ISNUMBER(SEARCH($Q$2:$Q$51, $A65)),0))=TRUE,"United States of America",INDEX($S$2:$S$199,MATCH(TRUE,ISNUMBER(SEARCH($S$2:$S$199, $A65)),0)))),"United States of America")</f>
        <v>United Kingdom</v>
      </c>
      <c r="D65" s="108" t="str">
        <f t="array" ref="D65">IF(A65="","",IF(ISNUMBER(MATCH(TRUE,ISNUMBER(SEARCH($Q$2:$Q$51, $A65)),0))=TRUE,"",IF(ISNUMBER(MATCH(TRUE,ISNUMBER(SEARCH($S$2:$S$199, $A65)),0))=TRUE,"","미국 확인 필요")))</f>
        <v/>
      </c>
      <c r="F65" s="37" t="s">
        <v>595</v>
      </c>
      <c r="G65" s="132">
        <v>33</v>
      </c>
      <c r="H65" s="108" t="str">
        <f t="array" ref="H65">IFERROR(IF(F65="","",IF(ISNUMBER(MATCH(TRUE,ISNUMBER(SEARCH($Q$2:$Q$51, $F65)),0))=TRUE,"United States of America",INDEX($S$2:$S$199,MATCH(TRUE,ISNUMBER(SEARCH($S$2:$S$199, $F65)),0)))),"United States of America")</f>
        <v>Morocco</v>
      </c>
      <c r="I65" s="108" t="str">
        <f t="array" ref="I65">IF(F65="","",IF(ISNUMBER(MATCH(TRUE,ISNUMBER(SEARCH($Q$2:$Q$51, $F65)),0))=TRUE,"",IF(ISNUMBER(MATCH(TRUE,ISNUMBER(SEARCH($S$2:$S$199, $F65)),0))=TRUE,"","미국 확인 필요")))</f>
        <v/>
      </c>
      <c r="S65" s="2" t="s">
        <v>318</v>
      </c>
      <c r="T65" s="17">
        <f t="shared" si="0"/>
        <v>0</v>
      </c>
      <c r="U65" s="17" t="str">
        <f>IF(T65=0,"",RANK(T65,T:T,0)+COUNTIF(T$1:T64,T65))</f>
        <v/>
      </c>
      <c r="V65" s="17">
        <f t="shared" si="1"/>
        <v>0</v>
      </c>
      <c r="W65" s="17" t="str">
        <f>IF(V65=0,"",RANK(V65,V:V,0)+COUNTIF(V$1:V64,V65))</f>
        <v/>
      </c>
    </row>
    <row r="66" spans="1:23">
      <c r="A66" s="37" t="s">
        <v>740</v>
      </c>
      <c r="B66" s="132">
        <v>5</v>
      </c>
      <c r="C66" s="108" t="str">
        <f t="array" ref="C66">IFERROR(IF(A66="","",IF(ISNUMBER(MATCH(TRUE,ISNUMBER(SEARCH($Q$2:$Q$51, $A66)),0))=TRUE,"United States of America",INDEX($S$2:$S$199,MATCH(TRUE,ISNUMBER(SEARCH($S$2:$S$199, $A66)),0)))),"United States of America")</f>
        <v>United Kingdom</v>
      </c>
      <c r="D66" s="108" t="str">
        <f t="array" ref="D66">IF(A66="","",IF(ISNUMBER(MATCH(TRUE,ISNUMBER(SEARCH($Q$2:$Q$51, $A66)),0))=TRUE,"",IF(ISNUMBER(MATCH(TRUE,ISNUMBER(SEARCH($S$2:$S$199, $A66)),0))=TRUE,"","미국 확인 필요")))</f>
        <v/>
      </c>
      <c r="F66" s="37" t="s">
        <v>182</v>
      </c>
      <c r="G66" s="132">
        <v>33</v>
      </c>
      <c r="H66" s="108" t="str">
        <f t="array" ref="H66">IFERROR(IF(F66="","",IF(ISNUMBER(MATCH(TRUE,ISNUMBER(SEARCH($Q$2:$Q$51, $F66)),0))=TRUE,"United States of America",INDEX($S$2:$S$199,MATCH(TRUE,ISNUMBER(SEARCH($S$2:$S$199, $F66)),0)))),"United States of America")</f>
        <v>China</v>
      </c>
      <c r="I66" s="108" t="str">
        <f t="array" ref="I66">IF(F66="","",IF(ISNUMBER(MATCH(TRUE,ISNUMBER(SEARCH($Q$2:$Q$51, $F66)),0))=TRUE,"",IF(ISNUMBER(MATCH(TRUE,ISNUMBER(SEARCH($S$2:$S$199, $F66)),0))=TRUE,"","미국 확인 필요")))</f>
        <v/>
      </c>
      <c r="S66" s="2" t="s">
        <v>320</v>
      </c>
      <c r="T66" s="17">
        <f t="shared" ref="T66:T129" si="6">SUMIF(C:C,S66,B:B)</f>
        <v>0</v>
      </c>
      <c r="U66" s="17" t="str">
        <f>IF(T66=0,"",RANK(T66,T:T,0)+COUNTIF(T$1:T65,T66))</f>
        <v/>
      </c>
      <c r="V66" s="17">
        <f t="shared" ref="V66:V129" si="7">SUMIF(H:H,S66,G:G)</f>
        <v>0</v>
      </c>
      <c r="W66" s="17" t="str">
        <f>IF(V66=0,"",RANK(V66,V:V,0)+COUNTIF(V$1:V65,V66))</f>
        <v/>
      </c>
    </row>
    <row r="67" spans="1:23">
      <c r="A67" s="37" t="s">
        <v>279</v>
      </c>
      <c r="B67" s="132">
        <v>55</v>
      </c>
      <c r="C67" s="108" t="str">
        <f t="array" ref="C67">IFERROR(IF(A67="","",IF(ISNUMBER(MATCH(TRUE,ISNUMBER(SEARCH($Q$2:$Q$51, $A67)),0))=TRUE,"United States of America",INDEX($S$2:$S$199,MATCH(TRUE,ISNUMBER(SEARCH($S$2:$S$199, $A67)),0)))),"United States of America")</f>
        <v>Korea</v>
      </c>
      <c r="D67" s="108" t="str">
        <f t="array" ref="D67">IF(A67="","",IF(ISNUMBER(MATCH(TRUE,ISNUMBER(SEARCH($Q$2:$Q$51, $A67)),0))=TRUE,"",IF(ISNUMBER(MATCH(TRUE,ISNUMBER(SEARCH($S$2:$S$199, $A67)),0))=TRUE,"","미국 확인 필요")))</f>
        <v/>
      </c>
      <c r="F67" s="37" t="s">
        <v>260</v>
      </c>
      <c r="G67" s="132">
        <v>33</v>
      </c>
      <c r="H67" s="108" t="str">
        <f t="array" ref="H67">IFERROR(IF(F67="","",IF(ISNUMBER(MATCH(TRUE,ISNUMBER(SEARCH($Q$2:$Q$51, $F67)),0))=TRUE,"United States of America",INDEX($S$2:$S$199,MATCH(TRUE,ISNUMBER(SEARCH($S$2:$S$199, $F67)),0)))),"United States of America")</f>
        <v>France</v>
      </c>
      <c r="I67" s="108" t="str">
        <f t="array" ref="I67">IF(F67="","",IF(ISNUMBER(MATCH(TRUE,ISNUMBER(SEARCH($Q$2:$Q$51, $F67)),0))=TRUE,"",IF(ISNUMBER(MATCH(TRUE,ISNUMBER(SEARCH($S$2:$S$199, $F67)),0))=TRUE,"","미국 확인 필요")))</f>
        <v/>
      </c>
      <c r="S67" s="2" t="s">
        <v>321</v>
      </c>
      <c r="T67" s="17">
        <f t="shared" si="6"/>
        <v>0</v>
      </c>
      <c r="U67" s="17" t="str">
        <f>IF(T67=0,"",RANK(T67,T:T,0)+COUNTIF(T$1:T66,T67))</f>
        <v/>
      </c>
      <c r="V67" s="17">
        <f t="shared" si="7"/>
        <v>0</v>
      </c>
      <c r="W67" s="17" t="str">
        <f>IF(V67=0,"",RANK(V67,V:V,0)+COUNTIF(V$1:V66,V67))</f>
        <v/>
      </c>
    </row>
    <row r="68" spans="1:23">
      <c r="A68" s="37" t="s">
        <v>249</v>
      </c>
      <c r="B68" s="132">
        <v>11</v>
      </c>
      <c r="C68" s="108" t="str">
        <f t="array" ref="C68">IFERROR(IF(A68="","",IF(ISNUMBER(MATCH(TRUE,ISNUMBER(SEARCH($Q$2:$Q$51, $A68)),0))=TRUE,"United States of America",INDEX($S$2:$S$199,MATCH(TRUE,ISNUMBER(SEARCH($S$2:$S$199, $A68)),0)))),"United States of America")</f>
        <v>Korea</v>
      </c>
      <c r="D68" s="108" t="str">
        <f t="array" ref="D68">IF(A68="","",IF(ISNUMBER(MATCH(TRUE,ISNUMBER(SEARCH($Q$2:$Q$51, $A68)),0))=TRUE,"",IF(ISNUMBER(MATCH(TRUE,ISNUMBER(SEARCH($S$2:$S$199, $A68)),0))=TRUE,"","미국 확인 필요")))</f>
        <v/>
      </c>
      <c r="F68" s="37" t="s">
        <v>568</v>
      </c>
      <c r="G68" s="132">
        <v>32</v>
      </c>
      <c r="H68" s="108" t="str">
        <f t="array" ref="H68">IFERROR(IF(F68="","",IF(ISNUMBER(MATCH(TRUE,ISNUMBER(SEARCH($Q$2:$Q$51, $F68)),0))=TRUE,"United States of America",INDEX($S$2:$S$199,MATCH(TRUE,ISNUMBER(SEARCH($S$2:$S$199, $F68)),0)))),"United States of America")</f>
        <v>India</v>
      </c>
      <c r="I68" s="108" t="str">
        <f t="array" ref="I68">IF(F68="","",IF(ISNUMBER(MATCH(TRUE,ISNUMBER(SEARCH($Q$2:$Q$51, $F68)),0))=TRUE,"",IF(ISNUMBER(MATCH(TRUE,ISNUMBER(SEARCH($S$2:$S$199, $F68)),0))=TRUE,"","미국 확인 필요")))</f>
        <v/>
      </c>
      <c r="S68" s="2" t="s">
        <v>323</v>
      </c>
      <c r="T68" s="17">
        <f t="shared" si="6"/>
        <v>0</v>
      </c>
      <c r="U68" s="17" t="str">
        <f>IF(T68=0,"",RANK(T68,T:T,0)+COUNTIF(T$1:T67,T68))</f>
        <v/>
      </c>
      <c r="V68" s="17">
        <f t="shared" si="7"/>
        <v>0</v>
      </c>
      <c r="W68" s="17" t="str">
        <f>IF(V68=0,"",RANK(V68,V:V,0)+COUNTIF(V$1:V67,V68))</f>
        <v/>
      </c>
    </row>
    <row r="69" spans="1:23">
      <c r="A69" s="37" t="s">
        <v>201</v>
      </c>
      <c r="B69" s="132">
        <v>8</v>
      </c>
      <c r="C69" s="108" t="str">
        <f t="array" ref="C69">IFERROR(IF(A69="","",IF(ISNUMBER(MATCH(TRUE,ISNUMBER(SEARCH($Q$2:$Q$51, $A69)),0))=TRUE,"United States of America",INDEX($S$2:$S$199,MATCH(TRUE,ISNUMBER(SEARCH($S$2:$S$199, $A69)),0)))),"United States of America")</f>
        <v>Korea</v>
      </c>
      <c r="D69" s="108" t="str">
        <f t="array" ref="D69">IF(A69="","",IF(ISNUMBER(MATCH(TRUE,ISNUMBER(SEARCH($Q$2:$Q$51, $A69)),0))=TRUE,"",IF(ISNUMBER(MATCH(TRUE,ISNUMBER(SEARCH($S$2:$S$199, $A69)),0))=TRUE,"","미국 확인 필요")))</f>
        <v/>
      </c>
      <c r="F69" s="37" t="s">
        <v>243</v>
      </c>
      <c r="G69" s="132">
        <v>32</v>
      </c>
      <c r="H69" s="108" t="str">
        <f t="array" ref="H69">IFERROR(IF(F69="","",IF(ISNUMBER(MATCH(TRUE,ISNUMBER(SEARCH($Q$2:$Q$51, $F69)),0))=TRUE,"United States of America",INDEX($S$2:$S$199,MATCH(TRUE,ISNUMBER(SEARCH($S$2:$S$199, $F69)),0)))),"United States of America")</f>
        <v>China</v>
      </c>
      <c r="I69" s="108" t="str">
        <f t="array" ref="I69">IF(F69="","",IF(ISNUMBER(MATCH(TRUE,ISNUMBER(SEARCH($Q$2:$Q$51, $F69)),0))=TRUE,"",IF(ISNUMBER(MATCH(TRUE,ISNUMBER(SEARCH($S$2:$S$199, $F69)),0))=TRUE,"","미국 확인 필요")))</f>
        <v/>
      </c>
      <c r="S69" s="2" t="s">
        <v>325</v>
      </c>
      <c r="T69" s="17">
        <f t="shared" si="6"/>
        <v>0</v>
      </c>
      <c r="U69" s="17" t="str">
        <f>IF(T69=0,"",RANK(T69,T:T,0)+COUNTIF(T$1:T68,T69))</f>
        <v/>
      </c>
      <c r="V69" s="17">
        <f t="shared" si="7"/>
        <v>0</v>
      </c>
      <c r="W69" s="17" t="str">
        <f>IF(V69=0,"",RANK(V69,V:V,0)+COUNTIF(V$1:V68,V69))</f>
        <v/>
      </c>
    </row>
    <row r="70" spans="1:23">
      <c r="A70" s="37" t="s">
        <v>741</v>
      </c>
      <c r="B70" s="132">
        <v>3</v>
      </c>
      <c r="C70" s="108" t="str">
        <f t="array" ref="C70">IFERROR(IF(A70="","",IF(ISNUMBER(MATCH(TRUE,ISNUMBER(SEARCH($Q$2:$Q$51, $A70)),0))=TRUE,"United States of America",INDEX($S$2:$S$199,MATCH(TRUE,ISNUMBER(SEARCH($S$2:$S$199, $A70)),0)))),"United States of America")</f>
        <v>Switzerland</v>
      </c>
      <c r="D70" s="108" t="str">
        <f t="array" ref="D70">IF(A70="","",IF(ISNUMBER(MATCH(TRUE,ISNUMBER(SEARCH($Q$2:$Q$51, $A70)),0))=TRUE,"",IF(ISNUMBER(MATCH(TRUE,ISNUMBER(SEARCH($S$2:$S$199, $A70)),0))=TRUE,"","미국 확인 필요")))</f>
        <v/>
      </c>
      <c r="F70" s="37" t="s">
        <v>598</v>
      </c>
      <c r="G70" s="132">
        <v>32</v>
      </c>
      <c r="H70" s="108" t="str">
        <f t="array" ref="H70">IFERROR(IF(F70="","",IF(ISNUMBER(MATCH(TRUE,ISNUMBER(SEARCH($Q$2:$Q$51, $F70)),0))=TRUE,"United States of America",INDEX($S$2:$S$199,MATCH(TRUE,ISNUMBER(SEARCH($S$2:$S$199, $F70)),0)))),"United States of America")</f>
        <v>Uganda</v>
      </c>
      <c r="I70" s="108" t="str">
        <f t="array" ref="I70">IF(F70="","",IF(ISNUMBER(MATCH(TRUE,ISNUMBER(SEARCH($Q$2:$Q$51, $F70)),0))=TRUE,"",IF(ISNUMBER(MATCH(TRUE,ISNUMBER(SEARCH($S$2:$S$199, $F70)),0))=TRUE,"","미국 확인 필요")))</f>
        <v/>
      </c>
      <c r="S70" s="2" t="s">
        <v>327</v>
      </c>
      <c r="T70" s="17">
        <f t="shared" si="6"/>
        <v>0</v>
      </c>
      <c r="U70" s="17" t="str">
        <f>IF(T70=0,"",RANK(T70,T:T,0)+COUNTIF(T$1:T69,T70))</f>
        <v/>
      </c>
      <c r="V70" s="17">
        <f t="shared" si="7"/>
        <v>0</v>
      </c>
      <c r="W70" s="17" t="str">
        <f>IF(V70=0,"",RANK(V70,V:V,0)+COUNTIF(V$1:V69,V70))</f>
        <v/>
      </c>
    </row>
    <row r="71" spans="1:23">
      <c r="A71" s="37" t="s">
        <v>322</v>
      </c>
      <c r="B71" s="132">
        <v>8</v>
      </c>
      <c r="C71" s="108" t="str">
        <f t="array" ref="C71">IFERROR(IF(A71="","",IF(ISNUMBER(MATCH(TRUE,ISNUMBER(SEARCH($Q$2:$Q$51, $A71)),0))=TRUE,"United States of America",INDEX($S$2:$S$199,MATCH(TRUE,ISNUMBER(SEARCH($S$2:$S$199, $A71)),0)))),"United States of America")</f>
        <v>India</v>
      </c>
      <c r="D71" s="108" t="str">
        <f t="array" ref="D71">IF(A71="","",IF(ISNUMBER(MATCH(TRUE,ISNUMBER(SEARCH($Q$2:$Q$51, $A71)),0))=TRUE,"",IF(ISNUMBER(MATCH(TRUE,ISNUMBER(SEARCH($S$2:$S$199, $A71)),0))=TRUE,"","미국 확인 필요")))</f>
        <v/>
      </c>
      <c r="F71" s="37" t="s">
        <v>600</v>
      </c>
      <c r="G71" s="132">
        <v>31</v>
      </c>
      <c r="H71" s="108" t="str">
        <f t="array" ref="H71">IFERROR(IF(F71="","",IF(ISNUMBER(MATCH(TRUE,ISNUMBER(SEARCH($Q$2:$Q$51, $F71)),0))=TRUE,"United States of America",INDEX($S$2:$S$199,MATCH(TRUE,ISNUMBER(SEARCH($S$2:$S$199, $F71)),0)))),"United States of America")</f>
        <v>Algeria</v>
      </c>
      <c r="I71" s="108" t="str">
        <f t="array" ref="I71">IF(F71="","",IF(ISNUMBER(MATCH(TRUE,ISNUMBER(SEARCH($Q$2:$Q$51, $F71)),0))=TRUE,"",IF(ISNUMBER(MATCH(TRUE,ISNUMBER(SEARCH($S$2:$S$199, $F71)),0))=TRUE,"","미국 확인 필요")))</f>
        <v/>
      </c>
      <c r="S71" s="2" t="s">
        <v>328</v>
      </c>
      <c r="T71" s="17">
        <f t="shared" si="6"/>
        <v>0</v>
      </c>
      <c r="U71" s="17" t="str">
        <f>IF(T71=0,"",RANK(T71,T:T,0)+COUNTIF(T$1:T70,T71))</f>
        <v/>
      </c>
      <c r="V71" s="17">
        <f t="shared" si="7"/>
        <v>0</v>
      </c>
      <c r="W71" s="17" t="str">
        <f>IF(V71=0,"",RANK(V71,V:V,0)+COUNTIF(V$1:V70,V71))</f>
        <v/>
      </c>
    </row>
    <row r="72" spans="1:23">
      <c r="A72" s="37" t="s">
        <v>308</v>
      </c>
      <c r="B72" s="132">
        <v>16</v>
      </c>
      <c r="C72" s="108" t="str">
        <f t="array" ref="C72">IFERROR(IF(A72="","",IF(ISNUMBER(MATCH(TRUE,ISNUMBER(SEARCH($Q$2:$Q$51, $A72)),0))=TRUE,"United States of America",INDEX($S$2:$S$199,MATCH(TRUE,ISNUMBER(SEARCH($S$2:$S$199, $A72)),0)))),"United States of America")</f>
        <v>Korea</v>
      </c>
      <c r="D72" s="108" t="str">
        <f t="array" ref="D72">IF(A72="","",IF(ISNUMBER(MATCH(TRUE,ISNUMBER(SEARCH($Q$2:$Q$51, $A72)),0))=TRUE,"",IF(ISNUMBER(MATCH(TRUE,ISNUMBER(SEARCH($S$2:$S$199, $A72)),0))=TRUE,"","미국 확인 필요")))</f>
        <v/>
      </c>
      <c r="F72" s="37" t="s">
        <v>580</v>
      </c>
      <c r="G72" s="132">
        <v>31</v>
      </c>
      <c r="H72" s="108" t="str">
        <f t="array" ref="H72">IFERROR(IF(F72="","",IF(ISNUMBER(MATCH(TRUE,ISNUMBER(SEARCH($Q$2:$Q$51, $F72)),0))=TRUE,"United States of America",INDEX($S$2:$S$199,MATCH(TRUE,ISNUMBER(SEARCH($S$2:$S$199, $F72)),0)))),"United States of America")</f>
        <v>Morocco</v>
      </c>
      <c r="I72" s="108" t="str">
        <f t="array" ref="I72">IF(F72="","",IF(ISNUMBER(MATCH(TRUE,ISNUMBER(SEARCH($Q$2:$Q$51, $F72)),0))=TRUE,"",IF(ISNUMBER(MATCH(TRUE,ISNUMBER(SEARCH($S$2:$S$199, $F72)),0))=TRUE,"","미국 확인 필요")))</f>
        <v/>
      </c>
      <c r="S72" s="2" t="s">
        <v>329</v>
      </c>
      <c r="T72" s="17">
        <f t="shared" si="6"/>
        <v>0</v>
      </c>
      <c r="U72" s="17" t="str">
        <f>IF(T72=0,"",RANK(T72,T:T,0)+COUNTIF(T$1:T71,T72))</f>
        <v/>
      </c>
      <c r="V72" s="17">
        <f t="shared" si="7"/>
        <v>0</v>
      </c>
      <c r="W72" s="17" t="str">
        <f>IF(V72=0,"",RANK(V72,V:V,0)+COUNTIF(V$1:V71,V72))</f>
        <v/>
      </c>
    </row>
    <row r="73" spans="1:23">
      <c r="A73" s="37" t="s">
        <v>742</v>
      </c>
      <c r="B73" s="132">
        <v>3</v>
      </c>
      <c r="C73" s="108" t="str">
        <f t="array" ref="C73">IFERROR(IF(A73="","",IF(ISNUMBER(MATCH(TRUE,ISNUMBER(SEARCH($Q$2:$Q$51, $A73)),0))=TRUE,"United States of America",INDEX($S$2:$S$199,MATCH(TRUE,ISNUMBER(SEARCH($S$2:$S$199, $A73)),0)))),"United States of America")</f>
        <v>Algeria</v>
      </c>
      <c r="D73" s="108" t="str">
        <f t="array" ref="D73">IF(A73="","",IF(ISNUMBER(MATCH(TRUE,ISNUMBER(SEARCH($Q$2:$Q$51, $A73)),0))=TRUE,"",IF(ISNUMBER(MATCH(TRUE,ISNUMBER(SEARCH($S$2:$S$199, $A73)),0))=TRUE,"","미국 확인 필요")))</f>
        <v/>
      </c>
      <c r="F73" s="37" t="s">
        <v>171</v>
      </c>
      <c r="G73" s="132">
        <v>31</v>
      </c>
      <c r="H73" s="108" t="str">
        <f t="array" ref="H73">IFERROR(IF(F73="","",IF(ISNUMBER(MATCH(TRUE,ISNUMBER(SEARCH($Q$2:$Q$51, $F73)),0))=TRUE,"United States of America",INDEX($S$2:$S$199,MATCH(TRUE,ISNUMBER(SEARCH($S$2:$S$199, $F73)),0)))),"United States of America")</f>
        <v>United States of America</v>
      </c>
      <c r="I73" s="108" t="str">
        <f t="array" ref="I73">IF(F73="","",IF(ISNUMBER(MATCH(TRUE,ISNUMBER(SEARCH($Q$2:$Q$51, $F73)),0))=TRUE,"",IF(ISNUMBER(MATCH(TRUE,ISNUMBER(SEARCH($S$2:$S$199, $F73)),0))=TRUE,"","미국 확인 필요")))</f>
        <v>미국 확인 필요</v>
      </c>
      <c r="S73" s="2" t="s">
        <v>330</v>
      </c>
      <c r="T73" s="17">
        <f t="shared" si="6"/>
        <v>0</v>
      </c>
      <c r="U73" s="17" t="str">
        <f>IF(T73=0,"",RANK(T73,T:T,0)+COUNTIF(T$1:T72,T73))</f>
        <v/>
      </c>
      <c r="V73" s="17">
        <f t="shared" si="7"/>
        <v>0</v>
      </c>
      <c r="W73" s="17" t="str">
        <f>IF(V73=0,"",RANK(V73,V:V,0)+COUNTIF(V$1:V72,V73))</f>
        <v/>
      </c>
    </row>
    <row r="74" spans="1:23">
      <c r="A74" s="37" t="s">
        <v>743</v>
      </c>
      <c r="B74" s="132">
        <v>3</v>
      </c>
      <c r="C74" s="108" t="str">
        <f t="array" ref="C74">IFERROR(IF(A74="","",IF(ISNUMBER(MATCH(TRUE,ISNUMBER(SEARCH($Q$2:$Q$51, $A74)),0))=TRUE,"United States of America",INDEX($S$2:$S$199,MATCH(TRUE,ISNUMBER(SEARCH($S$2:$S$199, $A74)),0)))),"United States of America")</f>
        <v>Sri Lanka</v>
      </c>
      <c r="D74" s="108" t="str">
        <f t="array" ref="D74">IF(A74="","",IF(ISNUMBER(MATCH(TRUE,ISNUMBER(SEARCH($Q$2:$Q$51, $A74)),0))=TRUE,"",IF(ISNUMBER(MATCH(TRUE,ISNUMBER(SEARCH($S$2:$S$199, $A74)),0))=TRUE,"","미국 확인 필요")))</f>
        <v/>
      </c>
      <c r="F74" s="37" t="s">
        <v>597</v>
      </c>
      <c r="G74" s="132">
        <v>31</v>
      </c>
      <c r="H74" s="108" t="str">
        <f t="array" ref="H74">IFERROR(IF(F74="","",IF(ISNUMBER(MATCH(TRUE,ISNUMBER(SEARCH($Q$2:$Q$51, $F74)),0))=TRUE,"United States of America",INDEX($S$2:$S$199,MATCH(TRUE,ISNUMBER(SEARCH($S$2:$S$199, $F74)),0)))),"United States of America")</f>
        <v>India</v>
      </c>
      <c r="I74" s="108" t="str">
        <f t="array" ref="I74">IF(F74="","",IF(ISNUMBER(MATCH(TRUE,ISNUMBER(SEARCH($Q$2:$Q$51, $F74)),0))=TRUE,"",IF(ISNUMBER(MATCH(TRUE,ISNUMBER(SEARCH($S$2:$S$199, $F74)),0))=TRUE,"","미국 확인 필요")))</f>
        <v/>
      </c>
      <c r="S74" s="2" t="s">
        <v>331</v>
      </c>
      <c r="T74" s="17">
        <f t="shared" si="6"/>
        <v>0</v>
      </c>
      <c r="U74" s="17" t="str">
        <f>IF(T74=0,"",RANK(T74,T:T,0)+COUNTIF(T$1:T73,T74))</f>
        <v/>
      </c>
      <c r="V74" s="17">
        <f t="shared" si="7"/>
        <v>0</v>
      </c>
      <c r="W74" s="17" t="str">
        <f>IF(V74=0,"",RANK(V74,V:V,0)+COUNTIF(V$1:V73,V74))</f>
        <v/>
      </c>
    </row>
    <row r="75" spans="1:23">
      <c r="A75" s="37" t="s">
        <v>176</v>
      </c>
      <c r="B75" s="132">
        <v>4</v>
      </c>
      <c r="C75" s="108" t="str">
        <f t="array" ref="C75">IFERROR(IF(A75="","",IF(ISNUMBER(MATCH(TRUE,ISNUMBER(SEARCH($Q$2:$Q$51, $A75)),0))=TRUE,"United States of America",INDEX($S$2:$S$199,MATCH(TRUE,ISNUMBER(SEARCH($S$2:$S$199, $A75)),0)))),"United States of America")</f>
        <v>India</v>
      </c>
      <c r="D75" s="108" t="str">
        <f t="array" ref="D75">IF(A75="","",IF(ISNUMBER(MATCH(TRUE,ISNUMBER(SEARCH($Q$2:$Q$51, $A75)),0))=TRUE,"",IF(ISNUMBER(MATCH(TRUE,ISNUMBER(SEARCH($S$2:$S$199, $A75)),0))=TRUE,"","미국 확인 필요")))</f>
        <v/>
      </c>
      <c r="F75" s="37" t="s">
        <v>586</v>
      </c>
      <c r="G75" s="132">
        <v>30</v>
      </c>
      <c r="H75" s="108" t="str">
        <f t="array" ref="H75">IFERROR(IF(F75="","",IF(ISNUMBER(MATCH(TRUE,ISNUMBER(SEARCH($Q$2:$Q$51, $F75)),0))=TRUE,"United States of America",INDEX($S$2:$S$199,MATCH(TRUE,ISNUMBER(SEARCH($S$2:$S$199, $F75)),0)))),"United States of America")</f>
        <v>India</v>
      </c>
      <c r="I75" s="108" t="str">
        <f t="array" ref="I75">IF(F75="","",IF(ISNUMBER(MATCH(TRUE,ISNUMBER(SEARCH($Q$2:$Q$51, $F75)),0))=TRUE,"",IF(ISNUMBER(MATCH(TRUE,ISNUMBER(SEARCH($S$2:$S$199, $F75)),0))=TRUE,"","미국 확인 필요")))</f>
        <v/>
      </c>
      <c r="S75" s="2" t="s">
        <v>332</v>
      </c>
      <c r="T75" s="17">
        <f t="shared" si="6"/>
        <v>0</v>
      </c>
      <c r="U75" s="17" t="str">
        <f>IF(T75=0,"",RANK(T75,T:T,0)+COUNTIF(T$1:T74,T75))</f>
        <v/>
      </c>
      <c r="V75" s="17">
        <f t="shared" si="7"/>
        <v>0</v>
      </c>
      <c r="W75" s="17" t="str">
        <f>IF(V75=0,"",RANK(V75,V:V,0)+COUNTIF(V$1:V74,V75))</f>
        <v/>
      </c>
    </row>
    <row r="76" spans="1:23">
      <c r="A76" s="37" t="s">
        <v>744</v>
      </c>
      <c r="B76" s="132">
        <v>8</v>
      </c>
      <c r="C76" s="108" t="str">
        <f t="array" ref="C76">IFERROR(IF(A76="","",IF(ISNUMBER(MATCH(TRUE,ISNUMBER(SEARCH($Q$2:$Q$51, $A76)),0))=TRUE,"United States of America",INDEX($S$2:$S$199,MATCH(TRUE,ISNUMBER(SEARCH($S$2:$S$199, $A76)),0)))),"United States of America")</f>
        <v>Switzerland</v>
      </c>
      <c r="D76" s="108" t="str">
        <f t="array" ref="D76">IF(A76="","",IF(ISNUMBER(MATCH(TRUE,ISNUMBER(SEARCH($Q$2:$Q$51, $A76)),0))=TRUE,"",IF(ISNUMBER(MATCH(TRUE,ISNUMBER(SEARCH($S$2:$S$199, $A76)),0))=TRUE,"","미국 확인 필요")))</f>
        <v/>
      </c>
      <c r="F76" s="37" t="s">
        <v>601</v>
      </c>
      <c r="G76" s="132">
        <v>30</v>
      </c>
      <c r="H76" s="108" t="str">
        <f t="array" ref="H76">IFERROR(IF(F76="","",IF(ISNUMBER(MATCH(TRUE,ISNUMBER(SEARCH($Q$2:$Q$51, $F76)),0))=TRUE,"United States of America",INDEX($S$2:$S$199,MATCH(TRUE,ISNUMBER(SEARCH($S$2:$S$199, $F76)),0)))),"United States of America")</f>
        <v>Australia</v>
      </c>
      <c r="I76" s="108" t="str">
        <f t="array" ref="I76">IF(F76="","",IF(ISNUMBER(MATCH(TRUE,ISNUMBER(SEARCH($Q$2:$Q$51, $F76)),0))=TRUE,"",IF(ISNUMBER(MATCH(TRUE,ISNUMBER(SEARCH($S$2:$S$199, $F76)),0))=TRUE,"","미국 확인 필요")))</f>
        <v/>
      </c>
      <c r="S76" s="2" t="s">
        <v>334</v>
      </c>
      <c r="T76" s="17">
        <f t="shared" si="6"/>
        <v>0</v>
      </c>
      <c r="U76" s="17" t="str">
        <f>IF(T76=0,"",RANK(T76,T:T,0)+COUNTIF(T$1:T75,T76))</f>
        <v/>
      </c>
      <c r="V76" s="17">
        <f t="shared" si="7"/>
        <v>0</v>
      </c>
      <c r="W76" s="17" t="str">
        <f>IF(V76=0,"",RANK(V76,V:V,0)+COUNTIF(V$1:V75,V76))</f>
        <v/>
      </c>
    </row>
    <row r="77" spans="1:23">
      <c r="A77" s="37" t="s">
        <v>140</v>
      </c>
      <c r="B77" s="132">
        <v>1251</v>
      </c>
      <c r="C77" s="108" t="str">
        <f t="array" ref="C77">IFERROR(IF(A77="","",IF(ISNUMBER(MATCH(TRUE,ISNUMBER(SEARCH($Q$2:$Q$51, $A77)),0))=TRUE,"United States of America",INDEX($S$2:$S$199,MATCH(TRUE,ISNUMBER(SEARCH($S$2:$S$199, $A77)),0)))),"United States of America")</f>
        <v>Korea</v>
      </c>
      <c r="D77" s="108" t="str">
        <f t="array" ref="D77">IF(A77="","",IF(ISNUMBER(MATCH(TRUE,ISNUMBER(SEARCH($Q$2:$Q$51, $A77)),0))=TRUE,"",IF(ISNUMBER(MATCH(TRUE,ISNUMBER(SEARCH($S$2:$S$199, $A77)),0))=TRUE,"","미국 확인 필요")))</f>
        <v/>
      </c>
      <c r="F77" s="37" t="s">
        <v>341</v>
      </c>
      <c r="G77" s="132">
        <v>30</v>
      </c>
      <c r="H77" s="108" t="str">
        <f t="array" ref="H77">IFERROR(IF(F77="","",IF(ISNUMBER(MATCH(TRUE,ISNUMBER(SEARCH($Q$2:$Q$51, $F77)),0))=TRUE,"United States of America",INDEX($S$2:$S$199,MATCH(TRUE,ISNUMBER(SEARCH($S$2:$S$199, $F77)),0)))),"United States of America")</f>
        <v>United States of America</v>
      </c>
      <c r="I77" s="108" t="str">
        <f t="array" ref="I77">IF(F77="","",IF(ISNUMBER(MATCH(TRUE,ISNUMBER(SEARCH($Q$2:$Q$51, $F77)),0))=TRUE,"",IF(ISNUMBER(MATCH(TRUE,ISNUMBER(SEARCH($S$2:$S$199, $F77)),0))=TRUE,"","미국 확인 필요")))</f>
        <v>미국 확인 필요</v>
      </c>
      <c r="S77" s="2" t="s">
        <v>336</v>
      </c>
      <c r="T77" s="17">
        <f t="shared" si="6"/>
        <v>0</v>
      </c>
      <c r="U77" s="17" t="str">
        <f>IF(T77=0,"",RANK(T77,T:T,0)+COUNTIF(T$1:T76,T77))</f>
        <v/>
      </c>
      <c r="V77" s="17">
        <f t="shared" si="7"/>
        <v>0</v>
      </c>
      <c r="W77" s="17" t="str">
        <f>IF(V77=0,"",RANK(V77,V:V,0)+COUNTIF(V$1:V76,V77))</f>
        <v/>
      </c>
    </row>
    <row r="78" spans="1:23">
      <c r="A78" s="37" t="s">
        <v>745</v>
      </c>
      <c r="B78" s="132">
        <v>5</v>
      </c>
      <c r="C78" s="108" t="str">
        <f t="array" ref="C78">IFERROR(IF(A78="","",IF(ISNUMBER(MATCH(TRUE,ISNUMBER(SEARCH($Q$2:$Q$51, $A78)),0))=TRUE,"United States of America",INDEX($S$2:$S$199,MATCH(TRUE,ISNUMBER(SEARCH($S$2:$S$199, $A78)),0)))),"United States of America")</f>
        <v>United States of America</v>
      </c>
      <c r="D78" s="108" t="str">
        <f t="array" ref="D78">IF(A78="","",IF(ISNUMBER(MATCH(TRUE,ISNUMBER(SEARCH($Q$2:$Q$51, $A78)),0))=TRUE,"",IF(ISNUMBER(MATCH(TRUE,ISNUMBER(SEARCH($S$2:$S$199, $A78)),0))=TRUE,"","미국 확인 필요")))</f>
        <v>미국 확인 필요</v>
      </c>
      <c r="F78" s="37" t="s">
        <v>261</v>
      </c>
      <c r="G78" s="132">
        <v>29</v>
      </c>
      <c r="H78" s="108" t="str">
        <f t="array" ref="H78">IFERROR(IF(F78="","",IF(ISNUMBER(MATCH(TRUE,ISNUMBER(SEARCH($Q$2:$Q$51, $F78)),0))=TRUE,"United States of America",INDEX($S$2:$S$199,MATCH(TRUE,ISNUMBER(SEARCH($S$2:$S$199, $F78)),0)))),"United States of America")</f>
        <v>United States of America</v>
      </c>
      <c r="I78" s="108" t="str">
        <f t="array" ref="I78">IF(F78="","",IF(ISNUMBER(MATCH(TRUE,ISNUMBER(SEARCH($Q$2:$Q$51, $F78)),0))=TRUE,"",IF(ISNUMBER(MATCH(TRUE,ISNUMBER(SEARCH($S$2:$S$199, $F78)),0))=TRUE,"","미국 확인 필요")))</f>
        <v>미국 확인 필요</v>
      </c>
      <c r="S78" s="2" t="s">
        <v>337</v>
      </c>
      <c r="T78" s="17">
        <f t="shared" si="6"/>
        <v>0</v>
      </c>
      <c r="U78" s="17" t="str">
        <f>IF(T78=0,"",RANK(T78,T:T,0)+COUNTIF(T$1:T77,T78))</f>
        <v/>
      </c>
      <c r="V78" s="17">
        <f t="shared" si="7"/>
        <v>0</v>
      </c>
      <c r="W78" s="17" t="str">
        <f>IF(V78=0,"",RANK(V78,V:V,0)+COUNTIF(V$1:V77,V78))</f>
        <v/>
      </c>
    </row>
    <row r="79" spans="1:23">
      <c r="A79" s="37" t="s">
        <v>746</v>
      </c>
      <c r="B79" s="132">
        <v>15</v>
      </c>
      <c r="C79" s="108" t="str">
        <f t="array" ref="C79">IFERROR(IF(A79="","",IF(ISNUMBER(MATCH(TRUE,ISNUMBER(SEARCH($Q$2:$Q$51, $A79)),0))=TRUE,"United States of America",INDEX($S$2:$S$199,MATCH(TRUE,ISNUMBER(SEARCH($S$2:$S$199, $A79)),0)))),"United States of America")</f>
        <v>United States of America</v>
      </c>
      <c r="D79" s="108" t="str">
        <f t="array" ref="D79">IF(A79="","",IF(ISNUMBER(MATCH(TRUE,ISNUMBER(SEARCH($Q$2:$Q$51, $A79)),0))=TRUE,"",IF(ISNUMBER(MATCH(TRUE,ISNUMBER(SEARCH($S$2:$S$199, $A79)),0))=TRUE,"","미국 확인 필요")))</f>
        <v>미국 확인 필요</v>
      </c>
      <c r="F79" s="37" t="s">
        <v>300</v>
      </c>
      <c r="G79" s="132">
        <v>29</v>
      </c>
      <c r="H79" s="108" t="str">
        <f t="array" ref="H79">IFERROR(IF(F79="","",IF(ISNUMBER(MATCH(TRUE,ISNUMBER(SEARCH($Q$2:$Q$51, $F79)),0))=TRUE,"United States of America",INDEX($S$2:$S$199,MATCH(TRUE,ISNUMBER(SEARCH($S$2:$S$199, $F79)),0)))),"United States of America")</f>
        <v>Portugal</v>
      </c>
      <c r="I79" s="108" t="str">
        <f t="array" ref="I79">IF(F79="","",IF(ISNUMBER(MATCH(TRUE,ISNUMBER(SEARCH($Q$2:$Q$51, $F79)),0))=TRUE,"",IF(ISNUMBER(MATCH(TRUE,ISNUMBER(SEARCH($S$2:$S$199, $F79)),0))=TRUE,"","미국 확인 필요")))</f>
        <v/>
      </c>
      <c r="S79" s="2" t="s">
        <v>339</v>
      </c>
      <c r="T79" s="17">
        <f t="shared" si="6"/>
        <v>0</v>
      </c>
      <c r="U79" s="17" t="str">
        <f>IF(T79=0,"",RANK(T79,T:T,0)+COUNTIF(T$1:T78,T79))</f>
        <v/>
      </c>
      <c r="V79" s="17">
        <f t="shared" si="7"/>
        <v>0</v>
      </c>
      <c r="W79" s="17" t="str">
        <f>IF(V79=0,"",RANK(V79,V:V,0)+COUNTIF(V$1:V78,V79))</f>
        <v/>
      </c>
    </row>
    <row r="80" spans="1:23">
      <c r="A80" s="37" t="s">
        <v>747</v>
      </c>
      <c r="B80" s="132">
        <v>4</v>
      </c>
      <c r="C80" s="108" t="str">
        <f t="array" ref="C80">IFERROR(IF(A80="","",IF(ISNUMBER(MATCH(TRUE,ISNUMBER(SEARCH($Q$2:$Q$51, $A80)),0))=TRUE,"United States of America",INDEX($S$2:$S$199,MATCH(TRUE,ISNUMBER(SEARCH($S$2:$S$199, $A80)),0)))),"United States of America")</f>
        <v>United States of America</v>
      </c>
      <c r="D80" s="108" t="str">
        <f t="array" ref="D80">IF(A80="","",IF(ISNUMBER(MATCH(TRUE,ISNUMBER(SEARCH($Q$2:$Q$51, $A80)),0))=TRUE,"",IF(ISNUMBER(MATCH(TRUE,ISNUMBER(SEARCH($S$2:$S$199, $A80)),0))=TRUE,"","미국 확인 필요")))</f>
        <v>미국 확인 필요</v>
      </c>
      <c r="F80" s="37" t="s">
        <v>599</v>
      </c>
      <c r="G80" s="132">
        <v>28</v>
      </c>
      <c r="H80" s="108" t="str">
        <f t="array" ref="H80">IFERROR(IF(F80="","",IF(ISNUMBER(MATCH(TRUE,ISNUMBER(SEARCH($Q$2:$Q$51, $F80)),0))=TRUE,"United States of America",INDEX($S$2:$S$199,MATCH(TRUE,ISNUMBER(SEARCH($S$2:$S$199, $F80)),0)))),"United States of America")</f>
        <v>India</v>
      </c>
      <c r="I80" s="108" t="str">
        <f t="array" ref="I80">IF(F80="","",IF(ISNUMBER(MATCH(TRUE,ISNUMBER(SEARCH($Q$2:$Q$51, $F80)),0))=TRUE,"",IF(ISNUMBER(MATCH(TRUE,ISNUMBER(SEARCH($S$2:$S$199, $F80)),0))=TRUE,"","미국 확인 필요")))</f>
        <v/>
      </c>
      <c r="S80" s="2" t="s">
        <v>340</v>
      </c>
      <c r="T80" s="17">
        <f t="shared" si="6"/>
        <v>0</v>
      </c>
      <c r="U80" s="17" t="str">
        <f>IF(T80=0,"",RANK(T80,T:T,0)+COUNTIF(T$1:T79,T80))</f>
        <v/>
      </c>
      <c r="V80" s="17">
        <f t="shared" si="7"/>
        <v>0</v>
      </c>
      <c r="W80" s="17" t="str">
        <f>IF(V80=0,"",RANK(V80,V:V,0)+COUNTIF(V$1:V79,V80))</f>
        <v/>
      </c>
    </row>
    <row r="81" spans="1:23">
      <c r="A81" s="37" t="s">
        <v>748</v>
      </c>
      <c r="B81" s="132">
        <v>11</v>
      </c>
      <c r="C81" s="108" t="str">
        <f t="array" ref="C81">IFERROR(IF(A81="","",IF(ISNUMBER(MATCH(TRUE,ISNUMBER(SEARCH($Q$2:$Q$51, $A81)),0))=TRUE,"United States of America",INDEX($S$2:$S$199,MATCH(TRUE,ISNUMBER(SEARCH($S$2:$S$199, $A81)),0)))),"United States of America")</f>
        <v>Switzerland</v>
      </c>
      <c r="D81" s="108" t="str">
        <f t="array" ref="D81">IF(A81="","",IF(ISNUMBER(MATCH(TRUE,ISNUMBER(SEARCH($Q$2:$Q$51, $A81)),0))=TRUE,"",IF(ISNUMBER(MATCH(TRUE,ISNUMBER(SEARCH($S$2:$S$199, $A81)),0))=TRUE,"","미국 확인 필요")))</f>
        <v/>
      </c>
      <c r="F81" s="37" t="s">
        <v>603</v>
      </c>
      <c r="G81" s="132">
        <v>27</v>
      </c>
      <c r="H81" s="108" t="str">
        <f t="array" ref="H81">IFERROR(IF(F81="","",IF(ISNUMBER(MATCH(TRUE,ISNUMBER(SEARCH($Q$2:$Q$51, $F81)),0))=TRUE,"United States of America",INDEX($S$2:$S$199,MATCH(TRUE,ISNUMBER(SEARCH($S$2:$S$199, $F81)),0)))),"United States of America")</f>
        <v>India</v>
      </c>
      <c r="I81" s="108" t="str">
        <f t="array" ref="I81">IF(F81="","",IF(ISNUMBER(MATCH(TRUE,ISNUMBER(SEARCH($Q$2:$Q$51, $F81)),0))=TRUE,"",IF(ISNUMBER(MATCH(TRUE,ISNUMBER(SEARCH($S$2:$S$199, $F81)),0))=TRUE,"","미국 확인 필요")))</f>
        <v/>
      </c>
      <c r="S81" s="2" t="s">
        <v>342</v>
      </c>
      <c r="T81" s="17">
        <f t="shared" si="6"/>
        <v>0</v>
      </c>
      <c r="U81" s="17" t="str">
        <f>IF(T81=0,"",RANK(T81,T:T,0)+COUNTIF(T$1:T80,T81))</f>
        <v/>
      </c>
      <c r="V81" s="17">
        <f t="shared" si="7"/>
        <v>0</v>
      </c>
      <c r="W81" s="17" t="str">
        <f>IF(V81=0,"",RANK(V81,V:V,0)+COUNTIF(V$1:V80,V81))</f>
        <v/>
      </c>
    </row>
    <row r="82" spans="1:23">
      <c r="A82" s="37" t="s">
        <v>347</v>
      </c>
      <c r="B82" s="132">
        <v>9</v>
      </c>
      <c r="C82" s="108" t="str">
        <f t="array" ref="C82">IFERROR(IF(A82="","",IF(ISNUMBER(MATCH(TRUE,ISNUMBER(SEARCH($Q$2:$Q$51, $A82)),0))=TRUE,"United States of America",INDEX($S$2:$S$199,MATCH(TRUE,ISNUMBER(SEARCH($S$2:$S$199, $A82)),0)))),"United States of America")</f>
        <v>Australia</v>
      </c>
      <c r="D82" s="108" t="str">
        <f t="array" ref="D82">IF(A82="","",IF(ISNUMBER(MATCH(TRUE,ISNUMBER(SEARCH($Q$2:$Q$51, $A82)),0))=TRUE,"",IF(ISNUMBER(MATCH(TRUE,ISNUMBER(SEARCH($S$2:$S$199, $A82)),0))=TRUE,"","미국 확인 필요")))</f>
        <v/>
      </c>
      <c r="F82" s="37" t="s">
        <v>362</v>
      </c>
      <c r="G82" s="132">
        <v>26</v>
      </c>
      <c r="H82" s="108" t="str">
        <f t="array" ref="H82">IFERROR(IF(F82="","",IF(ISNUMBER(MATCH(TRUE,ISNUMBER(SEARCH($Q$2:$Q$51, $F82)),0))=TRUE,"United States of America",INDEX($S$2:$S$199,MATCH(TRUE,ISNUMBER(SEARCH($S$2:$S$199, $F82)),0)))),"United States of America")</f>
        <v>South Africa</v>
      </c>
      <c r="I82" s="108" t="str">
        <f t="array" ref="I82">IF(F82="","",IF(ISNUMBER(MATCH(TRUE,ISNUMBER(SEARCH($Q$2:$Q$51, $F82)),0))=TRUE,"",IF(ISNUMBER(MATCH(TRUE,ISNUMBER(SEARCH($S$2:$S$199, $F82)),0))=TRUE,"","미국 확인 필요")))</f>
        <v/>
      </c>
      <c r="S82" s="2" t="s">
        <v>343</v>
      </c>
      <c r="T82" s="17">
        <f t="shared" si="6"/>
        <v>0</v>
      </c>
      <c r="U82" s="17" t="str">
        <f>IF(T82=0,"",RANK(T82,T:T,0)+COUNTIF(T$1:T81,T82))</f>
        <v/>
      </c>
      <c r="V82" s="17">
        <f t="shared" si="7"/>
        <v>0</v>
      </c>
      <c r="W82" s="17" t="str">
        <f>IF(V82=0,"",RANK(V82,V:V,0)+COUNTIF(V$1:V81,V82))</f>
        <v/>
      </c>
    </row>
    <row r="83" spans="1:23">
      <c r="A83" s="37" t="s">
        <v>192</v>
      </c>
      <c r="B83" s="132">
        <v>45</v>
      </c>
      <c r="C83" s="108" t="str">
        <f t="array" ref="C83">IFERROR(IF(A83="","",IF(ISNUMBER(MATCH(TRUE,ISNUMBER(SEARCH($Q$2:$Q$51, $A83)),0))=TRUE,"United States of America",INDEX($S$2:$S$199,MATCH(TRUE,ISNUMBER(SEARCH($S$2:$S$199, $A83)),0)))),"United States of America")</f>
        <v>India</v>
      </c>
      <c r="D83" s="108" t="str">
        <f t="array" ref="D83">IF(A83="","",IF(ISNUMBER(MATCH(TRUE,ISNUMBER(SEARCH($Q$2:$Q$51, $A83)),0))=TRUE,"",IF(ISNUMBER(MATCH(TRUE,ISNUMBER(SEARCH($S$2:$S$199, $A83)),0))=TRUE,"","미국 확인 필요")))</f>
        <v/>
      </c>
      <c r="F83" s="37" t="s">
        <v>143</v>
      </c>
      <c r="G83" s="132">
        <v>26</v>
      </c>
      <c r="H83" s="108" t="str">
        <f t="array" ref="H83">IFERROR(IF(F83="","",IF(ISNUMBER(MATCH(TRUE,ISNUMBER(SEARCH($Q$2:$Q$51, $F83)),0))=TRUE,"United States of America",INDEX($S$2:$S$199,MATCH(TRUE,ISNUMBER(SEARCH($S$2:$S$199, $F83)),0)))),"United States of America")</f>
        <v>India</v>
      </c>
      <c r="I83" s="108" t="str">
        <f t="array" ref="I83">IF(F83="","",IF(ISNUMBER(MATCH(TRUE,ISNUMBER(SEARCH($Q$2:$Q$51, $F83)),0))=TRUE,"",IF(ISNUMBER(MATCH(TRUE,ISNUMBER(SEARCH($S$2:$S$199, $F83)),0))=TRUE,"","미국 확인 필요")))</f>
        <v/>
      </c>
      <c r="S83" s="2" t="s">
        <v>344</v>
      </c>
      <c r="T83" s="17">
        <f t="shared" si="6"/>
        <v>0</v>
      </c>
      <c r="U83" s="17" t="str">
        <f>IF(T83=0,"",RANK(T83,T:T,0)+COUNTIF(T$1:T82,T83))</f>
        <v/>
      </c>
      <c r="V83" s="17">
        <f t="shared" si="7"/>
        <v>0</v>
      </c>
      <c r="W83" s="17" t="str">
        <f>IF(V83=0,"",RANK(V83,V:V,0)+COUNTIF(V$1:V82,V83))</f>
        <v/>
      </c>
    </row>
    <row r="84" spans="1:23">
      <c r="A84" s="37" t="s">
        <v>585</v>
      </c>
      <c r="B84" s="132">
        <v>4</v>
      </c>
      <c r="C84" s="108" t="str">
        <f t="array" ref="C84">IFERROR(IF(A84="","",IF(ISNUMBER(MATCH(TRUE,ISNUMBER(SEARCH($Q$2:$Q$51, $A84)),0))=TRUE,"United States of America",INDEX($S$2:$S$199,MATCH(TRUE,ISNUMBER(SEARCH($S$2:$S$199, $A84)),0)))),"United States of America")</f>
        <v>Philippines</v>
      </c>
      <c r="D84" s="108" t="str">
        <f t="array" ref="D84">IF(A84="","",IF(ISNUMBER(MATCH(TRUE,ISNUMBER(SEARCH($Q$2:$Q$51, $A84)),0))=TRUE,"",IF(ISNUMBER(MATCH(TRUE,ISNUMBER(SEARCH($S$2:$S$199, $A84)),0))=TRUE,"","미국 확인 필요")))</f>
        <v/>
      </c>
      <c r="F84" s="37" t="s">
        <v>158</v>
      </c>
      <c r="G84" s="132">
        <v>26</v>
      </c>
      <c r="H84" s="108" t="str">
        <f t="array" ref="H84">IFERROR(IF(F84="","",IF(ISNUMBER(MATCH(TRUE,ISNUMBER(SEARCH($Q$2:$Q$51, $F84)),0))=TRUE,"United States of America",INDEX($S$2:$S$199,MATCH(TRUE,ISNUMBER(SEARCH($S$2:$S$199, $F84)),0)))),"United States of America")</f>
        <v>Taiwan</v>
      </c>
      <c r="I84" s="108" t="str">
        <f t="array" ref="I84">IF(F84="","",IF(ISNUMBER(MATCH(TRUE,ISNUMBER(SEARCH($Q$2:$Q$51, $F84)),0))=TRUE,"",IF(ISNUMBER(MATCH(TRUE,ISNUMBER(SEARCH($S$2:$S$199, $F84)),0))=TRUE,"","미국 확인 필요")))</f>
        <v/>
      </c>
      <c r="S84" s="2" t="s">
        <v>346</v>
      </c>
      <c r="T84" s="17">
        <f t="shared" si="6"/>
        <v>0</v>
      </c>
      <c r="U84" s="17" t="str">
        <f>IF(T84=0,"",RANK(T84,T:T,0)+COUNTIF(T$1:T83,T84))</f>
        <v/>
      </c>
      <c r="V84" s="17">
        <f t="shared" si="7"/>
        <v>0</v>
      </c>
      <c r="W84" s="17" t="str">
        <f>IF(V84=0,"",RANK(V84,V:V,0)+COUNTIF(V$1:V83,V84))</f>
        <v/>
      </c>
    </row>
    <row r="85" spans="1:23">
      <c r="A85" s="37" t="s">
        <v>324</v>
      </c>
      <c r="B85" s="132">
        <v>18</v>
      </c>
      <c r="C85" s="108" t="str">
        <f t="array" ref="C85">IFERROR(IF(A85="","",IF(ISNUMBER(MATCH(TRUE,ISNUMBER(SEARCH($Q$2:$Q$51, $A85)),0))=TRUE,"United States of America",INDEX($S$2:$S$199,MATCH(TRUE,ISNUMBER(SEARCH($S$2:$S$199, $A85)),0)))),"United States of America")</f>
        <v>United States of America</v>
      </c>
      <c r="D85" s="108" t="str">
        <f t="array" ref="D85">IF(A85="","",IF(ISNUMBER(MATCH(TRUE,ISNUMBER(SEARCH($Q$2:$Q$51, $A85)),0))=TRUE,"",IF(ISNUMBER(MATCH(TRUE,ISNUMBER(SEARCH($S$2:$S$199, $A85)),0))=TRUE,"","미국 확인 필요")))</f>
        <v>미국 확인 필요</v>
      </c>
      <c r="F85" s="37" t="s">
        <v>206</v>
      </c>
      <c r="G85" s="132">
        <v>25</v>
      </c>
      <c r="H85" s="108" t="str">
        <f t="array" ref="H85">IFERROR(IF(F85="","",IF(ISNUMBER(MATCH(TRUE,ISNUMBER(SEARCH($Q$2:$Q$51, $F85)),0))=TRUE,"United States of America",INDEX($S$2:$S$199,MATCH(TRUE,ISNUMBER(SEARCH($S$2:$S$199, $F85)),0)))),"United States of America")</f>
        <v>Italy</v>
      </c>
      <c r="I85" s="108" t="str">
        <f t="array" ref="I85">IF(F85="","",IF(ISNUMBER(MATCH(TRUE,ISNUMBER(SEARCH($Q$2:$Q$51, $F85)),0))=TRUE,"",IF(ISNUMBER(MATCH(TRUE,ISNUMBER(SEARCH($S$2:$S$199, $F85)),0))=TRUE,"","미국 확인 필요")))</f>
        <v/>
      </c>
      <c r="S85" s="2" t="s">
        <v>348</v>
      </c>
      <c r="T85" s="17">
        <f t="shared" si="6"/>
        <v>0</v>
      </c>
      <c r="U85" s="17" t="str">
        <f>IF(T85=0,"",RANK(T85,T:T,0)+COUNTIF(T$1:T84,T85))</f>
        <v/>
      </c>
      <c r="V85" s="17">
        <f t="shared" si="7"/>
        <v>0</v>
      </c>
      <c r="W85" s="17" t="str">
        <f>IF(V85=0,"",RANK(V85,V:V,0)+COUNTIF(V$1:V84,V85))</f>
        <v/>
      </c>
    </row>
    <row r="86" spans="1:23">
      <c r="A86" s="37" t="s">
        <v>257</v>
      </c>
      <c r="B86" s="132">
        <v>21</v>
      </c>
      <c r="C86" s="108" t="str">
        <f t="array" ref="C86">IFERROR(IF(A86="","",IF(ISNUMBER(MATCH(TRUE,ISNUMBER(SEARCH($Q$2:$Q$51, $A86)),0))=TRUE,"United States of America",INDEX($S$2:$S$199,MATCH(TRUE,ISNUMBER(SEARCH($S$2:$S$199, $A86)),0)))),"United States of America")</f>
        <v>United States of America</v>
      </c>
      <c r="D86" s="108" t="str">
        <f t="array" ref="D86">IF(A86="","",IF(ISNUMBER(MATCH(TRUE,ISNUMBER(SEARCH($Q$2:$Q$51, $A86)),0))=TRUE,"",IF(ISNUMBER(MATCH(TRUE,ISNUMBER(SEARCH($S$2:$S$199, $A86)),0))=TRUE,"","미국 확인 필요")))</f>
        <v>미국 확인 필요</v>
      </c>
      <c r="F86" s="37" t="s">
        <v>282</v>
      </c>
      <c r="G86" s="132">
        <v>25</v>
      </c>
      <c r="H86" s="108" t="str">
        <f t="array" ref="H86">IFERROR(IF(F86="","",IF(ISNUMBER(MATCH(TRUE,ISNUMBER(SEARCH($Q$2:$Q$51, $F86)),0))=TRUE,"United States of America",INDEX($S$2:$S$199,MATCH(TRUE,ISNUMBER(SEARCH($S$2:$S$199, $F86)),0)))),"United States of America")</f>
        <v>Spain</v>
      </c>
      <c r="I86" s="108" t="str">
        <f t="array" ref="I86">IF(F86="","",IF(ISNUMBER(MATCH(TRUE,ISNUMBER(SEARCH($Q$2:$Q$51, $F86)),0))=TRUE,"",IF(ISNUMBER(MATCH(TRUE,ISNUMBER(SEARCH($S$2:$S$199, $F86)),0))=TRUE,"","미국 확인 필요")))</f>
        <v/>
      </c>
      <c r="S86" s="2" t="s">
        <v>349</v>
      </c>
      <c r="T86" s="17">
        <f t="shared" si="6"/>
        <v>0</v>
      </c>
      <c r="U86" s="17" t="str">
        <f>IF(T86=0,"",RANK(T86,T:T,0)+COUNTIF(T$1:T85,T86))</f>
        <v/>
      </c>
      <c r="V86" s="17">
        <f t="shared" si="7"/>
        <v>0</v>
      </c>
      <c r="W86" s="17" t="str">
        <f>IF(V86=0,"",RANK(V86,V:V,0)+COUNTIF(V$1:V85,V86))</f>
        <v/>
      </c>
    </row>
    <row r="87" spans="1:23">
      <c r="A87" s="37" t="s">
        <v>749</v>
      </c>
      <c r="B87" s="132">
        <v>4</v>
      </c>
      <c r="C87" s="108" t="str">
        <f t="array" ref="C87">IFERROR(IF(A87="","",IF(ISNUMBER(MATCH(TRUE,ISNUMBER(SEARCH($Q$2:$Q$51, $A87)),0))=TRUE,"United States of America",INDEX($S$2:$S$199,MATCH(TRUE,ISNUMBER(SEARCH($S$2:$S$199, $A87)),0)))),"United States of America")</f>
        <v>United States of America</v>
      </c>
      <c r="D87" s="108" t="str">
        <f t="array" ref="D87">IF(A87="","",IF(ISNUMBER(MATCH(TRUE,ISNUMBER(SEARCH($Q$2:$Q$51, $A87)),0))=TRUE,"",IF(ISNUMBER(MATCH(TRUE,ISNUMBER(SEARCH($S$2:$S$199, $A87)),0))=TRUE,"","미국 확인 필요")))</f>
        <v>미국 확인 필요</v>
      </c>
      <c r="F87" s="37" t="s">
        <v>297</v>
      </c>
      <c r="G87" s="132">
        <v>25</v>
      </c>
      <c r="H87" s="108" t="str">
        <f t="array" ref="H87">IFERROR(IF(F87="","",IF(ISNUMBER(MATCH(TRUE,ISNUMBER(SEARCH($Q$2:$Q$51, $F87)),0))=TRUE,"United States of America",INDEX($S$2:$S$199,MATCH(TRUE,ISNUMBER(SEARCH($S$2:$S$199, $F87)),0)))),"United States of America")</f>
        <v>Canada</v>
      </c>
      <c r="I87" s="108" t="str">
        <f t="array" ref="I87">IF(F87="","",IF(ISNUMBER(MATCH(TRUE,ISNUMBER(SEARCH($Q$2:$Q$51, $F87)),0))=TRUE,"",IF(ISNUMBER(MATCH(TRUE,ISNUMBER(SEARCH($S$2:$S$199, $F87)),0))=TRUE,"","미국 확인 필요")))</f>
        <v/>
      </c>
      <c r="S87" s="2" t="s">
        <v>350</v>
      </c>
      <c r="T87" s="17">
        <f t="shared" si="6"/>
        <v>0</v>
      </c>
      <c r="U87" s="17" t="str">
        <f>IF(T87=0,"",RANK(T87,T:T,0)+COUNTIF(T$1:T86,T87))</f>
        <v/>
      </c>
      <c r="V87" s="17">
        <f t="shared" si="7"/>
        <v>0</v>
      </c>
      <c r="W87" s="17" t="str">
        <f>IF(V87=0,"",RANK(V87,V:V,0)+COUNTIF(V$1:V86,V87))</f>
        <v/>
      </c>
    </row>
    <row r="88" spans="1:23">
      <c r="A88" s="37" t="s">
        <v>750</v>
      </c>
      <c r="B88" s="132">
        <v>8</v>
      </c>
      <c r="C88" s="108" t="str">
        <f t="array" ref="C88">IFERROR(IF(A88="","",IF(ISNUMBER(MATCH(TRUE,ISNUMBER(SEARCH($Q$2:$Q$51, $A88)),0))=TRUE,"United States of America",INDEX($S$2:$S$199,MATCH(TRUE,ISNUMBER(SEARCH($S$2:$S$199, $A88)),0)))),"United States of America")</f>
        <v>United States of America</v>
      </c>
      <c r="D88" s="108" t="str">
        <f t="array" ref="D88">IF(A88="","",IF(ISNUMBER(MATCH(TRUE,ISNUMBER(SEARCH($Q$2:$Q$51, $A88)),0))=TRUE,"",IF(ISNUMBER(MATCH(TRUE,ISNUMBER(SEARCH($S$2:$S$199, $A88)),0))=TRUE,"","미국 확인 필요")))</f>
        <v>미국 확인 필요</v>
      </c>
      <c r="F88" s="37" t="s">
        <v>602</v>
      </c>
      <c r="G88" s="132">
        <v>25</v>
      </c>
      <c r="H88" s="108" t="str">
        <f t="array" ref="H88">IFERROR(IF(F88="","",IF(ISNUMBER(MATCH(TRUE,ISNUMBER(SEARCH($Q$2:$Q$51, $F88)),0))=TRUE,"United States of America",INDEX($S$2:$S$199,MATCH(TRUE,ISNUMBER(SEARCH($S$2:$S$199, $F88)),0)))),"United States of America")</f>
        <v>Senegal</v>
      </c>
      <c r="I88" s="108" t="str">
        <f t="array" ref="I88">IF(F88="","",IF(ISNUMBER(MATCH(TRUE,ISNUMBER(SEARCH($Q$2:$Q$51, $F88)),0))=TRUE,"",IF(ISNUMBER(MATCH(TRUE,ISNUMBER(SEARCH($S$2:$S$199, $F88)),0))=TRUE,"","미국 확인 필요")))</f>
        <v/>
      </c>
      <c r="S88" s="2" t="s">
        <v>351</v>
      </c>
      <c r="T88" s="17">
        <f t="shared" si="6"/>
        <v>0</v>
      </c>
      <c r="U88" s="17" t="str">
        <f>IF(T88=0,"",RANK(T88,T:T,0)+COUNTIF(T$1:T87,T88))</f>
        <v/>
      </c>
      <c r="V88" s="17">
        <f t="shared" si="7"/>
        <v>0</v>
      </c>
      <c r="W88" s="17" t="str">
        <f>IF(V88=0,"",RANK(V88,V:V,0)+COUNTIF(V$1:V87,V88))</f>
        <v/>
      </c>
    </row>
    <row r="89" spans="1:23">
      <c r="A89" s="37" t="s">
        <v>751</v>
      </c>
      <c r="B89" s="132">
        <v>8</v>
      </c>
      <c r="C89" s="108" t="str">
        <f t="array" ref="C89">IFERROR(IF(A89="","",IF(ISNUMBER(MATCH(TRUE,ISNUMBER(SEARCH($Q$2:$Q$51, $A89)),0))=TRUE,"United States of America",INDEX($S$2:$S$199,MATCH(TRUE,ISNUMBER(SEARCH($S$2:$S$199, $A89)),0)))),"United States of America")</f>
        <v>United States of America</v>
      </c>
      <c r="D89" s="108" t="str">
        <f t="array" ref="D89">IF(A89="","",IF(ISNUMBER(MATCH(TRUE,ISNUMBER(SEARCH($Q$2:$Q$51, $A89)),0))=TRUE,"",IF(ISNUMBER(MATCH(TRUE,ISNUMBER(SEARCH($S$2:$S$199, $A89)),0))=TRUE,"","미국 확인 필요")))</f>
        <v>미국 확인 필요</v>
      </c>
      <c r="F89" s="37" t="s">
        <v>319</v>
      </c>
      <c r="G89" s="132">
        <v>24</v>
      </c>
      <c r="H89" s="108" t="str">
        <f t="array" ref="H89">IFERROR(IF(F89="","",IF(ISNUMBER(MATCH(TRUE,ISNUMBER(SEARCH($Q$2:$Q$51, $F89)),0))=TRUE,"United States of America",INDEX($S$2:$S$199,MATCH(TRUE,ISNUMBER(SEARCH($S$2:$S$199, $F89)),0)))),"United States of America")</f>
        <v>United States of America</v>
      </c>
      <c r="I89" s="108" t="str">
        <f t="array" ref="I89">IF(F89="","",IF(ISNUMBER(MATCH(TRUE,ISNUMBER(SEARCH($Q$2:$Q$51, $F89)),0))=TRUE,"",IF(ISNUMBER(MATCH(TRUE,ISNUMBER(SEARCH($S$2:$S$199, $F89)),0))=TRUE,"","미국 확인 필요")))</f>
        <v>미국 확인 필요</v>
      </c>
      <c r="S89" s="2" t="s">
        <v>352</v>
      </c>
      <c r="T89" s="17">
        <f t="shared" si="6"/>
        <v>0</v>
      </c>
      <c r="U89" s="17" t="str">
        <f>IF(T89=0,"",RANK(T89,T:T,0)+COUNTIF(T$1:T88,T89))</f>
        <v/>
      </c>
      <c r="V89" s="17">
        <f t="shared" si="7"/>
        <v>0</v>
      </c>
      <c r="W89" s="17" t="str">
        <f>IF(V89=0,"",RANK(V89,V:V,0)+COUNTIF(V$1:V88,V89))</f>
        <v/>
      </c>
    </row>
    <row r="90" spans="1:23">
      <c r="A90" s="37" t="s">
        <v>752</v>
      </c>
      <c r="B90" s="132">
        <v>5</v>
      </c>
      <c r="C90" s="108" t="str">
        <f t="array" ref="C90">IFERROR(IF(A90="","",IF(ISNUMBER(MATCH(TRUE,ISNUMBER(SEARCH($Q$2:$Q$51, $A90)),0))=TRUE,"United States of America",INDEX($S$2:$S$199,MATCH(TRUE,ISNUMBER(SEARCH($S$2:$S$199, $A90)),0)))),"United States of America")</f>
        <v>Korea</v>
      </c>
      <c r="D90" s="108" t="str">
        <f t="array" ref="D90">IF(A90="","",IF(ISNUMBER(MATCH(TRUE,ISNUMBER(SEARCH($Q$2:$Q$51, $A90)),0))=TRUE,"",IF(ISNUMBER(MATCH(TRUE,ISNUMBER(SEARCH($S$2:$S$199, $A90)),0))=TRUE,"","미국 확인 필요")))</f>
        <v/>
      </c>
      <c r="F90" s="37" t="s">
        <v>585</v>
      </c>
      <c r="G90" s="132">
        <v>23</v>
      </c>
      <c r="H90" s="108" t="str">
        <f t="array" ref="H90">IFERROR(IF(F90="","",IF(ISNUMBER(MATCH(TRUE,ISNUMBER(SEARCH($Q$2:$Q$51, $F90)),0))=TRUE,"United States of America",INDEX($S$2:$S$199,MATCH(TRUE,ISNUMBER(SEARCH($S$2:$S$199, $F90)),0)))),"United States of America")</f>
        <v>Philippines</v>
      </c>
      <c r="I90" s="108" t="str">
        <f t="array" ref="I90">IF(F90="","",IF(ISNUMBER(MATCH(TRUE,ISNUMBER(SEARCH($Q$2:$Q$51, $F90)),0))=TRUE,"",IF(ISNUMBER(MATCH(TRUE,ISNUMBER(SEARCH($S$2:$S$199, $F90)),0))=TRUE,"","미국 확인 필요")))</f>
        <v/>
      </c>
      <c r="S90" s="2" t="s">
        <v>354</v>
      </c>
      <c r="T90" s="17">
        <f t="shared" si="6"/>
        <v>0</v>
      </c>
      <c r="U90" s="17" t="str">
        <f>IF(T90=0,"",RANK(T90,T:T,0)+COUNTIF(T$1:T89,T90))</f>
        <v/>
      </c>
      <c r="V90" s="17">
        <f t="shared" si="7"/>
        <v>0</v>
      </c>
      <c r="W90" s="17" t="str">
        <f>IF(V90=0,"",RANK(V90,V:V,0)+COUNTIF(V$1:V89,V90))</f>
        <v/>
      </c>
    </row>
    <row r="91" spans="1:23">
      <c r="A91" s="37" t="s">
        <v>586</v>
      </c>
      <c r="B91" s="132">
        <v>3</v>
      </c>
      <c r="C91" s="108" t="str">
        <f t="array" ref="C91">IFERROR(IF(A91="","",IF(ISNUMBER(MATCH(TRUE,ISNUMBER(SEARCH($Q$2:$Q$51, $A91)),0))=TRUE,"United States of America",INDEX($S$2:$S$199,MATCH(TRUE,ISNUMBER(SEARCH($S$2:$S$199, $A91)),0)))),"United States of America")</f>
        <v>India</v>
      </c>
      <c r="D91" s="108" t="str">
        <f t="array" ref="D91">IF(A91="","",IF(ISNUMBER(MATCH(TRUE,ISNUMBER(SEARCH($Q$2:$Q$51, $A91)),0))=TRUE,"",IF(ISNUMBER(MATCH(TRUE,ISNUMBER(SEARCH($S$2:$S$199, $A91)),0))=TRUE,"","미국 확인 필요")))</f>
        <v/>
      </c>
      <c r="F91" s="37" t="s">
        <v>276</v>
      </c>
      <c r="G91" s="132">
        <v>23</v>
      </c>
      <c r="H91" s="108" t="str">
        <f t="array" ref="H91">IFERROR(IF(F91="","",IF(ISNUMBER(MATCH(TRUE,ISNUMBER(SEARCH($Q$2:$Q$51, $F91)),0))=TRUE,"United States of America",INDEX($S$2:$S$199,MATCH(TRUE,ISNUMBER(SEARCH($S$2:$S$199, $F91)),0)))),"United States of America")</f>
        <v>Colombia</v>
      </c>
      <c r="I91" s="108" t="str">
        <f t="array" ref="I91">IF(F91="","",IF(ISNUMBER(MATCH(TRUE,ISNUMBER(SEARCH($Q$2:$Q$51, $F91)),0))=TRUE,"",IF(ISNUMBER(MATCH(TRUE,ISNUMBER(SEARCH($S$2:$S$199, $F91)),0))=TRUE,"","미국 확인 필요")))</f>
        <v/>
      </c>
      <c r="S91" s="2" t="s">
        <v>355</v>
      </c>
      <c r="T91" s="17">
        <f t="shared" si="6"/>
        <v>0</v>
      </c>
      <c r="U91" s="17" t="str">
        <f>IF(T91=0,"",RANK(T91,T:T,0)+COUNTIF(T$1:T90,T91))</f>
        <v/>
      </c>
      <c r="V91" s="17">
        <f t="shared" si="7"/>
        <v>0</v>
      </c>
      <c r="W91" s="17" t="str">
        <f>IF(V91=0,"",RANK(V91,V:V,0)+COUNTIF(V$1:V90,V91))</f>
        <v/>
      </c>
    </row>
    <row r="92" spans="1:23">
      <c r="A92" s="37" t="s">
        <v>305</v>
      </c>
      <c r="B92" s="132">
        <v>23</v>
      </c>
      <c r="C92" s="108" t="str">
        <f t="array" ref="C92">IFERROR(IF(A92="","",IF(ISNUMBER(MATCH(TRUE,ISNUMBER(SEARCH($Q$2:$Q$51, $A92)),0))=TRUE,"United States of America",INDEX($S$2:$S$199,MATCH(TRUE,ISNUMBER(SEARCH($S$2:$S$199, $A92)),0)))),"United States of America")</f>
        <v>India</v>
      </c>
      <c r="D92" s="108" t="str">
        <f t="array" ref="D92">IF(A92="","",IF(ISNUMBER(MATCH(TRUE,ISNUMBER(SEARCH($Q$2:$Q$51, $A92)),0))=TRUE,"",IF(ISNUMBER(MATCH(TRUE,ISNUMBER(SEARCH($S$2:$S$199, $A92)),0))=TRUE,"","미국 확인 필요")))</f>
        <v/>
      </c>
      <c r="F92" s="37" t="s">
        <v>584</v>
      </c>
      <c r="G92" s="132">
        <v>23</v>
      </c>
      <c r="H92" s="108" t="str">
        <f t="array" ref="H92">IFERROR(IF(F92="","",IF(ISNUMBER(MATCH(TRUE,ISNUMBER(SEARCH($Q$2:$Q$51, $F92)),0))=TRUE,"United States of America",INDEX($S$2:$S$199,MATCH(TRUE,ISNUMBER(SEARCH($S$2:$S$199, $F92)),0)))),"United States of America")</f>
        <v>India</v>
      </c>
      <c r="I92" s="108" t="str">
        <f t="array" ref="I92">IF(F92="","",IF(ISNUMBER(MATCH(TRUE,ISNUMBER(SEARCH($Q$2:$Q$51, $F92)),0))=TRUE,"",IF(ISNUMBER(MATCH(TRUE,ISNUMBER(SEARCH($S$2:$S$199, $F92)),0))=TRUE,"","미국 확인 필요")))</f>
        <v/>
      </c>
      <c r="S92" s="2" t="s">
        <v>357</v>
      </c>
      <c r="T92" s="17">
        <f t="shared" si="6"/>
        <v>0</v>
      </c>
      <c r="U92" s="17" t="str">
        <f>IF(T92=0,"",RANK(T92,T:T,0)+COUNTIF(T$1:T91,T92))</f>
        <v/>
      </c>
      <c r="V92" s="17">
        <f t="shared" si="7"/>
        <v>0</v>
      </c>
      <c r="W92" s="17" t="str">
        <f>IF(V92=0,"",RANK(V92,V:V,0)+COUNTIF(V$1:V91,V92))</f>
        <v/>
      </c>
    </row>
    <row r="93" spans="1:23">
      <c r="A93" s="37" t="s">
        <v>149</v>
      </c>
      <c r="B93" s="132">
        <v>68</v>
      </c>
      <c r="C93" s="108" t="str">
        <f t="array" ref="C93">IFERROR(IF(A93="","",IF(ISNUMBER(MATCH(TRUE,ISNUMBER(SEARCH($Q$2:$Q$51, $A93)),0))=TRUE,"United States of America",INDEX($S$2:$S$199,MATCH(TRUE,ISNUMBER(SEARCH($S$2:$S$199, $A93)),0)))),"United States of America")</f>
        <v>India</v>
      </c>
      <c r="D93" s="108" t="str">
        <f t="array" ref="D93">IF(A93="","",IF(ISNUMBER(MATCH(TRUE,ISNUMBER(SEARCH($Q$2:$Q$51, $A93)),0))=TRUE,"",IF(ISNUMBER(MATCH(TRUE,ISNUMBER(SEARCH($S$2:$S$199, $A93)),0))=TRUE,"","미국 확인 필요")))</f>
        <v/>
      </c>
      <c r="F93" s="37" t="s">
        <v>265</v>
      </c>
      <c r="G93" s="132">
        <v>23</v>
      </c>
      <c r="H93" s="108" t="str">
        <f t="array" ref="H93">IFERROR(IF(F93="","",IF(ISNUMBER(MATCH(TRUE,ISNUMBER(SEARCH($Q$2:$Q$51, $F93)),0))=TRUE,"United States of America",INDEX($S$2:$S$199,MATCH(TRUE,ISNUMBER(SEARCH($S$2:$S$199, $F93)),0)))),"United States of America")</f>
        <v>Netherlands</v>
      </c>
      <c r="I93" s="108" t="str">
        <f t="array" ref="I93">IF(F93="","",IF(ISNUMBER(MATCH(TRUE,ISNUMBER(SEARCH($Q$2:$Q$51, $F93)),0))=TRUE,"",IF(ISNUMBER(MATCH(TRUE,ISNUMBER(SEARCH($S$2:$S$199, $F93)),0))=TRUE,"","미국 확인 필요")))</f>
        <v/>
      </c>
      <c r="S93" s="2" t="s">
        <v>358</v>
      </c>
      <c r="T93" s="17">
        <f t="shared" si="6"/>
        <v>0</v>
      </c>
      <c r="U93" s="17" t="str">
        <f>IF(T93=0,"",RANK(T93,T:T,0)+COUNTIF(T$1:T92,T93))</f>
        <v/>
      </c>
      <c r="V93" s="17">
        <f t="shared" si="7"/>
        <v>0</v>
      </c>
      <c r="W93" s="17" t="str">
        <f>IF(V93=0,"",RANK(V93,V:V,0)+COUNTIF(V$1:V92,V93))</f>
        <v/>
      </c>
    </row>
    <row r="94" spans="1:23">
      <c r="A94" s="37" t="s">
        <v>311</v>
      </c>
      <c r="B94" s="132">
        <v>5</v>
      </c>
      <c r="C94" s="108" t="str">
        <f t="array" ref="C94">IFERROR(IF(A94="","",IF(ISNUMBER(MATCH(TRUE,ISNUMBER(SEARCH($Q$2:$Q$51, $A94)),0))=TRUE,"United States of America",INDEX($S$2:$S$199,MATCH(TRUE,ISNUMBER(SEARCH($S$2:$S$199, $A94)),0)))),"United States of America")</f>
        <v>India</v>
      </c>
      <c r="D94" s="108" t="str">
        <f t="array" ref="D94">IF(A94="","",IF(ISNUMBER(MATCH(TRUE,ISNUMBER(SEARCH($Q$2:$Q$51, $A94)),0))=TRUE,"",IF(ISNUMBER(MATCH(TRUE,ISNUMBER(SEARCH($S$2:$S$199, $A94)),0))=TRUE,"","미국 확인 필요")))</f>
        <v/>
      </c>
      <c r="F94" s="37" t="s">
        <v>576</v>
      </c>
      <c r="G94" s="132">
        <v>23</v>
      </c>
      <c r="H94" s="108" t="str">
        <f t="array" ref="H94">IFERROR(IF(F94="","",IF(ISNUMBER(MATCH(TRUE,ISNUMBER(SEARCH($Q$2:$Q$51, $F94)),0))=TRUE,"United States of America",INDEX($S$2:$S$199,MATCH(TRUE,ISNUMBER(SEARCH($S$2:$S$199, $F94)),0)))),"United States of America")</f>
        <v>Azerbaijan</v>
      </c>
      <c r="I94" s="108" t="str">
        <f t="array" ref="I94">IF(F94="","",IF(ISNUMBER(MATCH(TRUE,ISNUMBER(SEARCH($Q$2:$Q$51, $F94)),0))=TRUE,"",IF(ISNUMBER(MATCH(TRUE,ISNUMBER(SEARCH($S$2:$S$199, $F94)),0))=TRUE,"","미국 확인 필요")))</f>
        <v/>
      </c>
      <c r="S94" s="2" t="s">
        <v>359</v>
      </c>
      <c r="T94" s="17">
        <f t="shared" si="6"/>
        <v>0</v>
      </c>
      <c r="U94" s="17" t="str">
        <f>IF(T94=0,"",RANK(T94,T:T,0)+COUNTIF(T$1:T93,T94))</f>
        <v/>
      </c>
      <c r="V94" s="17">
        <f t="shared" si="7"/>
        <v>93</v>
      </c>
      <c r="W94" s="17">
        <f>IF(V94=0,"",RANK(V94,V:V,0)+COUNTIF(V$1:V93,V94))</f>
        <v>10</v>
      </c>
    </row>
    <row r="95" spans="1:23">
      <c r="A95" s="37" t="s">
        <v>753</v>
      </c>
      <c r="B95" s="132">
        <v>4</v>
      </c>
      <c r="C95" s="108" t="str">
        <f t="array" ref="C95">IFERROR(IF(A95="","",IF(ISNUMBER(MATCH(TRUE,ISNUMBER(SEARCH($Q$2:$Q$51, $A95)),0))=TRUE,"United States of America",INDEX($S$2:$S$199,MATCH(TRUE,ISNUMBER(SEARCH($S$2:$S$199, $A95)),0)))),"United States of America")</f>
        <v>Belgium</v>
      </c>
      <c r="D95" s="108" t="str">
        <f t="array" ref="D95">IF(A95="","",IF(ISNUMBER(MATCH(TRUE,ISNUMBER(SEARCH($Q$2:$Q$51, $A95)),0))=TRUE,"",IF(ISNUMBER(MATCH(TRUE,ISNUMBER(SEARCH($S$2:$S$199, $A95)),0))=TRUE,"","미국 확인 필요")))</f>
        <v/>
      </c>
      <c r="F95" s="37" t="s">
        <v>604</v>
      </c>
      <c r="G95" s="132">
        <v>22</v>
      </c>
      <c r="H95" s="108" t="str">
        <f t="array" ref="H95">IFERROR(IF(F95="","",IF(ISNUMBER(MATCH(TRUE,ISNUMBER(SEARCH($Q$2:$Q$51, $F95)),0))=TRUE,"United States of America",INDEX($S$2:$S$199,MATCH(TRUE,ISNUMBER(SEARCH($S$2:$S$199, $F95)),0)))),"United States of America")</f>
        <v>Tanzania</v>
      </c>
      <c r="I95" s="108" t="str">
        <f t="array" ref="I95">IF(F95="","",IF(ISNUMBER(MATCH(TRUE,ISNUMBER(SEARCH($Q$2:$Q$51, $F95)),0))=TRUE,"",IF(ISNUMBER(MATCH(TRUE,ISNUMBER(SEARCH($S$2:$S$199, $F95)),0))=TRUE,"","미국 확인 필요")))</f>
        <v/>
      </c>
      <c r="S95" s="2" t="s">
        <v>360</v>
      </c>
      <c r="T95" s="17">
        <f t="shared" si="6"/>
        <v>0</v>
      </c>
      <c r="U95" s="17" t="str">
        <f>IF(T95=0,"",RANK(T95,T:T,0)+COUNTIF(T$1:T94,T95))</f>
        <v/>
      </c>
      <c r="V95" s="17">
        <f t="shared" si="7"/>
        <v>0</v>
      </c>
      <c r="W95" s="17" t="str">
        <f>IF(V95=0,"",RANK(V95,V:V,0)+COUNTIF(V$1:V94,V95))</f>
        <v/>
      </c>
    </row>
    <row r="96" spans="1:23">
      <c r="A96" s="37" t="s">
        <v>298</v>
      </c>
      <c r="B96" s="132">
        <v>25</v>
      </c>
      <c r="C96" s="108" t="str">
        <f t="array" ref="C96">IFERROR(IF(A96="","",IF(ISNUMBER(MATCH(TRUE,ISNUMBER(SEARCH($Q$2:$Q$51, $A96)),0))=TRUE,"United States of America",INDEX($S$2:$S$199,MATCH(TRUE,ISNUMBER(SEARCH($S$2:$S$199, $A96)),0)))),"United States of America")</f>
        <v>Indonesia</v>
      </c>
      <c r="D96" s="108" t="str">
        <f t="array" ref="D96">IF(A96="","",IF(ISNUMBER(MATCH(TRUE,ISNUMBER(SEARCH($Q$2:$Q$51, $A96)),0))=TRUE,"",IF(ISNUMBER(MATCH(TRUE,ISNUMBER(SEARCH($S$2:$S$199, $A96)),0))=TRUE,"","미국 확인 필요")))</f>
        <v/>
      </c>
      <c r="F96" s="37" t="s">
        <v>579</v>
      </c>
      <c r="G96" s="132">
        <v>21</v>
      </c>
      <c r="H96" s="108" t="str">
        <f t="array" ref="H96">IFERROR(IF(F96="","",IF(ISNUMBER(MATCH(TRUE,ISNUMBER(SEARCH($Q$2:$Q$51, $F96)),0))=TRUE,"United States of America",INDEX($S$2:$S$199,MATCH(TRUE,ISNUMBER(SEARCH($S$2:$S$199, $F96)),0)))),"United States of America")</f>
        <v>Germany</v>
      </c>
      <c r="I96" s="108" t="str">
        <f t="array" ref="I96">IF(F96="","",IF(ISNUMBER(MATCH(TRUE,ISNUMBER(SEARCH($Q$2:$Q$51, $F96)),0))=TRUE,"",IF(ISNUMBER(MATCH(TRUE,ISNUMBER(SEARCH($S$2:$S$199, $F96)),0))=TRUE,"","미국 확인 필요")))</f>
        <v/>
      </c>
      <c r="S96" s="2" t="s">
        <v>361</v>
      </c>
      <c r="T96" s="17">
        <f t="shared" si="6"/>
        <v>0</v>
      </c>
      <c r="U96" s="17" t="str">
        <f>IF(T96=0,"",RANK(T96,T:T,0)+COUNTIF(T$1:T95,T96))</f>
        <v/>
      </c>
      <c r="V96" s="17">
        <f t="shared" si="7"/>
        <v>0</v>
      </c>
      <c r="W96" s="17" t="str">
        <f>IF(V96=0,"",RANK(V96,V:V,0)+COUNTIF(V$1:V95,V96))</f>
        <v/>
      </c>
    </row>
    <row r="97" spans="1:23">
      <c r="A97" s="37" t="s">
        <v>754</v>
      </c>
      <c r="B97" s="132">
        <v>4</v>
      </c>
      <c r="C97" s="108" t="str">
        <f t="array" ref="C97">IFERROR(IF(A97="","",IF(ISNUMBER(MATCH(TRUE,ISNUMBER(SEARCH($Q$2:$Q$51, $A97)),0))=TRUE,"United States of America",INDEX($S$2:$S$199,MATCH(TRUE,ISNUMBER(SEARCH($S$2:$S$199, $A97)),0)))),"United States of America")</f>
        <v>United States of America</v>
      </c>
      <c r="D97" s="108" t="str">
        <f t="array" ref="D97">IF(A97="","",IF(ISNUMBER(MATCH(TRUE,ISNUMBER(SEARCH($Q$2:$Q$51, $A97)),0))=TRUE,"",IF(ISNUMBER(MATCH(TRUE,ISNUMBER(SEARCH($S$2:$S$199, $A97)),0))=TRUE,"","미국 확인 필요")))</f>
        <v>미국 확인 필요</v>
      </c>
      <c r="F97" s="37" t="s">
        <v>719</v>
      </c>
      <c r="G97" s="132">
        <v>21</v>
      </c>
      <c r="H97" s="108" t="str">
        <f t="array" ref="H97">IFERROR(IF(F97="","",IF(ISNUMBER(MATCH(TRUE,ISNUMBER(SEARCH($Q$2:$Q$51, $F97)),0))=TRUE,"United States of America",INDEX($S$2:$S$199,MATCH(TRUE,ISNUMBER(SEARCH($S$2:$S$199, $F97)),0)))),"United States of America")</f>
        <v>Germany</v>
      </c>
      <c r="I97" s="108" t="str">
        <f t="array" ref="I97">IF(F97="","",IF(ISNUMBER(MATCH(TRUE,ISNUMBER(SEARCH($Q$2:$Q$51, $F97)),0))=TRUE,"",IF(ISNUMBER(MATCH(TRUE,ISNUMBER(SEARCH($S$2:$S$199, $F97)),0))=TRUE,"","미국 확인 필요")))</f>
        <v/>
      </c>
      <c r="S97" s="2" t="s">
        <v>363</v>
      </c>
      <c r="T97" s="17">
        <f t="shared" si="6"/>
        <v>0</v>
      </c>
      <c r="U97" s="17" t="str">
        <f>IF(T97=0,"",RANK(T97,T:T,0)+COUNTIF(T$1:T96,T97))</f>
        <v/>
      </c>
      <c r="V97" s="17">
        <f t="shared" si="7"/>
        <v>0</v>
      </c>
      <c r="W97" s="17" t="str">
        <f>IF(V97=0,"",RANK(V97,V:V,0)+COUNTIF(V$1:V96,V97))</f>
        <v/>
      </c>
    </row>
    <row r="98" spans="1:23">
      <c r="A98" s="37" t="s">
        <v>755</v>
      </c>
      <c r="B98" s="132">
        <v>4</v>
      </c>
      <c r="C98" s="108" t="str">
        <f t="array" ref="C98">IFERROR(IF(A98="","",IF(ISNUMBER(MATCH(TRUE,ISNUMBER(SEARCH($Q$2:$Q$51, $A98)),0))=TRUE,"United States of America",INDEX($S$2:$S$199,MATCH(TRUE,ISNUMBER(SEARCH($S$2:$S$199, $A98)),0)))),"United States of America")</f>
        <v>United Kingdom</v>
      </c>
      <c r="D98" s="108" t="str">
        <f t="array" ref="D98">IF(A98="","",IF(ISNUMBER(MATCH(TRUE,ISNUMBER(SEARCH($Q$2:$Q$51, $A98)),0))=TRUE,"",IF(ISNUMBER(MATCH(TRUE,ISNUMBER(SEARCH($S$2:$S$199, $A98)),0))=TRUE,"","미국 확인 필요")))</f>
        <v/>
      </c>
      <c r="F98" s="37" t="s">
        <v>256</v>
      </c>
      <c r="G98" s="132">
        <v>21</v>
      </c>
      <c r="H98" s="108" t="str">
        <f t="array" ref="H98">IFERROR(IF(F98="","",IF(ISNUMBER(MATCH(TRUE,ISNUMBER(SEARCH($Q$2:$Q$51, $F98)),0))=TRUE,"United States of America",INDEX($S$2:$S$199,MATCH(TRUE,ISNUMBER(SEARCH($S$2:$S$199, $F98)),0)))),"United States of America")</f>
        <v>Germany</v>
      </c>
      <c r="I98" s="108" t="str">
        <f t="array" ref="I98">IF(F98="","",IF(ISNUMBER(MATCH(TRUE,ISNUMBER(SEARCH($Q$2:$Q$51, $F98)),0))=TRUE,"",IF(ISNUMBER(MATCH(TRUE,ISNUMBER(SEARCH($S$2:$S$199, $F98)),0))=TRUE,"","미국 확인 필요")))</f>
        <v/>
      </c>
      <c r="S98" s="2" t="s">
        <v>177</v>
      </c>
      <c r="T98" s="17">
        <f t="shared" si="6"/>
        <v>0</v>
      </c>
      <c r="U98" s="17" t="str">
        <f>IF(T98=0,"",RANK(T98,T:T,0)+COUNTIF(T$1:T97,T98))</f>
        <v/>
      </c>
      <c r="V98" s="17">
        <f t="shared" si="7"/>
        <v>0</v>
      </c>
      <c r="W98" s="17" t="str">
        <f>IF(V98=0,"",RANK(V98,V:V,0)+COUNTIF(V$1:V97,V98))</f>
        <v/>
      </c>
    </row>
    <row r="99" spans="1:23">
      <c r="A99" s="37" t="s">
        <v>756</v>
      </c>
      <c r="B99" s="132">
        <v>9</v>
      </c>
      <c r="C99" s="108" t="str">
        <f t="array" ref="C99">IFERROR(IF(A99="","",IF(ISNUMBER(MATCH(TRUE,ISNUMBER(SEARCH($Q$2:$Q$51, $A99)),0))=TRUE,"United States of America",INDEX($S$2:$S$199,MATCH(TRUE,ISNUMBER(SEARCH($S$2:$S$199, $A99)),0)))),"United States of America")</f>
        <v>Vietnam</v>
      </c>
      <c r="D99" s="108" t="str">
        <f t="array" ref="D99">IF(A99="","",IF(ISNUMBER(MATCH(TRUE,ISNUMBER(SEARCH($Q$2:$Q$51, $A99)),0))=TRUE,"",IF(ISNUMBER(MATCH(TRUE,ISNUMBER(SEARCH($S$2:$S$199, $A99)),0))=TRUE,"","미국 확인 필요")))</f>
        <v/>
      </c>
      <c r="F99" s="37" t="s">
        <v>573</v>
      </c>
      <c r="G99" s="132">
        <v>20</v>
      </c>
      <c r="H99" s="108" t="str">
        <f t="array" ref="H99">IFERROR(IF(F99="","",IF(ISNUMBER(MATCH(TRUE,ISNUMBER(SEARCH($Q$2:$Q$51, $F99)),0))=TRUE,"United States of America",INDEX($S$2:$S$199,MATCH(TRUE,ISNUMBER(SEARCH($S$2:$S$199, $F99)),0)))),"United States of America")</f>
        <v>India</v>
      </c>
      <c r="I99" s="108" t="str">
        <f t="array" ref="I99">IF(F99="","",IF(ISNUMBER(MATCH(TRUE,ISNUMBER(SEARCH($Q$2:$Q$51, $F99)),0))=TRUE,"",IF(ISNUMBER(MATCH(TRUE,ISNUMBER(SEARCH($S$2:$S$199, $F99)),0))=TRUE,"","미국 확인 필요")))</f>
        <v/>
      </c>
      <c r="S99" s="2" t="s">
        <v>365</v>
      </c>
      <c r="T99" s="17">
        <f t="shared" si="6"/>
        <v>0</v>
      </c>
      <c r="U99" s="17" t="str">
        <f>IF(T99=0,"",RANK(T99,T:T,0)+COUNTIF(T$1:T98,T99))</f>
        <v/>
      </c>
      <c r="V99" s="17">
        <f t="shared" si="7"/>
        <v>0</v>
      </c>
      <c r="W99" s="17" t="str">
        <f>IF(V99=0,"",RANK(V99,V:V,0)+COUNTIF(V$1:V98,V99))</f>
        <v/>
      </c>
    </row>
    <row r="100" spans="1:23">
      <c r="A100" s="37" t="s">
        <v>341</v>
      </c>
      <c r="B100" s="132">
        <v>10</v>
      </c>
      <c r="C100" s="108" t="str">
        <f t="array" ref="C100">IFERROR(IF(A100="","",IF(ISNUMBER(MATCH(TRUE,ISNUMBER(SEARCH($Q$2:$Q$51, $A100)),0))=TRUE,"United States of America",INDEX($S$2:$S$199,MATCH(TRUE,ISNUMBER(SEARCH($S$2:$S$199, $A100)),0)))),"United States of America")</f>
        <v>United States of America</v>
      </c>
      <c r="D100" s="108" t="str">
        <f t="array" ref="D100">IF(A100="","",IF(ISNUMBER(MATCH(TRUE,ISNUMBER(SEARCH($Q$2:$Q$51, $A100)),0))=TRUE,"",IF(ISNUMBER(MATCH(TRUE,ISNUMBER(SEARCH($S$2:$S$199, $A100)),0))=TRUE,"","미국 확인 필요")))</f>
        <v>미국 확인 필요</v>
      </c>
      <c r="F100" s="37" t="s">
        <v>293</v>
      </c>
      <c r="G100" s="132">
        <v>20</v>
      </c>
      <c r="H100" s="108" t="str">
        <f t="array" ref="H100">IFERROR(IF(F100="","",IF(ISNUMBER(MATCH(TRUE,ISNUMBER(SEARCH($Q$2:$Q$51, $F100)),0))=TRUE,"United States of America",INDEX($S$2:$S$199,MATCH(TRUE,ISNUMBER(SEARCH($S$2:$S$199, $F100)),0)))),"United States of America")</f>
        <v>United States of America</v>
      </c>
      <c r="I100" s="108" t="str">
        <f t="array" ref="I100">IF(F100="","",IF(ISNUMBER(MATCH(TRUE,ISNUMBER(SEARCH($Q$2:$Q$51, $F100)),0))=TRUE,"",IF(ISNUMBER(MATCH(TRUE,ISNUMBER(SEARCH($S$2:$S$199, $F100)),0))=TRUE,"","미국 확인 필요")))</f>
        <v>미국 확인 필요</v>
      </c>
      <c r="S100" s="2" t="s">
        <v>366</v>
      </c>
      <c r="T100" s="17">
        <f t="shared" si="6"/>
        <v>5</v>
      </c>
      <c r="U100" s="17">
        <f>IF(T100=0,"",RANK(T100,T:T,0)+COUNTIF(T$1:T99,T100))</f>
        <v>28</v>
      </c>
      <c r="V100" s="17">
        <f t="shared" si="7"/>
        <v>0</v>
      </c>
      <c r="W100" s="17" t="str">
        <f>IF(V100=0,"",RANK(V100,V:V,0)+COUNTIF(V$1:V99,V100))</f>
        <v/>
      </c>
    </row>
    <row r="101" spans="1:23">
      <c r="A101" s="37" t="s">
        <v>757</v>
      </c>
      <c r="B101" s="132">
        <v>3</v>
      </c>
      <c r="C101" s="108" t="str">
        <f t="array" ref="C101">IFERROR(IF(A101="","",IF(ISNUMBER(MATCH(TRUE,ISNUMBER(SEARCH($Q$2:$Q$51, $A101)),0))=TRUE,"United States of America",INDEX($S$2:$S$199,MATCH(TRUE,ISNUMBER(SEARCH($S$2:$S$199, $A101)),0)))),"United States of America")</f>
        <v>Canada</v>
      </c>
      <c r="D101" s="108" t="str">
        <f t="array" ref="D101">IF(A101="","",IF(ISNUMBER(MATCH(TRUE,ISNUMBER(SEARCH($Q$2:$Q$51, $A101)),0))=TRUE,"",IF(ISNUMBER(MATCH(TRUE,ISNUMBER(SEARCH($S$2:$S$199, $A101)),0))=TRUE,"","미국 확인 필요")))</f>
        <v/>
      </c>
      <c r="F101" s="37" t="s">
        <v>574</v>
      </c>
      <c r="G101" s="132">
        <v>19</v>
      </c>
      <c r="H101" s="108" t="str">
        <f t="array" ref="H101">IFERROR(IF(F101="","",IF(ISNUMBER(MATCH(TRUE,ISNUMBER(SEARCH($Q$2:$Q$51, $F101)),0))=TRUE,"United States of America",INDEX($S$2:$S$199,MATCH(TRUE,ISNUMBER(SEARCH($S$2:$S$199, $F101)),0)))),"United States of America")</f>
        <v>Denmark</v>
      </c>
      <c r="I101" s="108" t="str">
        <f t="array" ref="I101">IF(F101="","",IF(ISNUMBER(MATCH(TRUE,ISNUMBER(SEARCH($Q$2:$Q$51, $F101)),0))=TRUE,"",IF(ISNUMBER(MATCH(TRUE,ISNUMBER(SEARCH($S$2:$S$199, $F101)),0))=TRUE,"","미국 확인 필요")))</f>
        <v/>
      </c>
      <c r="S101" s="2" t="s">
        <v>367</v>
      </c>
      <c r="T101" s="17">
        <f t="shared" si="6"/>
        <v>0</v>
      </c>
      <c r="U101" s="17" t="str">
        <f>IF(T101=0,"",RANK(T101,T:T,0)+COUNTIF(T$1:T100,T101))</f>
        <v/>
      </c>
      <c r="V101" s="17">
        <f t="shared" si="7"/>
        <v>0</v>
      </c>
      <c r="W101" s="17" t="str">
        <f>IF(V101=0,"",RANK(V101,V:V,0)+COUNTIF(V$1:V100,V101))</f>
        <v/>
      </c>
    </row>
    <row r="102" spans="1:23">
      <c r="A102" s="37" t="s">
        <v>165</v>
      </c>
      <c r="B102" s="132">
        <v>11</v>
      </c>
      <c r="C102" s="108" t="str">
        <f t="array" ref="C102">IFERROR(IF(A102="","",IF(ISNUMBER(MATCH(TRUE,ISNUMBER(SEARCH($Q$2:$Q$51, $A102)),0))=TRUE,"United States of America",INDEX($S$2:$S$199,MATCH(TRUE,ISNUMBER(SEARCH($S$2:$S$199, $A102)),0)))),"United States of America")</f>
        <v>China</v>
      </c>
      <c r="D102" s="108" t="str">
        <f t="array" ref="D102">IF(A102="","",IF(ISNUMBER(MATCH(TRUE,ISNUMBER(SEARCH($Q$2:$Q$51, $A102)),0))=TRUE,"",IF(ISNUMBER(MATCH(TRUE,ISNUMBER(SEARCH($S$2:$S$199, $A102)),0))=TRUE,"","미국 확인 필요")))</f>
        <v/>
      </c>
      <c r="H102" s="108" t="str">
        <f t="array" ref="H102">IFERROR(IF(F102="","",IF(ISNUMBER(MATCH(TRUE,ISNUMBER(SEARCH($Q$2:$Q$51, $F102)),0))=TRUE,"United States of America",INDEX($S$2:$S$199,MATCH(TRUE,ISNUMBER(SEARCH($S$2:$S$199, $F102)),0)))),"United States of America")</f>
        <v/>
      </c>
      <c r="I102" s="108" t="str">
        <f t="array" ref="I102">IF(F102="","",IF(ISNUMBER(MATCH(TRUE,ISNUMBER(SEARCH($Q$2:$Q$51, $F102)),0))=TRUE,"",IF(ISNUMBER(MATCH(TRUE,ISNUMBER(SEARCH($S$2:$S$199, $F102)),0))=TRUE,"","미국 확인 필요")))</f>
        <v/>
      </c>
      <c r="S102" s="2" t="s">
        <v>368</v>
      </c>
      <c r="T102" s="17">
        <f t="shared" si="6"/>
        <v>0</v>
      </c>
      <c r="U102" s="17" t="str">
        <f>IF(T102=0,"",RANK(T102,T:T,0)+COUNTIF(T$1:T101,T102))</f>
        <v/>
      </c>
      <c r="V102" s="17">
        <f t="shared" si="7"/>
        <v>0</v>
      </c>
      <c r="W102" s="17" t="str">
        <f>IF(V102=0,"",RANK(V102,V:V,0)+COUNTIF(V$1:V101,V102))</f>
        <v/>
      </c>
    </row>
    <row r="103" spans="1:23">
      <c r="A103" s="37" t="s">
        <v>172</v>
      </c>
      <c r="B103" s="132">
        <v>40</v>
      </c>
      <c r="C103" s="108" t="str">
        <f t="array" ref="C103">IFERROR(IF(A103="","",IF(ISNUMBER(MATCH(TRUE,ISNUMBER(SEARCH($Q$2:$Q$51, $A103)),0))=TRUE,"United States of America",INDEX($S$2:$S$199,MATCH(TRUE,ISNUMBER(SEARCH($S$2:$S$199, $A103)),0)))),"United States of America")</f>
        <v>India</v>
      </c>
      <c r="D103" s="108" t="str">
        <f t="array" ref="D103">IF(A103="","",IF(ISNUMBER(MATCH(TRUE,ISNUMBER(SEARCH($Q$2:$Q$51, $A103)),0))=TRUE,"",IF(ISNUMBER(MATCH(TRUE,ISNUMBER(SEARCH($S$2:$S$199, $A103)),0))=TRUE,"","미국 확인 필요")))</f>
        <v/>
      </c>
      <c r="H103" s="108" t="str">
        <f t="array" ref="H103">IFERROR(IF(F103="","",IF(ISNUMBER(MATCH(TRUE,ISNUMBER(SEARCH($Q$2:$Q$51, $F103)),0))=TRUE,"United States of America",INDEX($S$2:$S$199,MATCH(TRUE,ISNUMBER(SEARCH($S$2:$S$199, $F103)),0)))),"United States of America")</f>
        <v/>
      </c>
      <c r="I103" s="108" t="str">
        <f t="array" ref="I103">IF(F103="","",IF(ISNUMBER(MATCH(TRUE,ISNUMBER(SEARCH($Q$2:$Q$51, $F103)),0))=TRUE,"",IF(ISNUMBER(MATCH(TRUE,ISNUMBER(SEARCH($S$2:$S$199, $F103)),0))=TRUE,"","미국 확인 필요")))</f>
        <v/>
      </c>
      <c r="S103" s="2" t="s">
        <v>369</v>
      </c>
      <c r="T103" s="17">
        <f t="shared" si="6"/>
        <v>0</v>
      </c>
      <c r="U103" s="17" t="str">
        <f>IF(T103=0,"",RANK(T103,T:T,0)+COUNTIF(T$1:T102,T103))</f>
        <v/>
      </c>
      <c r="V103" s="17">
        <f t="shared" si="7"/>
        <v>0</v>
      </c>
      <c r="W103" s="17" t="str">
        <f>IF(V103=0,"",RANK(V103,V:V,0)+COUNTIF(V$1:V102,V103))</f>
        <v/>
      </c>
    </row>
    <row r="104" spans="1:23">
      <c r="A104" s="37" t="s">
        <v>587</v>
      </c>
      <c r="B104" s="132">
        <v>10</v>
      </c>
      <c r="C104" s="108" t="str">
        <f t="array" ref="C104">IFERROR(IF(A104="","",IF(ISNUMBER(MATCH(TRUE,ISNUMBER(SEARCH($Q$2:$Q$51, $A104)),0))=TRUE,"United States of America",INDEX($S$2:$S$199,MATCH(TRUE,ISNUMBER(SEARCH($S$2:$S$199, $A104)),0)))),"United States of America")</f>
        <v>United States of America</v>
      </c>
      <c r="D104" s="108" t="str">
        <f t="array" ref="D104">IF(A104="","",IF(ISNUMBER(MATCH(TRUE,ISNUMBER(SEARCH($Q$2:$Q$51, $A104)),0))=TRUE,"",IF(ISNUMBER(MATCH(TRUE,ISNUMBER(SEARCH($S$2:$S$199, $A104)),0))=TRUE,"","미국 확인 필요")))</f>
        <v>미국 확인 필요</v>
      </c>
      <c r="H104" s="108" t="str">
        <f t="array" ref="H104">IFERROR(IF(F104="","",IF(ISNUMBER(MATCH(TRUE,ISNUMBER(SEARCH($Q$2:$Q$51, $F104)),0))=TRUE,"United States of America",INDEX($S$2:$S$199,MATCH(TRUE,ISNUMBER(SEARCH($S$2:$S$199, $F104)),0)))),"United States of America")</f>
        <v/>
      </c>
      <c r="I104" s="108" t="str">
        <f t="array" ref="I104">IF(F104="","",IF(ISNUMBER(MATCH(TRUE,ISNUMBER(SEARCH($Q$2:$Q$51, $F104)),0))=TRUE,"",IF(ISNUMBER(MATCH(TRUE,ISNUMBER(SEARCH($S$2:$S$199, $F104)),0))=TRUE,"","미국 확인 필요")))</f>
        <v/>
      </c>
      <c r="S104" s="2" t="s">
        <v>370</v>
      </c>
      <c r="T104" s="17">
        <f t="shared" si="6"/>
        <v>0</v>
      </c>
      <c r="U104" s="17" t="str">
        <f>IF(T104=0,"",RANK(T104,T:T,0)+COUNTIF(T$1:T103,T104))</f>
        <v/>
      </c>
      <c r="V104" s="17">
        <f t="shared" si="7"/>
        <v>0</v>
      </c>
      <c r="W104" s="17" t="str">
        <f>IF(V104=0,"",RANK(V104,V:V,0)+COUNTIF(V$1:V103,V104))</f>
        <v/>
      </c>
    </row>
    <row r="105" spans="1:23">
      <c r="A105" s="37" t="s">
        <v>758</v>
      </c>
      <c r="B105" s="132">
        <v>10</v>
      </c>
      <c r="C105" s="108" t="str">
        <f t="array" ref="C105">IFERROR(IF(A105="","",IF(ISNUMBER(MATCH(TRUE,ISNUMBER(SEARCH($Q$2:$Q$51, $A105)),0))=TRUE,"United States of America",INDEX($S$2:$S$199,MATCH(TRUE,ISNUMBER(SEARCH($S$2:$S$199, $A105)),0)))),"United States of America")</f>
        <v>India</v>
      </c>
      <c r="D105" s="108" t="str">
        <f t="array" ref="D105">IF(A105="","",IF(ISNUMBER(MATCH(TRUE,ISNUMBER(SEARCH($Q$2:$Q$51, $A105)),0))=TRUE,"",IF(ISNUMBER(MATCH(TRUE,ISNUMBER(SEARCH($S$2:$S$199, $A105)),0))=TRUE,"","미국 확인 필요")))</f>
        <v/>
      </c>
      <c r="H105" s="108" t="str">
        <f t="array" ref="H105">IFERROR(IF(F105="","",IF(ISNUMBER(MATCH(TRUE,ISNUMBER(SEARCH($Q$2:$Q$51, $F105)),0))=TRUE,"United States of America",INDEX($S$2:$S$199,MATCH(TRUE,ISNUMBER(SEARCH($S$2:$S$199, $F105)),0)))),"United States of America")</f>
        <v/>
      </c>
      <c r="I105" s="108" t="str">
        <f t="array" ref="I105">IF(F105="","",IF(ISNUMBER(MATCH(TRUE,ISNUMBER(SEARCH($Q$2:$Q$51, $F105)),0))=TRUE,"",IF(ISNUMBER(MATCH(TRUE,ISNUMBER(SEARCH($S$2:$S$199, $F105)),0))=TRUE,"","미국 확인 필요")))</f>
        <v/>
      </c>
      <c r="S105" s="2" t="s">
        <v>371</v>
      </c>
      <c r="T105" s="17">
        <f t="shared" si="6"/>
        <v>0</v>
      </c>
      <c r="U105" s="17" t="str">
        <f>IF(T105=0,"",RANK(T105,T:T,0)+COUNTIF(T$1:T104,T105))</f>
        <v/>
      </c>
      <c r="V105" s="17">
        <f t="shared" si="7"/>
        <v>0</v>
      </c>
      <c r="W105" s="17" t="str">
        <f>IF(V105=0,"",RANK(V105,V:V,0)+COUNTIF(V$1:V104,V105))</f>
        <v/>
      </c>
    </row>
    <row r="106" spans="1:23">
      <c r="C106" s="108" t="str">
        <f t="array" ref="C106">IFERROR(IF(A106="","",IF(ISNUMBER(MATCH(TRUE,ISNUMBER(SEARCH($Q$2:$Q$51, $A106)),0))=TRUE,"United States of America",INDEX($S$2:$S$199,MATCH(TRUE,ISNUMBER(SEARCH($S$2:$S$199, $A106)),0)))),"United States of America")</f>
        <v/>
      </c>
      <c r="D106" s="108" t="str">
        <f t="array" ref="D106">IF(A106="","",IF(ISNUMBER(MATCH(TRUE,ISNUMBER(SEARCH($Q$2:$Q$51, $A106)),0))=TRUE,"",IF(ISNUMBER(MATCH(TRUE,ISNUMBER(SEARCH($S$2:$S$199, $A106)),0))=TRUE,"","미국 확인 필요")))</f>
        <v/>
      </c>
      <c r="H106" s="108" t="str">
        <f t="array" ref="H106">IFERROR(IF(F106="","",IF(ISNUMBER(MATCH(TRUE,ISNUMBER(SEARCH($Q$2:$Q$51, $F106)),0))=TRUE,"United States of America",INDEX($S$2:$S$199,MATCH(TRUE,ISNUMBER(SEARCH($S$2:$S$199, $F106)),0)))),"United States of America")</f>
        <v/>
      </c>
      <c r="I106" s="108" t="str">
        <f t="array" ref="I106">IF(F106="","",IF(ISNUMBER(MATCH(TRUE,ISNUMBER(SEARCH($Q$2:$Q$51, $F106)),0))=TRUE,"",IF(ISNUMBER(MATCH(TRUE,ISNUMBER(SEARCH($S$2:$S$199, $F106)),0))=TRUE,"","미국 확인 필요")))</f>
        <v/>
      </c>
      <c r="S106" s="2" t="s">
        <v>372</v>
      </c>
      <c r="T106" s="17">
        <f t="shared" si="6"/>
        <v>0</v>
      </c>
      <c r="U106" s="17" t="str">
        <f>IF(T106=0,"",RANK(T106,T:T,0)+COUNTIF(T$1:T105,T106))</f>
        <v/>
      </c>
      <c r="V106" s="17">
        <f t="shared" si="7"/>
        <v>0</v>
      </c>
      <c r="W106" s="17" t="str">
        <f>IF(V106=0,"",RANK(V106,V:V,0)+COUNTIF(V$1:V105,V106))</f>
        <v/>
      </c>
    </row>
    <row r="107" spans="1:23">
      <c r="C107" s="108" t="str">
        <f t="array" ref="C107">IFERROR(IF(A107="","",IF(ISNUMBER(MATCH(TRUE,ISNUMBER(SEARCH($Q$2:$Q$51, $A107)),0))=TRUE,"United States of America",INDEX($S$2:$S$199,MATCH(TRUE,ISNUMBER(SEARCH($S$2:$S$199, $A107)),0)))),"United States of America")</f>
        <v/>
      </c>
      <c r="D107" s="108" t="str">
        <f t="array" ref="D107">IF(A107="","",IF(ISNUMBER(MATCH(TRUE,ISNUMBER(SEARCH($Q$2:$Q$51, $A107)),0))=TRUE,"",IF(ISNUMBER(MATCH(TRUE,ISNUMBER(SEARCH($S$2:$S$199, $A107)),0))=TRUE,"","미국 확인 필요")))</f>
        <v/>
      </c>
      <c r="H107" s="108" t="str">
        <f t="array" ref="H107">IFERROR(IF(F107="","",IF(ISNUMBER(MATCH(TRUE,ISNUMBER(SEARCH($Q$2:$Q$51, $F107)),0))=TRUE,"United States of America",INDEX($S$2:$S$199,MATCH(TRUE,ISNUMBER(SEARCH($S$2:$S$199, $F107)),0)))),"United States of America")</f>
        <v/>
      </c>
      <c r="I107" s="108" t="str">
        <f t="array" ref="I107">IF(F107="","",IF(ISNUMBER(MATCH(TRUE,ISNUMBER(SEARCH($Q$2:$Q$51, $F107)),0))=TRUE,"",IF(ISNUMBER(MATCH(TRUE,ISNUMBER(SEARCH($S$2:$S$199, $F107)),0))=TRUE,"","미국 확인 필요")))</f>
        <v/>
      </c>
      <c r="S107" s="2" t="s">
        <v>373</v>
      </c>
      <c r="T107" s="17">
        <f t="shared" si="6"/>
        <v>0</v>
      </c>
      <c r="U107" s="17" t="str">
        <f>IF(T107=0,"",RANK(T107,T:T,0)+COUNTIF(T$1:T106,T107))</f>
        <v/>
      </c>
      <c r="V107" s="17">
        <f t="shared" si="7"/>
        <v>0</v>
      </c>
      <c r="W107" s="17" t="str">
        <f>IF(V107=0,"",RANK(V107,V:V,0)+COUNTIF(V$1:V106,V107))</f>
        <v/>
      </c>
    </row>
    <row r="108" spans="1:23">
      <c r="C108" s="108" t="str">
        <f t="array" ref="C108">IFERROR(IF(A108="","",IF(ISNUMBER(MATCH(TRUE,ISNUMBER(SEARCH($Q$2:$Q$51, $A108)),0))=TRUE,"United States of America",INDEX($S$2:$S$199,MATCH(TRUE,ISNUMBER(SEARCH($S$2:$S$199, $A108)),0)))),"United States of America")</f>
        <v/>
      </c>
      <c r="D108" s="108" t="str">
        <f t="array" ref="D108">IF(A108="","",IF(ISNUMBER(MATCH(TRUE,ISNUMBER(SEARCH($Q$2:$Q$51, $A108)),0))=TRUE,"",IF(ISNUMBER(MATCH(TRUE,ISNUMBER(SEARCH($S$2:$S$199, $A108)),0))=TRUE,"","미국 확인 필요")))</f>
        <v/>
      </c>
      <c r="H108" s="108" t="str">
        <f t="array" ref="H108">IFERROR(IF(F108="","",IF(ISNUMBER(MATCH(TRUE,ISNUMBER(SEARCH($Q$2:$Q$51, $F108)),0))=TRUE,"United States of America",INDEX($S$2:$S$199,MATCH(TRUE,ISNUMBER(SEARCH($S$2:$S$199, $F108)),0)))),"United States of America")</f>
        <v/>
      </c>
      <c r="I108" s="108" t="str">
        <f t="array" ref="I108">IF(F108="","",IF(ISNUMBER(MATCH(TRUE,ISNUMBER(SEARCH($Q$2:$Q$51, $F108)),0))=TRUE,"",IF(ISNUMBER(MATCH(TRUE,ISNUMBER(SEARCH($S$2:$S$199, $F108)),0))=TRUE,"","미국 확인 필요")))</f>
        <v/>
      </c>
      <c r="S108" s="2" t="s">
        <v>374</v>
      </c>
      <c r="T108" s="17">
        <f t="shared" si="6"/>
        <v>0</v>
      </c>
      <c r="U108" s="17" t="str">
        <f>IF(T108=0,"",RANK(T108,T:T,0)+COUNTIF(T$1:T107,T108))</f>
        <v/>
      </c>
      <c r="V108" s="17">
        <f t="shared" si="7"/>
        <v>0</v>
      </c>
      <c r="W108" s="17" t="str">
        <f>IF(V108=0,"",RANK(V108,V:V,0)+COUNTIF(V$1:V107,V108))</f>
        <v/>
      </c>
    </row>
    <row r="109" spans="1:23">
      <c r="C109" s="108" t="str">
        <f t="array" ref="C109">IFERROR(IF(A109="","",IF(ISNUMBER(MATCH(TRUE,ISNUMBER(SEARCH($Q$2:$Q$51, $A109)),0))=TRUE,"United States of America",INDEX($S$2:$S$199,MATCH(TRUE,ISNUMBER(SEARCH($S$2:$S$199, $A109)),0)))),"United States of America")</f>
        <v/>
      </c>
      <c r="D109" s="108" t="str">
        <f t="array" ref="D109">IF(A109="","",IF(ISNUMBER(MATCH(TRUE,ISNUMBER(SEARCH($Q$2:$Q$51, $A109)),0))=TRUE,"",IF(ISNUMBER(MATCH(TRUE,ISNUMBER(SEARCH($S$2:$S$199, $A109)),0))=TRUE,"","미국 확인 필요")))</f>
        <v/>
      </c>
      <c r="H109" s="108" t="str">
        <f t="array" ref="H109">IFERROR(IF(F109="","",IF(ISNUMBER(MATCH(TRUE,ISNUMBER(SEARCH($Q$2:$Q$51, $F109)),0))=TRUE,"United States of America",INDEX($S$2:$S$199,MATCH(TRUE,ISNUMBER(SEARCH($S$2:$S$199, $F109)),0)))),"United States of America")</f>
        <v/>
      </c>
      <c r="I109" s="108" t="str">
        <f t="array" ref="I109">IF(F109="","",IF(ISNUMBER(MATCH(TRUE,ISNUMBER(SEARCH($Q$2:$Q$51, $F109)),0))=TRUE,"",IF(ISNUMBER(MATCH(TRUE,ISNUMBER(SEARCH($S$2:$S$199, $F109)),0))=TRUE,"","미국 확인 필요")))</f>
        <v/>
      </c>
      <c r="S109" s="2" t="s">
        <v>375</v>
      </c>
      <c r="T109" s="17">
        <f t="shared" si="6"/>
        <v>0</v>
      </c>
      <c r="U109" s="17" t="str">
        <f>IF(T109=0,"",RANK(T109,T:T,0)+COUNTIF(T$1:T108,T109))</f>
        <v/>
      </c>
      <c r="V109" s="17">
        <f t="shared" si="7"/>
        <v>0</v>
      </c>
      <c r="W109" s="17" t="str">
        <f>IF(V109=0,"",RANK(V109,V:V,0)+COUNTIF(V$1:V108,V109))</f>
        <v/>
      </c>
    </row>
    <row r="110" spans="1:23">
      <c r="C110" s="108" t="str">
        <f t="array" ref="C110">IFERROR(IF(A110="","",IF(ISNUMBER(MATCH(TRUE,ISNUMBER(SEARCH($Q$2:$Q$51, $A110)),0))=TRUE,"United States of America",INDEX($S$2:$S$199,MATCH(TRUE,ISNUMBER(SEARCH($S$2:$S$199, $A110)),0)))),"United States of America")</f>
        <v/>
      </c>
      <c r="D110" s="108" t="str">
        <f t="array" ref="D110">IF(A110="","",IF(ISNUMBER(MATCH(TRUE,ISNUMBER(SEARCH($Q$2:$Q$51, $A110)),0))=TRUE,"",IF(ISNUMBER(MATCH(TRUE,ISNUMBER(SEARCH($S$2:$S$199, $A110)),0))=TRUE,"","미국 확인 필요")))</f>
        <v/>
      </c>
      <c r="H110" s="108" t="str">
        <f t="array" ref="H110">IFERROR(IF(F110="","",IF(ISNUMBER(MATCH(TRUE,ISNUMBER(SEARCH($Q$2:$Q$51, $F110)),0))=TRUE,"United States of America",INDEX($S$2:$S$199,MATCH(TRUE,ISNUMBER(SEARCH($S$2:$S$199, $F110)),0)))),"United States of America")</f>
        <v/>
      </c>
      <c r="I110" s="108" t="str">
        <f t="array" ref="I110">IF(F110="","",IF(ISNUMBER(MATCH(TRUE,ISNUMBER(SEARCH($Q$2:$Q$51, $F110)),0))=TRUE,"",IF(ISNUMBER(MATCH(TRUE,ISNUMBER(SEARCH($S$2:$S$199, $F110)),0))=TRUE,"","미국 확인 필요")))</f>
        <v/>
      </c>
      <c r="S110" s="2" t="s">
        <v>376</v>
      </c>
      <c r="T110" s="17">
        <f t="shared" si="6"/>
        <v>0</v>
      </c>
      <c r="U110" s="17" t="str">
        <f>IF(T110=0,"",RANK(T110,T:T,0)+COUNTIF(T$1:T109,T110))</f>
        <v/>
      </c>
      <c r="V110" s="17">
        <f t="shared" si="7"/>
        <v>0</v>
      </c>
      <c r="W110" s="17" t="str">
        <f>IF(V110=0,"",RANK(V110,V:V,0)+COUNTIF(V$1:V109,V110))</f>
        <v/>
      </c>
    </row>
    <row r="111" spans="1:23">
      <c r="C111" s="108" t="str">
        <f t="array" ref="C111">IFERROR(IF(A111="","",IF(ISNUMBER(MATCH(TRUE,ISNUMBER(SEARCH($Q$2:$Q$51, $A111)),0))=TRUE,"United States of America",INDEX($S$2:$S$199,MATCH(TRUE,ISNUMBER(SEARCH($S$2:$S$199, $A111)),0)))),"United States of America")</f>
        <v/>
      </c>
      <c r="D111" s="108" t="str">
        <f t="array" ref="D111">IF(A111="","",IF(ISNUMBER(MATCH(TRUE,ISNUMBER(SEARCH($Q$2:$Q$51, $A111)),0))=TRUE,"",IF(ISNUMBER(MATCH(TRUE,ISNUMBER(SEARCH($S$2:$S$199, $A111)),0))=TRUE,"","미국 확인 필요")))</f>
        <v/>
      </c>
      <c r="H111" s="108" t="str">
        <f t="array" ref="H111">IFERROR(IF(F111="","",IF(ISNUMBER(MATCH(TRUE,ISNUMBER(SEARCH($Q$2:$Q$51, $F111)),0))=TRUE,"United States of America",INDEX($S$2:$S$199,MATCH(TRUE,ISNUMBER(SEARCH($S$2:$S$199, $F111)),0)))),"United States of America")</f>
        <v/>
      </c>
      <c r="I111" s="108" t="str">
        <f t="array" ref="I111">IF(F111="","",IF(ISNUMBER(MATCH(TRUE,ISNUMBER(SEARCH($Q$2:$Q$51, $F111)),0))=TRUE,"",IF(ISNUMBER(MATCH(TRUE,ISNUMBER(SEARCH($S$2:$S$199, $F111)),0))=TRUE,"","미국 확인 필요")))</f>
        <v/>
      </c>
      <c r="S111" s="2" t="s">
        <v>377</v>
      </c>
      <c r="T111" s="17">
        <f t="shared" si="6"/>
        <v>0</v>
      </c>
      <c r="U111" s="17" t="str">
        <f>IF(T111=0,"",RANK(T111,T:T,0)+COUNTIF(T$1:T110,T111))</f>
        <v/>
      </c>
      <c r="V111" s="17">
        <f t="shared" si="7"/>
        <v>0</v>
      </c>
      <c r="W111" s="17" t="str">
        <f>IF(V111=0,"",RANK(V111,V:V,0)+COUNTIF(V$1:V110,V111))</f>
        <v/>
      </c>
    </row>
    <row r="112" spans="1:23">
      <c r="C112" s="108" t="str">
        <f t="array" ref="C112">IFERROR(IF(A112="","",IF(ISNUMBER(MATCH(TRUE,ISNUMBER(SEARCH($Q$2:$Q$51, $A112)),0))=TRUE,"United States of America",INDEX($S$2:$S$199,MATCH(TRUE,ISNUMBER(SEARCH($S$2:$S$199, $A112)),0)))),"United States of America")</f>
        <v/>
      </c>
      <c r="D112" s="108" t="str">
        <f t="array" ref="D112">IF(A112="","",IF(ISNUMBER(MATCH(TRUE,ISNUMBER(SEARCH($Q$2:$Q$51, $A112)),0))=TRUE,"",IF(ISNUMBER(MATCH(TRUE,ISNUMBER(SEARCH($S$2:$S$199, $A112)),0))=TRUE,"","미국 확인 필요")))</f>
        <v/>
      </c>
      <c r="H112" s="108" t="str">
        <f t="array" ref="H112">IFERROR(IF(F112="","",IF(ISNUMBER(MATCH(TRUE,ISNUMBER(SEARCH($Q$2:$Q$51, $F112)),0))=TRUE,"United States of America",INDEX($S$2:$S$199,MATCH(TRUE,ISNUMBER(SEARCH($S$2:$S$199, $F112)),0)))),"United States of America")</f>
        <v/>
      </c>
      <c r="I112" s="108" t="str">
        <f t="array" ref="I112">IF(F112="","",IF(ISNUMBER(MATCH(TRUE,ISNUMBER(SEARCH($Q$2:$Q$51, $F112)),0))=TRUE,"",IF(ISNUMBER(MATCH(TRUE,ISNUMBER(SEARCH($S$2:$S$199, $F112)),0))=TRUE,"","미국 확인 필요")))</f>
        <v/>
      </c>
      <c r="S112" s="2" t="s">
        <v>378</v>
      </c>
      <c r="T112" s="17">
        <f t="shared" si="6"/>
        <v>0</v>
      </c>
      <c r="U112" s="17" t="str">
        <f>IF(T112=0,"",RANK(T112,T:T,0)+COUNTIF(T$1:T111,T112))</f>
        <v/>
      </c>
      <c r="V112" s="17">
        <f t="shared" si="7"/>
        <v>0</v>
      </c>
      <c r="W112" s="17" t="str">
        <f>IF(V112=0,"",RANK(V112,V:V,0)+COUNTIF(V$1:V111,V112))</f>
        <v/>
      </c>
    </row>
    <row r="113" spans="3:23">
      <c r="C113" s="108" t="str">
        <f t="array" ref="C113">IFERROR(IF(A113="","",IF(ISNUMBER(MATCH(TRUE,ISNUMBER(SEARCH($Q$2:$Q$51, $A113)),0))=TRUE,"United States of America",INDEX($S$2:$S$199,MATCH(TRUE,ISNUMBER(SEARCH($S$2:$S$199, $A113)),0)))),"United States of America")</f>
        <v/>
      </c>
      <c r="D113" s="108" t="str">
        <f t="array" ref="D113">IF(A113="","",IF(ISNUMBER(MATCH(TRUE,ISNUMBER(SEARCH($Q$2:$Q$51, $A113)),0))=TRUE,"",IF(ISNUMBER(MATCH(TRUE,ISNUMBER(SEARCH($S$2:$S$199, $A113)),0))=TRUE,"","미국 확인 필요")))</f>
        <v/>
      </c>
      <c r="H113" s="108" t="str">
        <f t="array" ref="H113">IFERROR(IF(F113="","",IF(ISNUMBER(MATCH(TRUE,ISNUMBER(SEARCH($Q$2:$Q$51, $F113)),0))=TRUE,"United States of America",INDEX($S$2:$S$199,MATCH(TRUE,ISNUMBER(SEARCH($S$2:$S$199, $F113)),0)))),"United States of America")</f>
        <v/>
      </c>
      <c r="I113" s="108" t="str">
        <f t="array" ref="I113">IF(F113="","",IF(ISNUMBER(MATCH(TRUE,ISNUMBER(SEARCH($Q$2:$Q$51, $F113)),0))=TRUE,"",IF(ISNUMBER(MATCH(TRUE,ISNUMBER(SEARCH($S$2:$S$199, $F113)),0))=TRUE,"","미국 확인 필요")))</f>
        <v/>
      </c>
      <c r="S113" s="2" t="s">
        <v>379</v>
      </c>
      <c r="T113" s="17">
        <f t="shared" si="6"/>
        <v>0</v>
      </c>
      <c r="U113" s="17" t="str">
        <f>IF(T113=0,"",RANK(T113,T:T,0)+COUNTIF(T$1:T112,T113))</f>
        <v/>
      </c>
      <c r="V113" s="17">
        <f t="shared" si="7"/>
        <v>0</v>
      </c>
      <c r="W113" s="17" t="str">
        <f>IF(V113=0,"",RANK(V113,V:V,0)+COUNTIF(V$1:V112,V113))</f>
        <v/>
      </c>
    </row>
    <row r="114" spans="3:23">
      <c r="C114" s="108" t="str">
        <f t="array" ref="C114">IFERROR(IF(A114="","",IF(ISNUMBER(MATCH(TRUE,ISNUMBER(SEARCH($Q$2:$Q$51, $A114)),0))=TRUE,"United States of America",INDEX($S$2:$S$199,MATCH(TRUE,ISNUMBER(SEARCH($S$2:$S$199, $A114)),0)))),"United States of America")</f>
        <v/>
      </c>
      <c r="D114" s="108" t="str">
        <f t="array" ref="D114">IF(A114="","",IF(ISNUMBER(MATCH(TRUE,ISNUMBER(SEARCH($Q$2:$Q$51, $A114)),0))=TRUE,"",IF(ISNUMBER(MATCH(TRUE,ISNUMBER(SEARCH($S$2:$S$199, $A114)),0))=TRUE,"","미국 확인 필요")))</f>
        <v/>
      </c>
      <c r="H114" s="108" t="str">
        <f t="array" ref="H114">IFERROR(IF(F114="","",IF(ISNUMBER(MATCH(TRUE,ISNUMBER(SEARCH($Q$2:$Q$51, $F114)),0))=TRUE,"United States of America",INDEX($S$2:$S$199,MATCH(TRUE,ISNUMBER(SEARCH($S$2:$S$199, $F114)),0)))),"United States of America")</f>
        <v/>
      </c>
      <c r="I114" s="108" t="str">
        <f t="array" ref="I114">IF(F114="","",IF(ISNUMBER(MATCH(TRUE,ISNUMBER(SEARCH($Q$2:$Q$51, $F114)),0))=TRUE,"",IF(ISNUMBER(MATCH(TRUE,ISNUMBER(SEARCH($S$2:$S$199, $F114)),0))=TRUE,"","미국 확인 필요")))</f>
        <v/>
      </c>
      <c r="S114" s="2" t="s">
        <v>380</v>
      </c>
      <c r="T114" s="17">
        <f t="shared" si="6"/>
        <v>0</v>
      </c>
      <c r="U114" s="17" t="str">
        <f>IF(T114=0,"",RANK(T114,T:T,0)+COUNTIF(T$1:T113,T114))</f>
        <v/>
      </c>
      <c r="V114" s="17">
        <f t="shared" si="7"/>
        <v>0</v>
      </c>
      <c r="W114" s="17" t="str">
        <f>IF(V114=0,"",RANK(V114,V:V,0)+COUNTIF(V$1:V113,V114))</f>
        <v/>
      </c>
    </row>
    <row r="115" spans="3:23">
      <c r="C115" s="108" t="str">
        <f t="array" ref="C115">IFERROR(IF(A115="","",IF(ISNUMBER(MATCH(TRUE,ISNUMBER(SEARCH($Q$2:$Q$51, $A115)),0))=TRUE,"United States of America",INDEX($S$2:$S$199,MATCH(TRUE,ISNUMBER(SEARCH($S$2:$S$199, $A115)),0)))),"United States of America")</f>
        <v/>
      </c>
      <c r="D115" s="108" t="str">
        <f t="array" ref="D115">IF(A115="","",IF(ISNUMBER(MATCH(TRUE,ISNUMBER(SEARCH($Q$2:$Q$51, $A115)),0))=TRUE,"",IF(ISNUMBER(MATCH(TRUE,ISNUMBER(SEARCH($S$2:$S$199, $A115)),0))=TRUE,"","미국 확인 필요")))</f>
        <v/>
      </c>
      <c r="H115" s="108" t="str">
        <f t="array" ref="H115">IFERROR(IF(F115="","",IF(ISNUMBER(MATCH(TRUE,ISNUMBER(SEARCH($Q$2:$Q$51, $F115)),0))=TRUE,"United States of America",INDEX($S$2:$S$199,MATCH(TRUE,ISNUMBER(SEARCH($S$2:$S$199, $F115)),0)))),"United States of America")</f>
        <v/>
      </c>
      <c r="I115" s="108" t="str">
        <f t="array" ref="I115">IF(F115="","",IF(ISNUMBER(MATCH(TRUE,ISNUMBER(SEARCH($Q$2:$Q$51, $F115)),0))=TRUE,"",IF(ISNUMBER(MATCH(TRUE,ISNUMBER(SEARCH($S$2:$S$199, $F115)),0))=TRUE,"","미국 확인 필요")))</f>
        <v/>
      </c>
      <c r="S115" s="2" t="s">
        <v>381</v>
      </c>
      <c r="T115" s="17">
        <f t="shared" si="6"/>
        <v>0</v>
      </c>
      <c r="U115" s="17" t="str">
        <f>IF(T115=0,"",RANK(T115,T:T,0)+COUNTIF(T$1:T114,T115))</f>
        <v/>
      </c>
      <c r="V115" s="17">
        <f t="shared" si="7"/>
        <v>0</v>
      </c>
      <c r="W115" s="17" t="str">
        <f>IF(V115=0,"",RANK(V115,V:V,0)+COUNTIF(V$1:V114,V115))</f>
        <v/>
      </c>
    </row>
    <row r="116" spans="3:23">
      <c r="C116" s="108" t="str">
        <f t="array" ref="C116">IFERROR(IF(A116="","",IF(ISNUMBER(MATCH(TRUE,ISNUMBER(SEARCH($Q$2:$Q$51, $A116)),0))=TRUE,"United States of America",INDEX($S$2:$S$199,MATCH(TRUE,ISNUMBER(SEARCH($S$2:$S$199, $A116)),0)))),"United States of America")</f>
        <v/>
      </c>
      <c r="D116" s="108" t="str">
        <f t="array" ref="D116">IF(A116="","",IF(ISNUMBER(MATCH(TRUE,ISNUMBER(SEARCH($Q$2:$Q$51, $A116)),0))=TRUE,"",IF(ISNUMBER(MATCH(TRUE,ISNUMBER(SEARCH($S$2:$S$199, $A116)),0))=TRUE,"","미국 확인 필요")))</f>
        <v/>
      </c>
      <c r="H116" s="108" t="str">
        <f t="array" ref="H116">IFERROR(IF(F116="","",IF(ISNUMBER(MATCH(TRUE,ISNUMBER(SEARCH($Q$2:$Q$51, $F116)),0))=TRUE,"United States of America",INDEX($S$2:$S$199,MATCH(TRUE,ISNUMBER(SEARCH($S$2:$S$199, $F116)),0)))),"United States of America")</f>
        <v/>
      </c>
      <c r="I116" s="108" t="str">
        <f t="array" ref="I116">IF(F116="","",IF(ISNUMBER(MATCH(TRUE,ISNUMBER(SEARCH($Q$2:$Q$51, $F116)),0))=TRUE,"",IF(ISNUMBER(MATCH(TRUE,ISNUMBER(SEARCH($S$2:$S$199, $F116)),0))=TRUE,"","미국 확인 필요")))</f>
        <v/>
      </c>
      <c r="S116" s="2" t="s">
        <v>382</v>
      </c>
      <c r="T116" s="17">
        <f t="shared" si="6"/>
        <v>0</v>
      </c>
      <c r="U116" s="17" t="str">
        <f>IF(T116=0,"",RANK(T116,T:T,0)+COUNTIF(T$1:T115,T116))</f>
        <v/>
      </c>
      <c r="V116" s="17">
        <f t="shared" si="7"/>
        <v>0</v>
      </c>
      <c r="W116" s="17" t="str">
        <f>IF(V116=0,"",RANK(V116,V:V,0)+COUNTIF(V$1:V115,V116))</f>
        <v/>
      </c>
    </row>
    <row r="117" spans="3:23">
      <c r="C117" s="108" t="str">
        <f t="array" ref="C117">IFERROR(IF(A117="","",IF(ISNUMBER(MATCH(TRUE,ISNUMBER(SEARCH($Q$2:$Q$51, $A117)),0))=TRUE,"United States of America",INDEX($S$2:$S$199,MATCH(TRUE,ISNUMBER(SEARCH($S$2:$S$199, $A117)),0)))),"United States of America")</f>
        <v/>
      </c>
      <c r="D117" s="108" t="str">
        <f t="array" ref="D117">IF(A117="","",IF(ISNUMBER(MATCH(TRUE,ISNUMBER(SEARCH($Q$2:$Q$51, $A117)),0))=TRUE,"",IF(ISNUMBER(MATCH(TRUE,ISNUMBER(SEARCH($S$2:$S$199, $A117)),0))=TRUE,"","미국 확인 필요")))</f>
        <v/>
      </c>
      <c r="H117" s="108" t="str">
        <f t="array" ref="H117">IFERROR(IF(F117="","",IF(ISNUMBER(MATCH(TRUE,ISNUMBER(SEARCH($Q$2:$Q$51, $F117)),0))=TRUE,"United States of America",INDEX($S$2:$S$199,MATCH(TRUE,ISNUMBER(SEARCH($S$2:$S$199, $F117)),0)))),"United States of America")</f>
        <v/>
      </c>
      <c r="I117" s="108" t="str">
        <f t="array" ref="I117">IF(F117="","",IF(ISNUMBER(MATCH(TRUE,ISNUMBER(SEARCH($Q$2:$Q$51, $F117)),0))=TRUE,"",IF(ISNUMBER(MATCH(TRUE,ISNUMBER(SEARCH($S$2:$S$199, $F117)),0))=TRUE,"","미국 확인 필요")))</f>
        <v/>
      </c>
      <c r="S117" s="2" t="s">
        <v>383</v>
      </c>
      <c r="T117" s="17">
        <f t="shared" si="6"/>
        <v>0</v>
      </c>
      <c r="U117" s="17" t="str">
        <f>IF(T117=0,"",RANK(T117,T:T,0)+COUNTIF(T$1:T116,T117))</f>
        <v/>
      </c>
      <c r="V117" s="17">
        <f t="shared" si="7"/>
        <v>0</v>
      </c>
      <c r="W117" s="17" t="str">
        <f>IF(V117=0,"",RANK(V117,V:V,0)+COUNTIF(V$1:V116,V117))</f>
        <v/>
      </c>
    </row>
    <row r="118" spans="3:23">
      <c r="C118" s="108" t="str">
        <f t="array" ref="C118">IFERROR(IF(A118="","",IF(ISNUMBER(MATCH(TRUE,ISNUMBER(SEARCH($Q$2:$Q$51, $A118)),0))=TRUE,"United States of America",INDEX($S$2:$S$199,MATCH(TRUE,ISNUMBER(SEARCH($S$2:$S$199, $A118)),0)))),"United States of America")</f>
        <v/>
      </c>
      <c r="D118" s="108" t="str">
        <f t="array" ref="D118">IF(A118="","",IF(ISNUMBER(MATCH(TRUE,ISNUMBER(SEARCH($Q$2:$Q$51, $A118)),0))=TRUE,"",IF(ISNUMBER(MATCH(TRUE,ISNUMBER(SEARCH($S$2:$S$199, $A118)),0))=TRUE,"","미국 확인 필요")))</f>
        <v/>
      </c>
      <c r="H118" s="108" t="str">
        <f t="array" ref="H118">IFERROR(IF(F118="","",IF(ISNUMBER(MATCH(TRUE,ISNUMBER(SEARCH($Q$2:$Q$51, $F118)),0))=TRUE,"United States of America",INDEX($S$2:$S$199,MATCH(TRUE,ISNUMBER(SEARCH($S$2:$S$199, $F118)),0)))),"United States of America")</f>
        <v/>
      </c>
      <c r="I118" s="108" t="str">
        <f t="array" ref="I118">IF(F118="","",IF(ISNUMBER(MATCH(TRUE,ISNUMBER(SEARCH($Q$2:$Q$51, $F118)),0))=TRUE,"",IF(ISNUMBER(MATCH(TRUE,ISNUMBER(SEARCH($S$2:$S$199, $F118)),0))=TRUE,"","미국 확인 필요")))</f>
        <v/>
      </c>
      <c r="S118" s="2" t="s">
        <v>384</v>
      </c>
      <c r="T118" s="17">
        <f t="shared" si="6"/>
        <v>0</v>
      </c>
      <c r="U118" s="17" t="str">
        <f>IF(T118=0,"",RANK(T118,T:T,0)+COUNTIF(T$1:T117,T118))</f>
        <v/>
      </c>
      <c r="V118" s="17">
        <f t="shared" si="7"/>
        <v>0</v>
      </c>
      <c r="W118" s="17" t="str">
        <f>IF(V118=0,"",RANK(V118,V:V,0)+COUNTIF(V$1:V117,V118))</f>
        <v/>
      </c>
    </row>
    <row r="119" spans="3:23">
      <c r="C119" s="108" t="str">
        <f t="array" ref="C119">IFERROR(IF(A119="","",IF(ISNUMBER(MATCH(TRUE,ISNUMBER(SEARCH($Q$2:$Q$51, $A119)),0))=TRUE,"United States of America",INDEX($S$2:$S$199,MATCH(TRUE,ISNUMBER(SEARCH($S$2:$S$199, $A119)),0)))),"United States of America")</f>
        <v/>
      </c>
      <c r="D119" s="108" t="str">
        <f t="array" ref="D119">IF(A119="","",IF(ISNUMBER(MATCH(TRUE,ISNUMBER(SEARCH($Q$2:$Q$51, $A119)),0))=TRUE,"",IF(ISNUMBER(MATCH(TRUE,ISNUMBER(SEARCH($S$2:$S$199, $A119)),0))=TRUE,"","미국 확인 필요")))</f>
        <v/>
      </c>
      <c r="H119" s="108" t="str">
        <f t="array" ref="H119">IFERROR(IF(F119="","",IF(ISNUMBER(MATCH(TRUE,ISNUMBER(SEARCH($Q$2:$Q$51, $F119)),0))=TRUE,"United States of America",INDEX($S$2:$S$199,MATCH(TRUE,ISNUMBER(SEARCH($S$2:$S$199, $F119)),0)))),"United States of America")</f>
        <v/>
      </c>
      <c r="I119" s="108" t="str">
        <f t="array" ref="I119">IF(F119="","",IF(ISNUMBER(MATCH(TRUE,ISNUMBER(SEARCH($Q$2:$Q$51, $F119)),0))=TRUE,"",IF(ISNUMBER(MATCH(TRUE,ISNUMBER(SEARCH($S$2:$S$199, $F119)),0))=TRUE,"","미국 확인 필요")))</f>
        <v/>
      </c>
      <c r="S119" s="2" t="s">
        <v>385</v>
      </c>
      <c r="T119" s="17">
        <f t="shared" si="6"/>
        <v>0</v>
      </c>
      <c r="U119" s="17" t="str">
        <f>IF(T119=0,"",RANK(T119,T:T,0)+COUNTIF(T$1:T118,T119))</f>
        <v/>
      </c>
      <c r="V119" s="17">
        <f t="shared" si="7"/>
        <v>0</v>
      </c>
      <c r="W119" s="17" t="str">
        <f>IF(V119=0,"",RANK(V119,V:V,0)+COUNTIF(V$1:V118,V119))</f>
        <v/>
      </c>
    </row>
    <row r="120" spans="3:23">
      <c r="C120" s="108" t="str">
        <f t="array" ref="C120">IFERROR(IF(A120="","",IF(ISNUMBER(MATCH(TRUE,ISNUMBER(SEARCH($Q$2:$Q$51, $A120)),0))=TRUE,"United States of America",INDEX($S$2:$S$199,MATCH(TRUE,ISNUMBER(SEARCH($S$2:$S$199, $A120)),0)))),"United States of America")</f>
        <v/>
      </c>
      <c r="D120" s="108" t="str">
        <f t="array" ref="D120">IF(A120="","",IF(ISNUMBER(MATCH(TRUE,ISNUMBER(SEARCH($Q$2:$Q$51, $A120)),0))=TRUE,"",IF(ISNUMBER(MATCH(TRUE,ISNUMBER(SEARCH($S$2:$S$199, $A120)),0))=TRUE,"","미국 확인 필요")))</f>
        <v/>
      </c>
      <c r="H120" s="108" t="str">
        <f t="array" ref="H120">IFERROR(IF(F120="","",IF(ISNUMBER(MATCH(TRUE,ISNUMBER(SEARCH($Q$2:$Q$51, $F120)),0))=TRUE,"United States of America",INDEX($S$2:$S$199,MATCH(TRUE,ISNUMBER(SEARCH($S$2:$S$199, $F120)),0)))),"United States of America")</f>
        <v/>
      </c>
      <c r="I120" s="108" t="str">
        <f t="array" ref="I120">IF(F120="","",IF(ISNUMBER(MATCH(TRUE,ISNUMBER(SEARCH($Q$2:$Q$51, $F120)),0))=TRUE,"",IF(ISNUMBER(MATCH(TRUE,ISNUMBER(SEARCH($S$2:$S$199, $F120)),0))=TRUE,"","미국 확인 필요")))</f>
        <v/>
      </c>
      <c r="S120" s="2" t="s">
        <v>386</v>
      </c>
      <c r="T120" s="17">
        <f t="shared" si="6"/>
        <v>0</v>
      </c>
      <c r="U120" s="17" t="str">
        <f>IF(T120=0,"",RANK(T120,T:T,0)+COUNTIF(T$1:T119,T120))</f>
        <v/>
      </c>
      <c r="V120" s="17">
        <f t="shared" si="7"/>
        <v>0</v>
      </c>
      <c r="W120" s="17" t="str">
        <f>IF(V120=0,"",RANK(V120,V:V,0)+COUNTIF(V$1:V119,V120))</f>
        <v/>
      </c>
    </row>
    <row r="121" spans="3:23">
      <c r="C121" s="108" t="str">
        <f t="array" ref="C121">IFERROR(IF(A121="","",IF(ISNUMBER(MATCH(TRUE,ISNUMBER(SEARCH($Q$2:$Q$51, $A121)),0))=TRUE,"United States of America",INDEX($S$2:$S$199,MATCH(TRUE,ISNUMBER(SEARCH($S$2:$S$199, $A121)),0)))),"United States of America")</f>
        <v/>
      </c>
      <c r="D121" s="108" t="str">
        <f t="array" ref="D121">IF(A121="","",IF(ISNUMBER(MATCH(TRUE,ISNUMBER(SEARCH($Q$2:$Q$51, $A121)),0))=TRUE,"",IF(ISNUMBER(MATCH(TRUE,ISNUMBER(SEARCH($S$2:$S$199, $A121)),0))=TRUE,"","미국 확인 필요")))</f>
        <v/>
      </c>
      <c r="H121" s="108" t="str">
        <f t="array" ref="H121">IFERROR(IF(F121="","",IF(ISNUMBER(MATCH(TRUE,ISNUMBER(SEARCH($Q$2:$Q$51, $F121)),0))=TRUE,"United States of America",INDEX($S$2:$S$199,MATCH(TRUE,ISNUMBER(SEARCH($S$2:$S$199, $F121)),0)))),"United States of America")</f>
        <v/>
      </c>
      <c r="I121" s="108" t="str">
        <f t="array" ref="I121">IF(F121="","",IF(ISNUMBER(MATCH(TRUE,ISNUMBER(SEARCH($Q$2:$Q$51, $F121)),0))=TRUE,"",IF(ISNUMBER(MATCH(TRUE,ISNUMBER(SEARCH($S$2:$S$199, $F121)),0))=TRUE,"","미국 확인 필요")))</f>
        <v/>
      </c>
      <c r="S121" s="2" t="s">
        <v>387</v>
      </c>
      <c r="T121" s="17">
        <f t="shared" si="6"/>
        <v>0</v>
      </c>
      <c r="U121" s="17" t="str">
        <f>IF(T121=0,"",RANK(T121,T:T,0)+COUNTIF(T$1:T120,T121))</f>
        <v/>
      </c>
      <c r="V121" s="17">
        <f t="shared" si="7"/>
        <v>0</v>
      </c>
      <c r="W121" s="17" t="str">
        <f>IF(V121=0,"",RANK(V121,V:V,0)+COUNTIF(V$1:V120,V121))</f>
        <v/>
      </c>
    </row>
    <row r="122" spans="3:23">
      <c r="C122" s="108" t="str">
        <f t="array" ref="C122">IFERROR(IF(A122="","",IF(ISNUMBER(MATCH(TRUE,ISNUMBER(SEARCH($Q$2:$Q$51, $A122)),0))=TRUE,"United States of America",INDEX($S$2:$S$199,MATCH(TRUE,ISNUMBER(SEARCH($S$2:$S$199, $A122)),0)))),"United States of America")</f>
        <v/>
      </c>
      <c r="D122" s="108" t="str">
        <f t="array" ref="D122">IF(A122="","",IF(ISNUMBER(MATCH(TRUE,ISNUMBER(SEARCH($Q$2:$Q$51, $A122)),0))=TRUE,"",IF(ISNUMBER(MATCH(TRUE,ISNUMBER(SEARCH($S$2:$S$199, $A122)),0))=TRUE,"","미국 확인 필요")))</f>
        <v/>
      </c>
      <c r="H122" s="108" t="str">
        <f t="array" ref="H122">IFERROR(IF(F122="","",IF(ISNUMBER(MATCH(TRUE,ISNUMBER(SEARCH($Q$2:$Q$51, $F122)),0))=TRUE,"United States of America",INDEX($S$2:$S$199,MATCH(TRUE,ISNUMBER(SEARCH($S$2:$S$199, $F122)),0)))),"United States of America")</f>
        <v/>
      </c>
      <c r="I122" s="108" t="str">
        <f t="array" ref="I122">IF(F122="","",IF(ISNUMBER(MATCH(TRUE,ISNUMBER(SEARCH($Q$2:$Q$51, $F122)),0))=TRUE,"",IF(ISNUMBER(MATCH(TRUE,ISNUMBER(SEARCH($S$2:$S$199, $F122)),0))=TRUE,"","미국 확인 필요")))</f>
        <v/>
      </c>
      <c r="S122" s="2" t="s">
        <v>388</v>
      </c>
      <c r="T122" s="17">
        <f t="shared" si="6"/>
        <v>0</v>
      </c>
      <c r="U122" s="17" t="str">
        <f>IF(T122=0,"",RANK(T122,T:T,0)+COUNTIF(T$1:T121,T122))</f>
        <v/>
      </c>
      <c r="V122" s="17">
        <f t="shared" si="7"/>
        <v>0</v>
      </c>
      <c r="W122" s="17" t="str">
        <f>IF(V122=0,"",RANK(V122,V:V,0)+COUNTIF(V$1:V121,V122))</f>
        <v/>
      </c>
    </row>
    <row r="123" spans="3:23">
      <c r="C123" s="108" t="str">
        <f t="array" ref="C123">IFERROR(IF(A123="","",IF(ISNUMBER(MATCH(TRUE,ISNUMBER(SEARCH($Q$2:$Q$51, $A123)),0))=TRUE,"United States of America",INDEX($S$2:$S$199,MATCH(TRUE,ISNUMBER(SEARCH($S$2:$S$199, $A123)),0)))),"United States of America")</f>
        <v/>
      </c>
      <c r="D123" s="108" t="str">
        <f t="array" ref="D123">IF(A123="","",IF(ISNUMBER(MATCH(TRUE,ISNUMBER(SEARCH($Q$2:$Q$51, $A123)),0))=TRUE,"",IF(ISNUMBER(MATCH(TRUE,ISNUMBER(SEARCH($S$2:$S$199, $A123)),0))=TRUE,"","미국 확인 필요")))</f>
        <v/>
      </c>
      <c r="H123" s="108" t="str">
        <f t="array" ref="H123">IFERROR(IF(F123="","",IF(ISNUMBER(MATCH(TRUE,ISNUMBER(SEARCH($Q$2:$Q$51, $F123)),0))=TRUE,"United States of America",INDEX($S$2:$S$199,MATCH(TRUE,ISNUMBER(SEARCH($S$2:$S$199, $F123)),0)))),"United States of America")</f>
        <v/>
      </c>
      <c r="I123" s="108" t="str">
        <f t="array" ref="I123">IF(F123="","",IF(ISNUMBER(MATCH(TRUE,ISNUMBER(SEARCH($Q$2:$Q$51, $F123)),0))=TRUE,"",IF(ISNUMBER(MATCH(TRUE,ISNUMBER(SEARCH($S$2:$S$199, $F123)),0))=TRUE,"","미국 확인 필요")))</f>
        <v/>
      </c>
      <c r="S123" s="2" t="s">
        <v>389</v>
      </c>
      <c r="T123" s="17">
        <f t="shared" si="6"/>
        <v>0</v>
      </c>
      <c r="U123" s="17" t="str">
        <f>IF(T123=0,"",RANK(T123,T:T,0)+COUNTIF(T$1:T122,T123))</f>
        <v/>
      </c>
      <c r="V123" s="17">
        <f t="shared" si="7"/>
        <v>0</v>
      </c>
      <c r="W123" s="17" t="str">
        <f>IF(V123=0,"",RANK(V123,V:V,0)+COUNTIF(V$1:V122,V123))</f>
        <v/>
      </c>
    </row>
    <row r="124" spans="3:23">
      <c r="C124" s="108" t="str">
        <f t="array" ref="C124">IFERROR(IF(A124="","",IF(ISNUMBER(MATCH(TRUE,ISNUMBER(SEARCH($Q$2:$Q$51, $A124)),0))=TRUE,"United States of America",INDEX($S$2:$S$199,MATCH(TRUE,ISNUMBER(SEARCH($S$2:$S$199, $A124)),0)))),"United States of America")</f>
        <v/>
      </c>
      <c r="D124" s="108" t="str">
        <f t="array" ref="D124">IF(A124="","",IF(ISNUMBER(MATCH(TRUE,ISNUMBER(SEARCH($Q$2:$Q$51, $A124)),0))=TRUE,"",IF(ISNUMBER(MATCH(TRUE,ISNUMBER(SEARCH($S$2:$S$199, $A124)),0))=TRUE,"","미국 확인 필요")))</f>
        <v/>
      </c>
      <c r="H124" s="108" t="str">
        <f t="array" ref="H124">IFERROR(IF(F124="","",IF(ISNUMBER(MATCH(TRUE,ISNUMBER(SEARCH($Q$2:$Q$51, $F124)),0))=TRUE,"United States of America",INDEX($S$2:$S$199,MATCH(TRUE,ISNUMBER(SEARCH($S$2:$S$199, $F124)),0)))),"United States of America")</f>
        <v/>
      </c>
      <c r="I124" s="108" t="str">
        <f t="array" ref="I124">IF(F124="","",IF(ISNUMBER(MATCH(TRUE,ISNUMBER(SEARCH($Q$2:$Q$51, $F124)),0))=TRUE,"",IF(ISNUMBER(MATCH(TRUE,ISNUMBER(SEARCH($S$2:$S$199, $F124)),0))=TRUE,"","미국 확인 필요")))</f>
        <v/>
      </c>
      <c r="S124" s="2" t="s">
        <v>390</v>
      </c>
      <c r="T124" s="17">
        <f t="shared" si="6"/>
        <v>0</v>
      </c>
      <c r="U124" s="17" t="str">
        <f>IF(T124=0,"",RANK(T124,T:T,0)+COUNTIF(T$1:T123,T124))</f>
        <v/>
      </c>
      <c r="V124" s="17">
        <f t="shared" si="7"/>
        <v>0</v>
      </c>
      <c r="W124" s="17" t="str">
        <f>IF(V124=0,"",RANK(V124,V:V,0)+COUNTIF(V$1:V123,V124))</f>
        <v/>
      </c>
    </row>
    <row r="125" spans="3:23">
      <c r="C125" s="108" t="str">
        <f t="array" ref="C125">IFERROR(IF(A125="","",IF(ISNUMBER(MATCH(TRUE,ISNUMBER(SEARCH($Q$2:$Q$51, $A125)),0))=TRUE,"United States of America",INDEX($S$2:$S$199,MATCH(TRUE,ISNUMBER(SEARCH($S$2:$S$199, $A125)),0)))),"United States of America")</f>
        <v/>
      </c>
      <c r="D125" s="108" t="str">
        <f t="array" ref="D125">IF(A125="","",IF(ISNUMBER(MATCH(TRUE,ISNUMBER(SEARCH($Q$2:$Q$51, $A125)),0))=TRUE,"",IF(ISNUMBER(MATCH(TRUE,ISNUMBER(SEARCH($S$2:$S$199, $A125)),0))=TRUE,"","미국 확인 필요")))</f>
        <v/>
      </c>
      <c r="H125" s="108" t="str">
        <f t="array" ref="H125">IFERROR(IF(F125="","",IF(ISNUMBER(MATCH(TRUE,ISNUMBER(SEARCH($Q$2:$Q$51, $F125)),0))=TRUE,"United States of America",INDEX($S$2:$S$199,MATCH(TRUE,ISNUMBER(SEARCH($S$2:$S$199, $F125)),0)))),"United States of America")</f>
        <v/>
      </c>
      <c r="I125" s="108" t="str">
        <f t="array" ref="I125">IF(F125="","",IF(ISNUMBER(MATCH(TRUE,ISNUMBER(SEARCH($Q$2:$Q$51, $F125)),0))=TRUE,"",IF(ISNUMBER(MATCH(TRUE,ISNUMBER(SEARCH($S$2:$S$199, $F125)),0))=TRUE,"","미국 확인 필요")))</f>
        <v/>
      </c>
      <c r="S125" s="2" t="s">
        <v>391</v>
      </c>
      <c r="T125" s="17">
        <f t="shared" si="6"/>
        <v>0</v>
      </c>
      <c r="U125" s="17" t="str">
        <f>IF(T125=0,"",RANK(T125,T:T,0)+COUNTIF(T$1:T124,T125))</f>
        <v/>
      </c>
      <c r="V125" s="17">
        <f t="shared" si="7"/>
        <v>0</v>
      </c>
      <c r="W125" s="17" t="str">
        <f>IF(V125=0,"",RANK(V125,V:V,0)+COUNTIF(V$1:V124,V125))</f>
        <v/>
      </c>
    </row>
    <row r="126" spans="3:23">
      <c r="C126" s="108" t="str">
        <f t="array" ref="C126">IFERROR(IF(A126="","",IF(ISNUMBER(MATCH(TRUE,ISNUMBER(SEARCH($Q$2:$Q$51, $A126)),0))=TRUE,"United States of America",INDEX($S$2:$S$199,MATCH(TRUE,ISNUMBER(SEARCH($S$2:$S$199, $A126)),0)))),"United States of America")</f>
        <v/>
      </c>
      <c r="D126" s="108" t="str">
        <f t="array" ref="D126">IF(A126="","",IF(ISNUMBER(MATCH(TRUE,ISNUMBER(SEARCH($Q$2:$Q$51, $A126)),0))=TRUE,"",IF(ISNUMBER(MATCH(TRUE,ISNUMBER(SEARCH($S$2:$S$199, $A126)),0))=TRUE,"","미국 확인 필요")))</f>
        <v/>
      </c>
      <c r="H126" s="108" t="str">
        <f t="array" ref="H126">IFERROR(IF(F126="","",IF(ISNUMBER(MATCH(TRUE,ISNUMBER(SEARCH($Q$2:$Q$51, $F126)),0))=TRUE,"United States of America",INDEX($S$2:$S$199,MATCH(TRUE,ISNUMBER(SEARCH($S$2:$S$199, $F126)),0)))),"United States of America")</f>
        <v/>
      </c>
      <c r="I126" s="108" t="str">
        <f t="array" ref="I126">IF(F126="","",IF(ISNUMBER(MATCH(TRUE,ISNUMBER(SEARCH($Q$2:$Q$51, $F126)),0))=TRUE,"",IF(ISNUMBER(MATCH(TRUE,ISNUMBER(SEARCH($S$2:$S$199, $F126)),0))=TRUE,"","미국 확인 필요")))</f>
        <v/>
      </c>
      <c r="S126" s="2" t="s">
        <v>392</v>
      </c>
      <c r="T126" s="17">
        <f t="shared" si="6"/>
        <v>0</v>
      </c>
      <c r="U126" s="17" t="str">
        <f>IF(T126=0,"",RANK(T126,T:T,0)+COUNTIF(T$1:T125,T126))</f>
        <v/>
      </c>
      <c r="V126" s="17">
        <f t="shared" si="7"/>
        <v>0</v>
      </c>
      <c r="W126" s="17" t="str">
        <f>IF(V126=0,"",RANK(V126,V:V,0)+COUNTIF(V$1:V125,V126))</f>
        <v/>
      </c>
    </row>
    <row r="127" spans="3:23">
      <c r="C127" s="108" t="str">
        <f t="array" ref="C127">IFERROR(IF(A127="","",IF(ISNUMBER(MATCH(TRUE,ISNUMBER(SEARCH($Q$2:$Q$51, $A127)),0))=TRUE,"United States of America",INDEX($S$2:$S$199,MATCH(TRUE,ISNUMBER(SEARCH($S$2:$S$199, $A127)),0)))),"United States of America")</f>
        <v/>
      </c>
      <c r="D127" s="108" t="str">
        <f t="array" ref="D127">IF(A127="","",IF(ISNUMBER(MATCH(TRUE,ISNUMBER(SEARCH($Q$2:$Q$51, $A127)),0))=TRUE,"",IF(ISNUMBER(MATCH(TRUE,ISNUMBER(SEARCH($S$2:$S$199, $A127)),0))=TRUE,"","미국 확인 필요")))</f>
        <v/>
      </c>
      <c r="H127" s="108" t="str">
        <f t="array" ref="H127">IFERROR(IF(F127="","",IF(ISNUMBER(MATCH(TRUE,ISNUMBER(SEARCH($Q$2:$Q$51, $F127)),0))=TRUE,"United States of America",INDEX($S$2:$S$199,MATCH(TRUE,ISNUMBER(SEARCH($S$2:$S$199, $F127)),0)))),"United States of America")</f>
        <v/>
      </c>
      <c r="I127" s="108" t="str">
        <f t="array" ref="I127">IF(F127="","",IF(ISNUMBER(MATCH(TRUE,ISNUMBER(SEARCH($Q$2:$Q$51, $F127)),0))=TRUE,"",IF(ISNUMBER(MATCH(TRUE,ISNUMBER(SEARCH($S$2:$S$199, $F127)),0))=TRUE,"","미국 확인 필요")))</f>
        <v/>
      </c>
      <c r="S127" s="2" t="s">
        <v>393</v>
      </c>
      <c r="T127" s="17">
        <f t="shared" si="6"/>
        <v>0</v>
      </c>
      <c r="U127" s="17" t="str">
        <f>IF(T127=0,"",RANK(T127,T:T,0)+COUNTIF(T$1:T126,T127))</f>
        <v/>
      </c>
      <c r="V127" s="17">
        <f t="shared" si="7"/>
        <v>0</v>
      </c>
      <c r="W127" s="17" t="str">
        <f>IF(V127=0,"",RANK(V127,V:V,0)+COUNTIF(V$1:V126,V127))</f>
        <v/>
      </c>
    </row>
    <row r="128" spans="3:23">
      <c r="C128" s="108" t="str">
        <f t="array" ref="C128">IFERROR(IF(A128="","",IF(ISNUMBER(MATCH(TRUE,ISNUMBER(SEARCH($Q$2:$Q$51, $A128)),0))=TRUE,"United States of America",INDEX($S$2:$S$199,MATCH(TRUE,ISNUMBER(SEARCH($S$2:$S$199, $A128)),0)))),"United States of America")</f>
        <v/>
      </c>
      <c r="D128" s="108" t="str">
        <f t="array" ref="D128">IF(A128="","",IF(ISNUMBER(MATCH(TRUE,ISNUMBER(SEARCH($Q$2:$Q$51, $A128)),0))=TRUE,"",IF(ISNUMBER(MATCH(TRUE,ISNUMBER(SEARCH($S$2:$S$199, $A128)),0))=TRUE,"","미국 확인 필요")))</f>
        <v/>
      </c>
      <c r="H128" s="108" t="str">
        <f t="array" ref="H128">IFERROR(IF(F128="","",IF(ISNUMBER(MATCH(TRUE,ISNUMBER(SEARCH($Q$2:$Q$51, $F128)),0))=TRUE,"United States of America",INDEX($S$2:$S$199,MATCH(TRUE,ISNUMBER(SEARCH($S$2:$S$199, $F128)),0)))),"United States of America")</f>
        <v/>
      </c>
      <c r="I128" s="108" t="str">
        <f t="array" ref="I128">IF(F128="","",IF(ISNUMBER(MATCH(TRUE,ISNUMBER(SEARCH($Q$2:$Q$51, $F128)),0))=TRUE,"",IF(ISNUMBER(MATCH(TRUE,ISNUMBER(SEARCH($S$2:$S$199, $F128)),0))=TRUE,"","미국 확인 필요")))</f>
        <v/>
      </c>
      <c r="S128" s="2" t="s">
        <v>394</v>
      </c>
      <c r="T128" s="17">
        <f t="shared" si="6"/>
        <v>0</v>
      </c>
      <c r="U128" s="17" t="str">
        <f>IF(T128=0,"",RANK(T128,T:T,0)+COUNTIF(T$1:T127,T128))</f>
        <v/>
      </c>
      <c r="V128" s="17">
        <f t="shared" si="7"/>
        <v>0</v>
      </c>
      <c r="W128" s="17" t="str">
        <f>IF(V128=0,"",RANK(V128,V:V,0)+COUNTIF(V$1:V127,V128))</f>
        <v/>
      </c>
    </row>
    <row r="129" spans="3:23">
      <c r="C129" s="108" t="str">
        <f t="array" ref="C129">IFERROR(IF(A129="","",IF(ISNUMBER(MATCH(TRUE,ISNUMBER(SEARCH($Q$2:$Q$51, $A129)),0))=TRUE,"United States of America",INDEX($S$2:$S$199,MATCH(TRUE,ISNUMBER(SEARCH($S$2:$S$199, $A129)),0)))),"United States of America")</f>
        <v/>
      </c>
      <c r="D129" s="108" t="str">
        <f t="array" ref="D129">IF(A129="","",IF(ISNUMBER(MATCH(TRUE,ISNUMBER(SEARCH($Q$2:$Q$51, $A129)),0))=TRUE,"",IF(ISNUMBER(MATCH(TRUE,ISNUMBER(SEARCH($S$2:$S$199, $A129)),0))=TRUE,"","미국 확인 필요")))</f>
        <v/>
      </c>
      <c r="H129" s="108" t="str">
        <f t="array" ref="H129">IFERROR(IF(F129="","",IF(ISNUMBER(MATCH(TRUE,ISNUMBER(SEARCH($Q$2:$Q$51, $F129)),0))=TRUE,"United States of America",INDEX($S$2:$S$199,MATCH(TRUE,ISNUMBER(SEARCH($S$2:$S$199, $F129)),0)))),"United States of America")</f>
        <v/>
      </c>
      <c r="I129" s="108" t="str">
        <f t="array" ref="I129">IF(F129="","",IF(ISNUMBER(MATCH(TRUE,ISNUMBER(SEARCH($Q$2:$Q$51, $F129)),0))=TRUE,"",IF(ISNUMBER(MATCH(TRUE,ISNUMBER(SEARCH($S$2:$S$199, $F129)),0))=TRUE,"","미국 확인 필요")))</f>
        <v/>
      </c>
      <c r="S129" s="2" t="s">
        <v>395</v>
      </c>
      <c r="T129" s="17">
        <f t="shared" si="6"/>
        <v>0</v>
      </c>
      <c r="U129" s="17" t="str">
        <f>IF(T129=0,"",RANK(T129,T:T,0)+COUNTIF(T$1:T128,T129))</f>
        <v/>
      </c>
      <c r="V129" s="17">
        <f t="shared" si="7"/>
        <v>0</v>
      </c>
      <c r="W129" s="17" t="str">
        <f>IF(V129=0,"",RANK(V129,V:V,0)+COUNTIF(V$1:V128,V129))</f>
        <v/>
      </c>
    </row>
    <row r="130" spans="3:23">
      <c r="C130" s="108" t="str">
        <f t="array" ref="C130">IFERROR(IF(A130="","",IF(ISNUMBER(MATCH(TRUE,ISNUMBER(SEARCH($Q$2:$Q$51, $A130)),0))=TRUE,"United States of America",INDEX($S$2:$S$199,MATCH(TRUE,ISNUMBER(SEARCH($S$2:$S$199, $A130)),0)))),"United States of America")</f>
        <v/>
      </c>
      <c r="D130" s="108" t="str">
        <f t="array" ref="D130">IF(A130="","",IF(ISNUMBER(MATCH(TRUE,ISNUMBER(SEARCH($Q$2:$Q$51, $A130)),0))=TRUE,"",IF(ISNUMBER(MATCH(TRUE,ISNUMBER(SEARCH($S$2:$S$199, $A130)),0))=TRUE,"","미국 확인 필요")))</f>
        <v/>
      </c>
      <c r="H130" s="108" t="str">
        <f t="array" ref="H130">IFERROR(IF(F130="","",IF(ISNUMBER(MATCH(TRUE,ISNUMBER(SEARCH($Q$2:$Q$51, $F130)),0))=TRUE,"United States of America",INDEX($S$2:$S$199,MATCH(TRUE,ISNUMBER(SEARCH($S$2:$S$199, $F130)),0)))),"United States of America")</f>
        <v/>
      </c>
      <c r="I130" s="108" t="str">
        <f t="array" ref="I130">IF(F130="","",IF(ISNUMBER(MATCH(TRUE,ISNUMBER(SEARCH($Q$2:$Q$51, $F130)),0))=TRUE,"",IF(ISNUMBER(MATCH(TRUE,ISNUMBER(SEARCH($S$2:$S$199, $F130)),0))=TRUE,"","미국 확인 필요")))</f>
        <v/>
      </c>
      <c r="S130" s="2" t="s">
        <v>396</v>
      </c>
      <c r="T130" s="17">
        <f t="shared" ref="T130:T193" si="8">SUMIF(C:C,S130,B:B)</f>
        <v>0</v>
      </c>
      <c r="U130" s="17" t="str">
        <f>IF(T130=0,"",RANK(T130,T:T,0)+COUNTIF(T$1:T129,T130))</f>
        <v/>
      </c>
      <c r="V130" s="17">
        <f t="shared" ref="V130:V193" si="9">SUMIF(H:H,S130,G:G)</f>
        <v>0</v>
      </c>
      <c r="W130" s="17" t="str">
        <f>IF(V130=0,"",RANK(V130,V:V,0)+COUNTIF(V$1:V129,V130))</f>
        <v/>
      </c>
    </row>
    <row r="131" spans="3:23">
      <c r="C131" s="108" t="str">
        <f t="array" ref="C131">IFERROR(IF(A131="","",IF(ISNUMBER(MATCH(TRUE,ISNUMBER(SEARCH($Q$2:$Q$51, $A131)),0))=TRUE,"United States of America",INDEX($S$2:$S$199,MATCH(TRUE,ISNUMBER(SEARCH($S$2:$S$199, $A131)),0)))),"United States of America")</f>
        <v/>
      </c>
      <c r="D131" s="108" t="str">
        <f t="array" ref="D131">IF(A131="","",IF(ISNUMBER(MATCH(TRUE,ISNUMBER(SEARCH($Q$2:$Q$51, $A131)),0))=TRUE,"",IF(ISNUMBER(MATCH(TRUE,ISNUMBER(SEARCH($S$2:$S$199, $A131)),0))=TRUE,"","미국 확인 필요")))</f>
        <v/>
      </c>
      <c r="H131" s="108" t="str">
        <f t="array" ref="H131">IFERROR(IF(F131="","",IF(ISNUMBER(MATCH(TRUE,ISNUMBER(SEARCH($Q$2:$Q$51, $F131)),0))=TRUE,"United States of America",INDEX($S$2:$S$199,MATCH(TRUE,ISNUMBER(SEARCH($S$2:$S$199, $F131)),0)))),"United States of America")</f>
        <v/>
      </c>
      <c r="I131" s="108" t="str">
        <f t="array" ref="I131">IF(F131="","",IF(ISNUMBER(MATCH(TRUE,ISNUMBER(SEARCH($Q$2:$Q$51, $F131)),0))=TRUE,"",IF(ISNUMBER(MATCH(TRUE,ISNUMBER(SEARCH($S$2:$S$199, $F131)),0))=TRUE,"","미국 확인 필요")))</f>
        <v/>
      </c>
      <c r="S131" s="2" t="s">
        <v>397</v>
      </c>
      <c r="T131" s="17">
        <f t="shared" si="8"/>
        <v>0</v>
      </c>
      <c r="U131" s="17" t="str">
        <f>IF(T131=0,"",RANK(T131,T:T,0)+COUNTIF(T$1:T130,T131))</f>
        <v/>
      </c>
      <c r="V131" s="17">
        <f t="shared" si="9"/>
        <v>0</v>
      </c>
      <c r="W131" s="17" t="str">
        <f>IF(V131=0,"",RANK(V131,V:V,0)+COUNTIF(V$1:V130,V131))</f>
        <v/>
      </c>
    </row>
    <row r="132" spans="3:23">
      <c r="C132" s="108" t="str">
        <f t="array" ref="C132">IFERROR(IF(A132="","",IF(ISNUMBER(MATCH(TRUE,ISNUMBER(SEARCH($Q$2:$Q$51, $A132)),0))=TRUE,"United States of America",INDEX($S$2:$S$199,MATCH(TRUE,ISNUMBER(SEARCH($S$2:$S$199, $A132)),0)))),"United States of America")</f>
        <v/>
      </c>
      <c r="D132" s="108" t="str">
        <f t="array" ref="D132">IF(A132="","",IF(ISNUMBER(MATCH(TRUE,ISNUMBER(SEARCH($Q$2:$Q$51, $A132)),0))=TRUE,"",IF(ISNUMBER(MATCH(TRUE,ISNUMBER(SEARCH($S$2:$S$199, $A132)),0))=TRUE,"","미국 확인 필요")))</f>
        <v/>
      </c>
      <c r="H132" s="108" t="str">
        <f t="array" ref="H132">IFERROR(IF(F132="","",IF(ISNUMBER(MATCH(TRUE,ISNUMBER(SEARCH($Q$2:$Q$51, $F132)),0))=TRUE,"United States of America",INDEX($S$2:$S$199,MATCH(TRUE,ISNUMBER(SEARCH($S$2:$S$199, $F132)),0)))),"United States of America")</f>
        <v/>
      </c>
      <c r="I132" s="108" t="str">
        <f t="array" ref="I132">IF(F132="","",IF(ISNUMBER(MATCH(TRUE,ISNUMBER(SEARCH($Q$2:$Q$51, $F132)),0))=TRUE,"",IF(ISNUMBER(MATCH(TRUE,ISNUMBER(SEARCH($S$2:$S$199, $F132)),0))=TRUE,"","미국 확인 필요")))</f>
        <v/>
      </c>
      <c r="S132" s="2" t="s">
        <v>398</v>
      </c>
      <c r="T132" s="17">
        <f t="shared" si="8"/>
        <v>0</v>
      </c>
      <c r="U132" s="17" t="str">
        <f>IF(T132=0,"",RANK(T132,T:T,0)+COUNTIF(T$1:T131,T132))</f>
        <v/>
      </c>
      <c r="V132" s="17">
        <f t="shared" si="9"/>
        <v>0</v>
      </c>
      <c r="W132" s="17" t="str">
        <f>IF(V132=0,"",RANK(V132,V:V,0)+COUNTIF(V$1:V131,V132))</f>
        <v/>
      </c>
    </row>
    <row r="133" spans="3:23">
      <c r="C133" s="108" t="str">
        <f t="array" ref="C133">IFERROR(IF(A133="","",IF(ISNUMBER(MATCH(TRUE,ISNUMBER(SEARCH($Q$2:$Q$51, $A133)),0))=TRUE,"United States of America",INDEX($S$2:$S$199,MATCH(TRUE,ISNUMBER(SEARCH($S$2:$S$199, $A133)),0)))),"United States of America")</f>
        <v/>
      </c>
      <c r="D133" s="108" t="str">
        <f t="array" ref="D133">IF(A133="","",IF(ISNUMBER(MATCH(TRUE,ISNUMBER(SEARCH($Q$2:$Q$51, $A133)),0))=TRUE,"",IF(ISNUMBER(MATCH(TRUE,ISNUMBER(SEARCH($S$2:$S$199, $A133)),0))=TRUE,"","미국 확인 필요")))</f>
        <v/>
      </c>
      <c r="H133" s="108" t="str">
        <f t="array" ref="H133">IFERROR(IF(F133="","",IF(ISNUMBER(MATCH(TRUE,ISNUMBER(SEARCH($Q$2:$Q$51, $F133)),0))=TRUE,"United States of America",INDEX($S$2:$S$199,MATCH(TRUE,ISNUMBER(SEARCH($S$2:$S$199, $F133)),0)))),"United States of America")</f>
        <v/>
      </c>
      <c r="I133" s="108" t="str">
        <f t="array" ref="I133">IF(F133="","",IF(ISNUMBER(MATCH(TRUE,ISNUMBER(SEARCH($Q$2:$Q$51, $F133)),0))=TRUE,"",IF(ISNUMBER(MATCH(TRUE,ISNUMBER(SEARCH($S$2:$S$199, $F133)),0))=TRUE,"","미국 확인 필요")))</f>
        <v/>
      </c>
      <c r="S133" s="2" t="s">
        <v>399</v>
      </c>
      <c r="T133" s="17">
        <f t="shared" si="8"/>
        <v>0</v>
      </c>
      <c r="U133" s="17" t="str">
        <f>IF(T133=0,"",RANK(T133,T:T,0)+COUNTIF(T$1:T132,T133))</f>
        <v/>
      </c>
      <c r="V133" s="17">
        <f t="shared" si="9"/>
        <v>0</v>
      </c>
      <c r="W133" s="17" t="str">
        <f>IF(V133=0,"",RANK(V133,V:V,0)+COUNTIF(V$1:V132,V133))</f>
        <v/>
      </c>
    </row>
    <row r="134" spans="3:23">
      <c r="C134" s="108" t="str">
        <f t="array" ref="C134">IFERROR(IF(A134="","",IF(ISNUMBER(MATCH(TRUE,ISNUMBER(SEARCH($Q$2:$Q$51, $A134)),0))=TRUE,"United States of America",INDEX($S$2:$S$199,MATCH(TRUE,ISNUMBER(SEARCH($S$2:$S$199, $A134)),0)))),"United States of America")</f>
        <v/>
      </c>
      <c r="D134" s="108" t="str">
        <f t="array" ref="D134">IF(A134="","",IF(ISNUMBER(MATCH(TRUE,ISNUMBER(SEARCH($Q$2:$Q$51, $A134)),0))=TRUE,"",IF(ISNUMBER(MATCH(TRUE,ISNUMBER(SEARCH($S$2:$S$199, $A134)),0))=TRUE,"","미국 확인 필요")))</f>
        <v/>
      </c>
      <c r="H134" s="108" t="str">
        <f t="array" ref="H134">IFERROR(IF(F134="","",IF(ISNUMBER(MATCH(TRUE,ISNUMBER(SEARCH($Q$2:$Q$51, $F134)),0))=TRUE,"United States of America",INDEX($S$2:$S$199,MATCH(TRUE,ISNUMBER(SEARCH($S$2:$S$199, $F134)),0)))),"United States of America")</f>
        <v/>
      </c>
      <c r="I134" s="108" t="str">
        <f t="array" ref="I134">IF(F134="","",IF(ISNUMBER(MATCH(TRUE,ISNUMBER(SEARCH($Q$2:$Q$51, $F134)),0))=TRUE,"",IF(ISNUMBER(MATCH(TRUE,ISNUMBER(SEARCH($S$2:$S$199, $F134)),0))=TRUE,"","미국 확인 필요")))</f>
        <v/>
      </c>
      <c r="S134" s="2" t="s">
        <v>400</v>
      </c>
      <c r="T134" s="17">
        <f t="shared" si="8"/>
        <v>0</v>
      </c>
      <c r="U134" s="17" t="str">
        <f>IF(T134=0,"",RANK(T134,T:T,0)+COUNTIF(T$1:T133,T134))</f>
        <v/>
      </c>
      <c r="V134" s="17">
        <f t="shared" si="9"/>
        <v>0</v>
      </c>
      <c r="W134" s="17" t="str">
        <f>IF(V134=0,"",RANK(V134,V:V,0)+COUNTIF(V$1:V133,V134))</f>
        <v/>
      </c>
    </row>
    <row r="135" spans="3:23">
      <c r="C135" s="108" t="str">
        <f t="array" ref="C135">IFERROR(IF(A135="","",IF(ISNUMBER(MATCH(TRUE,ISNUMBER(SEARCH($Q$2:$Q$51, $A135)),0))=TRUE,"United States of America",INDEX($S$2:$S$199,MATCH(TRUE,ISNUMBER(SEARCH($S$2:$S$199, $A135)),0)))),"United States of America")</f>
        <v/>
      </c>
      <c r="D135" s="108" t="str">
        <f t="array" ref="D135">IF(A135="","",IF(ISNUMBER(MATCH(TRUE,ISNUMBER(SEARCH($Q$2:$Q$51, $A135)),0))=TRUE,"",IF(ISNUMBER(MATCH(TRUE,ISNUMBER(SEARCH($S$2:$S$199, $A135)),0))=TRUE,"","미국 확인 필요")))</f>
        <v/>
      </c>
      <c r="H135" s="108" t="str">
        <f t="array" ref="H135">IFERROR(IF(F135="","",IF(ISNUMBER(MATCH(TRUE,ISNUMBER(SEARCH($Q$2:$Q$51, $F135)),0))=TRUE,"United States of America",INDEX($S$2:$S$199,MATCH(TRUE,ISNUMBER(SEARCH($S$2:$S$199, $F135)),0)))),"United States of America")</f>
        <v/>
      </c>
      <c r="I135" s="108" t="str">
        <f t="array" ref="I135">IF(F135="","",IF(ISNUMBER(MATCH(TRUE,ISNUMBER(SEARCH($Q$2:$Q$51, $F135)),0))=TRUE,"",IF(ISNUMBER(MATCH(TRUE,ISNUMBER(SEARCH($S$2:$S$199, $F135)),0))=TRUE,"","미국 확인 필요")))</f>
        <v/>
      </c>
      <c r="S135" s="2" t="s">
        <v>401</v>
      </c>
      <c r="T135" s="17">
        <f t="shared" si="8"/>
        <v>0</v>
      </c>
      <c r="U135" s="17" t="str">
        <f>IF(T135=0,"",RANK(T135,T:T,0)+COUNTIF(T$1:T134,T135))</f>
        <v/>
      </c>
      <c r="V135" s="17">
        <f t="shared" si="9"/>
        <v>0</v>
      </c>
      <c r="W135" s="17" t="str">
        <f>IF(V135=0,"",RANK(V135,V:V,0)+COUNTIF(V$1:V134,V135))</f>
        <v/>
      </c>
    </row>
    <row r="136" spans="3:23">
      <c r="C136" s="108" t="str">
        <f t="array" ref="C136">IFERROR(IF(A136="","",IF(ISNUMBER(MATCH(TRUE,ISNUMBER(SEARCH($Q$2:$Q$51, $A136)),0))=TRUE,"United States of America",INDEX($S$2:$S$199,MATCH(TRUE,ISNUMBER(SEARCH($S$2:$S$199, $A136)),0)))),"United States of America")</f>
        <v/>
      </c>
      <c r="D136" s="108" t="str">
        <f t="array" ref="D136">IF(A136="","",IF(ISNUMBER(MATCH(TRUE,ISNUMBER(SEARCH($Q$2:$Q$51, $A136)),0))=TRUE,"",IF(ISNUMBER(MATCH(TRUE,ISNUMBER(SEARCH($S$2:$S$199, $A136)),0))=TRUE,"","미국 확인 필요")))</f>
        <v/>
      </c>
      <c r="H136" s="108" t="str">
        <f t="array" ref="H136">IFERROR(IF(F136="","",IF(ISNUMBER(MATCH(TRUE,ISNUMBER(SEARCH($Q$2:$Q$51, $F136)),0))=TRUE,"United States of America",INDEX($S$2:$S$199,MATCH(TRUE,ISNUMBER(SEARCH($S$2:$S$199, $F136)),0)))),"United States of America")</f>
        <v/>
      </c>
      <c r="I136" s="108" t="str">
        <f t="array" ref="I136">IF(F136="","",IF(ISNUMBER(MATCH(TRUE,ISNUMBER(SEARCH($Q$2:$Q$51, $F136)),0))=TRUE,"",IF(ISNUMBER(MATCH(TRUE,ISNUMBER(SEARCH($S$2:$S$199, $F136)),0))=TRUE,"","미국 확인 필요")))</f>
        <v/>
      </c>
      <c r="S136" s="2" t="s">
        <v>402</v>
      </c>
      <c r="T136" s="17">
        <f t="shared" si="8"/>
        <v>0</v>
      </c>
      <c r="U136" s="17" t="str">
        <f>IF(T136=0,"",RANK(T136,T:T,0)+COUNTIF(T$1:T135,T136))</f>
        <v/>
      </c>
      <c r="V136" s="17">
        <f t="shared" si="9"/>
        <v>0</v>
      </c>
      <c r="W136" s="17" t="str">
        <f>IF(V136=0,"",RANK(V136,V:V,0)+COUNTIF(V$1:V135,V136))</f>
        <v/>
      </c>
    </row>
    <row r="137" spans="3:23">
      <c r="C137" s="108" t="str">
        <f t="array" ref="C137">IFERROR(IF(A137="","",IF(ISNUMBER(MATCH(TRUE,ISNUMBER(SEARCH($Q$2:$Q$51, $A137)),0))=TRUE,"United States of America",INDEX($S$2:$S$199,MATCH(TRUE,ISNUMBER(SEARCH($S$2:$S$199, $A137)),0)))),"United States of America")</f>
        <v/>
      </c>
      <c r="D137" s="108" t="str">
        <f t="array" ref="D137">IF(A137="","",IF(ISNUMBER(MATCH(TRUE,ISNUMBER(SEARCH($Q$2:$Q$51, $A137)),0))=TRUE,"",IF(ISNUMBER(MATCH(TRUE,ISNUMBER(SEARCH($S$2:$S$199, $A137)),0))=TRUE,"","미국 확인 필요")))</f>
        <v/>
      </c>
      <c r="H137" s="108" t="str">
        <f t="array" ref="H137">IFERROR(IF(F137="","",IF(ISNUMBER(MATCH(TRUE,ISNUMBER(SEARCH($Q$2:$Q$51, $F137)),0))=TRUE,"United States of America",INDEX($S$2:$S$199,MATCH(TRUE,ISNUMBER(SEARCH($S$2:$S$199, $F137)),0)))),"United States of America")</f>
        <v/>
      </c>
      <c r="I137" s="108" t="str">
        <f t="array" ref="I137">IF(F137="","",IF(ISNUMBER(MATCH(TRUE,ISNUMBER(SEARCH($Q$2:$Q$51, $F137)),0))=TRUE,"",IF(ISNUMBER(MATCH(TRUE,ISNUMBER(SEARCH($S$2:$S$199, $F137)),0))=TRUE,"","미국 확인 필요")))</f>
        <v/>
      </c>
      <c r="S137" s="2" t="s">
        <v>403</v>
      </c>
      <c r="T137" s="17">
        <f t="shared" si="8"/>
        <v>0</v>
      </c>
      <c r="U137" s="17" t="str">
        <f>IF(T137=0,"",RANK(T137,T:T,0)+COUNTIF(T$1:T136,T137))</f>
        <v/>
      </c>
      <c r="V137" s="17">
        <f t="shared" si="9"/>
        <v>0</v>
      </c>
      <c r="W137" s="17" t="str">
        <f>IF(V137=0,"",RANK(V137,V:V,0)+COUNTIF(V$1:V136,V137))</f>
        <v/>
      </c>
    </row>
    <row r="138" spans="3:23">
      <c r="C138" s="108" t="str">
        <f t="array" ref="C138">IFERROR(IF(A138="","",IF(ISNUMBER(MATCH(TRUE,ISNUMBER(SEARCH($Q$2:$Q$51, $A138)),0))=TRUE,"United States of America",INDEX($S$2:$S$199,MATCH(TRUE,ISNUMBER(SEARCH($S$2:$S$199, $A138)),0)))),"United States of America")</f>
        <v/>
      </c>
      <c r="D138" s="108" t="str">
        <f t="array" ref="D138">IF(A138="","",IF(ISNUMBER(MATCH(TRUE,ISNUMBER(SEARCH($Q$2:$Q$51, $A138)),0))=TRUE,"",IF(ISNUMBER(MATCH(TRUE,ISNUMBER(SEARCH($S$2:$S$199, $A138)),0))=TRUE,"","미국 확인 필요")))</f>
        <v/>
      </c>
      <c r="H138" s="108" t="str">
        <f t="array" ref="H138">IFERROR(IF(F138="","",IF(ISNUMBER(MATCH(TRUE,ISNUMBER(SEARCH($Q$2:$Q$51, $F138)),0))=TRUE,"United States of America",INDEX($S$2:$S$199,MATCH(TRUE,ISNUMBER(SEARCH($S$2:$S$199, $F138)),0)))),"United States of America")</f>
        <v/>
      </c>
      <c r="I138" s="108" t="str">
        <f t="array" ref="I138">IF(F138="","",IF(ISNUMBER(MATCH(TRUE,ISNUMBER(SEARCH($Q$2:$Q$51, $F138)),0))=TRUE,"",IF(ISNUMBER(MATCH(TRUE,ISNUMBER(SEARCH($S$2:$S$199, $F138)),0))=TRUE,"","미국 확인 필요")))</f>
        <v/>
      </c>
      <c r="S138" s="2" t="s">
        <v>404</v>
      </c>
      <c r="T138" s="17">
        <f t="shared" si="8"/>
        <v>0</v>
      </c>
      <c r="U138" s="17" t="str">
        <f>IF(T138=0,"",RANK(T138,T:T,0)+COUNTIF(T$1:T137,T138))</f>
        <v/>
      </c>
      <c r="V138" s="17">
        <f t="shared" si="9"/>
        <v>0</v>
      </c>
      <c r="W138" s="17" t="str">
        <f>IF(V138=0,"",RANK(V138,V:V,0)+COUNTIF(V$1:V137,V138))</f>
        <v/>
      </c>
    </row>
    <row r="139" spans="3:23">
      <c r="C139" s="108" t="str">
        <f t="array" ref="C139">IFERROR(IF(A139="","",IF(ISNUMBER(MATCH(TRUE,ISNUMBER(SEARCH($Q$2:$Q$51, $A139)),0))=TRUE,"United States of America",INDEX($S$2:$S$199,MATCH(TRUE,ISNUMBER(SEARCH($S$2:$S$199, $A139)),0)))),"United States of America")</f>
        <v/>
      </c>
      <c r="D139" s="108" t="str">
        <f t="array" ref="D139">IF(A139="","",IF(ISNUMBER(MATCH(TRUE,ISNUMBER(SEARCH($Q$2:$Q$51, $A139)),0))=TRUE,"",IF(ISNUMBER(MATCH(TRUE,ISNUMBER(SEARCH($S$2:$S$199, $A139)),0))=TRUE,"","미국 확인 필요")))</f>
        <v/>
      </c>
      <c r="H139" s="108" t="str">
        <f t="array" ref="H139">IFERROR(IF(F139="","",IF(ISNUMBER(MATCH(TRUE,ISNUMBER(SEARCH($Q$2:$Q$51, $F139)),0))=TRUE,"United States of America",INDEX($S$2:$S$199,MATCH(TRUE,ISNUMBER(SEARCH($S$2:$S$199, $F139)),0)))),"United States of America")</f>
        <v/>
      </c>
      <c r="I139" s="108" t="str">
        <f t="array" ref="I139">IF(F139="","",IF(ISNUMBER(MATCH(TRUE,ISNUMBER(SEARCH($Q$2:$Q$51, $F139)),0))=TRUE,"",IF(ISNUMBER(MATCH(TRUE,ISNUMBER(SEARCH($S$2:$S$199, $F139)),0))=TRUE,"","미국 확인 필요")))</f>
        <v/>
      </c>
      <c r="S139" s="2" t="s">
        <v>405</v>
      </c>
      <c r="T139" s="17">
        <f t="shared" si="8"/>
        <v>0</v>
      </c>
      <c r="U139" s="17" t="str">
        <f>IF(T139=0,"",RANK(T139,T:T,0)+COUNTIF(T$1:T138,T139))</f>
        <v/>
      </c>
      <c r="V139" s="17">
        <f t="shared" si="9"/>
        <v>0</v>
      </c>
      <c r="W139" s="17" t="str">
        <f>IF(V139=0,"",RANK(V139,V:V,0)+COUNTIF(V$1:V138,V139))</f>
        <v/>
      </c>
    </row>
    <row r="140" spans="3:23">
      <c r="C140" s="108" t="str">
        <f t="array" ref="C140">IFERROR(IF(A140="","",IF(ISNUMBER(MATCH(TRUE,ISNUMBER(SEARCH($Q$2:$Q$51, $A140)),0))=TRUE,"United States of America",INDEX($S$2:$S$199,MATCH(TRUE,ISNUMBER(SEARCH($S$2:$S$199, $A140)),0)))),"United States of America")</f>
        <v/>
      </c>
      <c r="D140" s="108" t="str">
        <f t="array" ref="D140">IF(A140="","",IF(ISNUMBER(MATCH(TRUE,ISNUMBER(SEARCH($Q$2:$Q$51, $A140)),0))=TRUE,"",IF(ISNUMBER(MATCH(TRUE,ISNUMBER(SEARCH($S$2:$S$199, $A140)),0))=TRUE,"","미국 확인 필요")))</f>
        <v/>
      </c>
      <c r="H140" s="108" t="str">
        <f t="array" ref="H140">IFERROR(IF(F140="","",IF(ISNUMBER(MATCH(TRUE,ISNUMBER(SEARCH($Q$2:$Q$51, $F140)),0))=TRUE,"United States of America",INDEX($S$2:$S$199,MATCH(TRUE,ISNUMBER(SEARCH($S$2:$S$199, $F140)),0)))),"United States of America")</f>
        <v/>
      </c>
      <c r="I140" s="108" t="str">
        <f t="array" ref="I140">IF(F140="","",IF(ISNUMBER(MATCH(TRUE,ISNUMBER(SEARCH($Q$2:$Q$51, $F140)),0))=TRUE,"",IF(ISNUMBER(MATCH(TRUE,ISNUMBER(SEARCH($S$2:$S$199, $F140)),0))=TRUE,"","미국 확인 필요")))</f>
        <v/>
      </c>
      <c r="S140" s="2" t="s">
        <v>406</v>
      </c>
      <c r="T140" s="17">
        <f t="shared" si="8"/>
        <v>0</v>
      </c>
      <c r="U140" s="17" t="str">
        <f>IF(T140=0,"",RANK(T140,T:T,0)+COUNTIF(T$1:T139,T140))</f>
        <v/>
      </c>
      <c r="V140" s="17">
        <f t="shared" si="9"/>
        <v>0</v>
      </c>
      <c r="W140" s="17" t="str">
        <f>IF(V140=0,"",RANK(V140,V:V,0)+COUNTIF(V$1:V139,V140))</f>
        <v/>
      </c>
    </row>
    <row r="141" spans="3:23">
      <c r="C141" s="108" t="str">
        <f t="array" ref="C141">IFERROR(IF(A141="","",IF(ISNUMBER(MATCH(TRUE,ISNUMBER(SEARCH($Q$2:$Q$51, $A141)),0))=TRUE,"United States of America",INDEX($S$2:$S$199,MATCH(TRUE,ISNUMBER(SEARCH($S$2:$S$199, $A141)),0)))),"United States of America")</f>
        <v/>
      </c>
      <c r="D141" s="108" t="str">
        <f t="array" ref="D141">IF(A141="","",IF(ISNUMBER(MATCH(TRUE,ISNUMBER(SEARCH($Q$2:$Q$51, $A141)),0))=TRUE,"",IF(ISNUMBER(MATCH(TRUE,ISNUMBER(SEARCH($S$2:$S$199, $A141)),0))=TRUE,"","미국 확인 필요")))</f>
        <v/>
      </c>
      <c r="H141" s="108" t="str">
        <f t="array" ref="H141">IFERROR(IF(F141="","",IF(ISNUMBER(MATCH(TRUE,ISNUMBER(SEARCH($Q$2:$Q$51, $F141)),0))=TRUE,"United States of America",INDEX($S$2:$S$199,MATCH(TRUE,ISNUMBER(SEARCH($S$2:$S$199, $F141)),0)))),"United States of America")</f>
        <v/>
      </c>
      <c r="I141" s="108" t="str">
        <f t="array" ref="I141">IF(F141="","",IF(ISNUMBER(MATCH(TRUE,ISNUMBER(SEARCH($Q$2:$Q$51, $F141)),0))=TRUE,"",IF(ISNUMBER(MATCH(TRUE,ISNUMBER(SEARCH($S$2:$S$199, $F141)),0))=TRUE,"","미국 확인 필요")))</f>
        <v/>
      </c>
      <c r="S141" s="2" t="s">
        <v>407</v>
      </c>
      <c r="T141" s="17">
        <f t="shared" si="8"/>
        <v>0</v>
      </c>
      <c r="U141" s="17" t="str">
        <f>IF(T141=0,"",RANK(T141,T:T,0)+COUNTIF(T$1:T140,T141))</f>
        <v/>
      </c>
      <c r="V141" s="17">
        <f t="shared" si="9"/>
        <v>0</v>
      </c>
      <c r="W141" s="17" t="str">
        <f>IF(V141=0,"",RANK(V141,V:V,0)+COUNTIF(V$1:V140,V141))</f>
        <v/>
      </c>
    </row>
    <row r="142" spans="3:23">
      <c r="C142" s="108" t="str">
        <f t="array" ref="C142">IFERROR(IF(A142="","",IF(ISNUMBER(MATCH(TRUE,ISNUMBER(SEARCH($Q$2:$Q$51, $A142)),0))=TRUE,"United States of America",INDEX($S$2:$S$199,MATCH(TRUE,ISNUMBER(SEARCH($S$2:$S$199, $A142)),0)))),"United States of America")</f>
        <v/>
      </c>
      <c r="D142" s="108" t="str">
        <f t="array" ref="D142">IF(A142="","",IF(ISNUMBER(MATCH(TRUE,ISNUMBER(SEARCH($Q$2:$Q$51, $A142)),0))=TRUE,"",IF(ISNUMBER(MATCH(TRUE,ISNUMBER(SEARCH($S$2:$S$199, $A142)),0))=TRUE,"","미국 확인 필요")))</f>
        <v/>
      </c>
      <c r="H142" s="108" t="str">
        <f t="array" ref="H142">IFERROR(IF(F142="","",IF(ISNUMBER(MATCH(TRUE,ISNUMBER(SEARCH($Q$2:$Q$51, $F142)),0))=TRUE,"United States of America",INDEX($S$2:$S$199,MATCH(TRUE,ISNUMBER(SEARCH($S$2:$S$199, $F142)),0)))),"United States of America")</f>
        <v/>
      </c>
      <c r="I142" s="108" t="str">
        <f t="array" ref="I142">IF(F142="","",IF(ISNUMBER(MATCH(TRUE,ISNUMBER(SEARCH($Q$2:$Q$51, $F142)),0))=TRUE,"",IF(ISNUMBER(MATCH(TRUE,ISNUMBER(SEARCH($S$2:$S$199, $F142)),0))=TRUE,"","미국 확인 필요")))</f>
        <v/>
      </c>
      <c r="S142" s="2" t="s">
        <v>408</v>
      </c>
      <c r="T142" s="17">
        <f t="shared" si="8"/>
        <v>0</v>
      </c>
      <c r="U142" s="17" t="str">
        <f>IF(T142=0,"",RANK(T142,T:T,0)+COUNTIF(T$1:T141,T142))</f>
        <v/>
      </c>
      <c r="V142" s="17">
        <f t="shared" si="9"/>
        <v>0</v>
      </c>
      <c r="W142" s="17" t="str">
        <f>IF(V142=0,"",RANK(V142,V:V,0)+COUNTIF(V$1:V141,V142))</f>
        <v/>
      </c>
    </row>
    <row r="143" spans="3:23">
      <c r="C143" s="108" t="str">
        <f t="array" ref="C143">IFERROR(IF(A143="","",IF(ISNUMBER(MATCH(TRUE,ISNUMBER(SEARCH($Q$2:$Q$51, $A143)),0))=TRUE,"United States of America",INDEX($S$2:$S$199,MATCH(TRUE,ISNUMBER(SEARCH($S$2:$S$199, $A143)),0)))),"United States of America")</f>
        <v/>
      </c>
      <c r="D143" s="108" t="str">
        <f t="array" ref="D143">IF(A143="","",IF(ISNUMBER(MATCH(TRUE,ISNUMBER(SEARCH($Q$2:$Q$51, $A143)),0))=TRUE,"",IF(ISNUMBER(MATCH(TRUE,ISNUMBER(SEARCH($S$2:$S$199, $A143)),0))=TRUE,"","미국 확인 필요")))</f>
        <v/>
      </c>
      <c r="H143" s="108" t="str">
        <f t="array" ref="H143">IFERROR(IF(F143="","",IF(ISNUMBER(MATCH(TRUE,ISNUMBER(SEARCH($Q$2:$Q$51, $F143)),0))=TRUE,"United States of America",INDEX($S$2:$S$199,MATCH(TRUE,ISNUMBER(SEARCH($S$2:$S$199, $F143)),0)))),"United States of America")</f>
        <v/>
      </c>
      <c r="I143" s="108" t="str">
        <f t="array" ref="I143">IF(F143="","",IF(ISNUMBER(MATCH(TRUE,ISNUMBER(SEARCH($Q$2:$Q$51, $F143)),0))=TRUE,"",IF(ISNUMBER(MATCH(TRUE,ISNUMBER(SEARCH($S$2:$S$199, $F143)),0))=TRUE,"","미국 확인 필요")))</f>
        <v/>
      </c>
      <c r="S143" s="2" t="s">
        <v>409</v>
      </c>
      <c r="T143" s="17">
        <f t="shared" si="8"/>
        <v>0</v>
      </c>
      <c r="U143" s="17" t="str">
        <f>IF(T143=0,"",RANK(T143,T:T,0)+COUNTIF(T$1:T142,T143))</f>
        <v/>
      </c>
      <c r="V143" s="17">
        <f t="shared" si="9"/>
        <v>0</v>
      </c>
      <c r="W143" s="17" t="str">
        <f>IF(V143=0,"",RANK(V143,V:V,0)+COUNTIF(V$1:V142,V143))</f>
        <v/>
      </c>
    </row>
    <row r="144" spans="3:23">
      <c r="C144" s="108" t="str">
        <f t="array" ref="C144">IFERROR(IF(A144="","",IF(ISNUMBER(MATCH(TRUE,ISNUMBER(SEARCH($Q$2:$Q$51, $A144)),0))=TRUE,"United States of America",INDEX($S$2:$S$199,MATCH(TRUE,ISNUMBER(SEARCH($S$2:$S$199, $A144)),0)))),"United States of America")</f>
        <v/>
      </c>
      <c r="D144" s="108" t="str">
        <f t="array" ref="D144">IF(A144="","",IF(ISNUMBER(MATCH(TRUE,ISNUMBER(SEARCH($Q$2:$Q$51, $A144)),0))=TRUE,"",IF(ISNUMBER(MATCH(TRUE,ISNUMBER(SEARCH($S$2:$S$199, $A144)),0))=TRUE,"","미국 확인 필요")))</f>
        <v/>
      </c>
      <c r="H144" s="108" t="str">
        <f t="array" ref="H144">IFERROR(IF(F144="","",IF(ISNUMBER(MATCH(TRUE,ISNUMBER(SEARCH($Q$2:$Q$51, $F144)),0))=TRUE,"United States of America",INDEX($S$2:$S$199,MATCH(TRUE,ISNUMBER(SEARCH($S$2:$S$199, $F144)),0)))),"United States of America")</f>
        <v/>
      </c>
      <c r="I144" s="108" t="str">
        <f t="array" ref="I144">IF(F144="","",IF(ISNUMBER(MATCH(TRUE,ISNUMBER(SEARCH($Q$2:$Q$51, $F144)),0))=TRUE,"",IF(ISNUMBER(MATCH(TRUE,ISNUMBER(SEARCH($S$2:$S$199, $F144)),0))=TRUE,"","미국 확인 필요")))</f>
        <v/>
      </c>
      <c r="S144" s="2" t="s">
        <v>410</v>
      </c>
      <c r="T144" s="17">
        <f t="shared" si="8"/>
        <v>0</v>
      </c>
      <c r="U144" s="17" t="str">
        <f>IF(T144=0,"",RANK(T144,T:T,0)+COUNTIF(T$1:T143,T144))</f>
        <v/>
      </c>
      <c r="V144" s="17">
        <f t="shared" si="9"/>
        <v>37</v>
      </c>
      <c r="W144" s="17">
        <f>IF(V144=0,"",RANK(V144,V:V,0)+COUNTIF(V$1:V143,V144))</f>
        <v>21</v>
      </c>
    </row>
    <row r="145" spans="3:23">
      <c r="C145" s="108" t="str">
        <f t="array" ref="C145">IFERROR(IF(A145="","",IF(ISNUMBER(MATCH(TRUE,ISNUMBER(SEARCH($Q$2:$Q$51, $A145)),0))=TRUE,"United States of America",INDEX($S$2:$S$199,MATCH(TRUE,ISNUMBER(SEARCH($S$2:$S$199, $A145)),0)))),"United States of America")</f>
        <v/>
      </c>
      <c r="D145" s="108" t="str">
        <f t="array" ref="D145">IF(A145="","",IF(ISNUMBER(MATCH(TRUE,ISNUMBER(SEARCH($Q$2:$Q$51, $A145)),0))=TRUE,"",IF(ISNUMBER(MATCH(TRUE,ISNUMBER(SEARCH($S$2:$S$199, $A145)),0))=TRUE,"","미국 확인 필요")))</f>
        <v/>
      </c>
      <c r="H145" s="108" t="str">
        <f t="array" ref="H145">IFERROR(IF(F145="","",IF(ISNUMBER(MATCH(TRUE,ISNUMBER(SEARCH($Q$2:$Q$51, $F145)),0))=TRUE,"United States of America",INDEX($S$2:$S$199,MATCH(TRUE,ISNUMBER(SEARCH($S$2:$S$199, $F145)),0)))),"United States of America")</f>
        <v/>
      </c>
      <c r="I145" s="108" t="str">
        <f t="array" ref="I145">IF(F145="","",IF(ISNUMBER(MATCH(TRUE,ISNUMBER(SEARCH($Q$2:$Q$51, $F145)),0))=TRUE,"",IF(ISNUMBER(MATCH(TRUE,ISNUMBER(SEARCH($S$2:$S$199, $F145)),0))=TRUE,"","미국 확인 필요")))</f>
        <v/>
      </c>
      <c r="S145" s="2" t="s">
        <v>411</v>
      </c>
      <c r="T145" s="17">
        <f t="shared" si="8"/>
        <v>0</v>
      </c>
      <c r="U145" s="17" t="str">
        <f>IF(T145=0,"",RANK(T145,T:T,0)+COUNTIF(T$1:T144,T145))</f>
        <v/>
      </c>
      <c r="V145" s="17">
        <f t="shared" si="9"/>
        <v>0</v>
      </c>
      <c r="W145" s="17" t="str">
        <f>IF(V145=0,"",RANK(V145,V:V,0)+COUNTIF(V$1:V144,V145))</f>
        <v/>
      </c>
    </row>
    <row r="146" spans="3:23">
      <c r="C146" s="108" t="str">
        <f t="array" ref="C146">IFERROR(IF(A146="","",IF(ISNUMBER(MATCH(TRUE,ISNUMBER(SEARCH($Q$2:$Q$51, $A146)),0))=TRUE,"United States of America",INDEX($S$2:$S$199,MATCH(TRUE,ISNUMBER(SEARCH($S$2:$S$199, $A146)),0)))),"United States of America")</f>
        <v/>
      </c>
      <c r="D146" s="108" t="str">
        <f t="array" ref="D146">IF(A146="","",IF(ISNUMBER(MATCH(TRUE,ISNUMBER(SEARCH($Q$2:$Q$51, $A146)),0))=TRUE,"",IF(ISNUMBER(MATCH(TRUE,ISNUMBER(SEARCH($S$2:$S$199, $A146)),0))=TRUE,"","미국 확인 필요")))</f>
        <v/>
      </c>
      <c r="H146" s="108" t="str">
        <f t="array" ref="H146">IFERROR(IF(F146="","",IF(ISNUMBER(MATCH(TRUE,ISNUMBER(SEARCH($Q$2:$Q$51, $F146)),0))=TRUE,"United States of America",INDEX($S$2:$S$199,MATCH(TRUE,ISNUMBER(SEARCH($S$2:$S$199, $F146)),0)))),"United States of America")</f>
        <v/>
      </c>
      <c r="I146" s="108" t="str">
        <f t="array" ref="I146">IF(F146="","",IF(ISNUMBER(MATCH(TRUE,ISNUMBER(SEARCH($Q$2:$Q$51, $F146)),0))=TRUE,"",IF(ISNUMBER(MATCH(TRUE,ISNUMBER(SEARCH($S$2:$S$199, $F146)),0))=TRUE,"","미국 확인 필요")))</f>
        <v/>
      </c>
      <c r="S146" s="2" t="s">
        <v>412</v>
      </c>
      <c r="T146" s="17">
        <f t="shared" si="8"/>
        <v>0</v>
      </c>
      <c r="U146" s="17" t="str">
        <f>IF(T146=0,"",RANK(T146,T:T,0)+COUNTIF(T$1:T145,T146))</f>
        <v/>
      </c>
      <c r="V146" s="17">
        <f t="shared" si="9"/>
        <v>0</v>
      </c>
      <c r="W146" s="17" t="str">
        <f>IF(V146=0,"",RANK(V146,V:V,0)+COUNTIF(V$1:V145,V146))</f>
        <v/>
      </c>
    </row>
    <row r="147" spans="3:23">
      <c r="C147" s="108" t="str">
        <f t="array" ref="C147">IFERROR(IF(A147="","",IF(ISNUMBER(MATCH(TRUE,ISNUMBER(SEARCH($Q$2:$Q$51, $A147)),0))=TRUE,"United States of America",INDEX($S$2:$S$199,MATCH(TRUE,ISNUMBER(SEARCH($S$2:$S$199, $A147)),0)))),"United States of America")</f>
        <v/>
      </c>
      <c r="D147" s="108" t="str">
        <f t="array" ref="D147">IF(A147="","",IF(ISNUMBER(MATCH(TRUE,ISNUMBER(SEARCH($Q$2:$Q$51, $A147)),0))=TRUE,"",IF(ISNUMBER(MATCH(TRUE,ISNUMBER(SEARCH($S$2:$S$199, $A147)),0))=TRUE,"","미국 확인 필요")))</f>
        <v/>
      </c>
      <c r="H147" s="108" t="str">
        <f t="array" ref="H147">IFERROR(IF(F147="","",IF(ISNUMBER(MATCH(TRUE,ISNUMBER(SEARCH($Q$2:$Q$51, $F147)),0))=TRUE,"United States of America",INDEX($S$2:$S$199,MATCH(TRUE,ISNUMBER(SEARCH($S$2:$S$199, $F147)),0)))),"United States of America")</f>
        <v/>
      </c>
      <c r="I147" s="108" t="str">
        <f t="array" ref="I147">IF(F147="","",IF(ISNUMBER(MATCH(TRUE,ISNUMBER(SEARCH($Q$2:$Q$51, $F147)),0))=TRUE,"",IF(ISNUMBER(MATCH(TRUE,ISNUMBER(SEARCH($S$2:$S$199, $F147)),0))=TRUE,"","미국 확인 필요")))</f>
        <v/>
      </c>
      <c r="S147" s="2" t="s">
        <v>413</v>
      </c>
      <c r="T147" s="17">
        <f t="shared" si="8"/>
        <v>0</v>
      </c>
      <c r="U147" s="17" t="str">
        <f>IF(T147=0,"",RANK(T147,T:T,0)+COUNTIF(T$1:T146,T147))</f>
        <v/>
      </c>
      <c r="V147" s="17">
        <f t="shared" si="9"/>
        <v>0</v>
      </c>
      <c r="W147" s="17" t="str">
        <f>IF(V147=0,"",RANK(V147,V:V,0)+COUNTIF(V$1:V146,V147))</f>
        <v/>
      </c>
    </row>
    <row r="148" spans="3:23">
      <c r="C148" s="108" t="str">
        <f t="array" ref="C148">IFERROR(IF(A148="","",IF(ISNUMBER(MATCH(TRUE,ISNUMBER(SEARCH($Q$2:$Q$51, $A148)),0))=TRUE,"United States of America",INDEX($S$2:$S$199,MATCH(TRUE,ISNUMBER(SEARCH($S$2:$S$199, $A148)),0)))),"United States of America")</f>
        <v/>
      </c>
      <c r="D148" s="108" t="str">
        <f t="array" ref="D148">IF(A148="","",IF(ISNUMBER(MATCH(TRUE,ISNUMBER(SEARCH($Q$2:$Q$51, $A148)),0))=TRUE,"",IF(ISNUMBER(MATCH(TRUE,ISNUMBER(SEARCH($S$2:$S$199, $A148)),0))=TRUE,"","미국 확인 필요")))</f>
        <v/>
      </c>
      <c r="H148" s="108" t="str">
        <f t="array" ref="H148">IFERROR(IF(F148="","",IF(ISNUMBER(MATCH(TRUE,ISNUMBER(SEARCH($Q$2:$Q$51, $F148)),0))=TRUE,"United States of America",INDEX($S$2:$S$199,MATCH(TRUE,ISNUMBER(SEARCH($S$2:$S$199, $F148)),0)))),"United States of America")</f>
        <v/>
      </c>
      <c r="I148" s="108" t="str">
        <f t="array" ref="I148">IF(F148="","",IF(ISNUMBER(MATCH(TRUE,ISNUMBER(SEARCH($Q$2:$Q$51, $F148)),0))=TRUE,"",IF(ISNUMBER(MATCH(TRUE,ISNUMBER(SEARCH($S$2:$S$199, $F148)),0))=TRUE,"","미국 확인 필요")))</f>
        <v/>
      </c>
      <c r="S148" s="2" t="s">
        <v>414</v>
      </c>
      <c r="T148" s="17">
        <f t="shared" si="8"/>
        <v>0</v>
      </c>
      <c r="U148" s="17" t="str">
        <f>IF(T148=0,"",RANK(T148,T:T,0)+COUNTIF(T$1:T147,T148))</f>
        <v/>
      </c>
      <c r="V148" s="17">
        <f t="shared" si="9"/>
        <v>0</v>
      </c>
      <c r="W148" s="17" t="str">
        <f>IF(V148=0,"",RANK(V148,V:V,0)+COUNTIF(V$1:V147,V148))</f>
        <v/>
      </c>
    </row>
    <row r="149" spans="3:23">
      <c r="C149" s="108" t="str">
        <f t="array" ref="C149">IFERROR(IF(A149="","",IF(ISNUMBER(MATCH(TRUE,ISNUMBER(SEARCH($Q$2:$Q$51, $A149)),0))=TRUE,"United States of America",INDEX($S$2:$S$199,MATCH(TRUE,ISNUMBER(SEARCH($S$2:$S$199, $A149)),0)))),"United States of America")</f>
        <v/>
      </c>
      <c r="D149" s="108" t="str">
        <f t="array" ref="D149">IF(A149="","",IF(ISNUMBER(MATCH(TRUE,ISNUMBER(SEARCH($Q$2:$Q$51, $A149)),0))=TRUE,"",IF(ISNUMBER(MATCH(TRUE,ISNUMBER(SEARCH($S$2:$S$199, $A149)),0))=TRUE,"","미국 확인 필요")))</f>
        <v/>
      </c>
      <c r="H149" s="108" t="str">
        <f t="array" ref="H149">IFERROR(IF(F149="","",IF(ISNUMBER(MATCH(TRUE,ISNUMBER(SEARCH($Q$2:$Q$51, $F149)),0))=TRUE,"United States of America",INDEX($S$2:$S$199,MATCH(TRUE,ISNUMBER(SEARCH($S$2:$S$199, $F149)),0)))),"United States of America")</f>
        <v/>
      </c>
      <c r="I149" s="108" t="str">
        <f t="array" ref="I149">IF(F149="","",IF(ISNUMBER(MATCH(TRUE,ISNUMBER(SEARCH($Q$2:$Q$51, $F149)),0))=TRUE,"",IF(ISNUMBER(MATCH(TRUE,ISNUMBER(SEARCH($S$2:$S$199, $F149)),0))=TRUE,"","미국 확인 필요")))</f>
        <v/>
      </c>
      <c r="S149" s="2" t="s">
        <v>415</v>
      </c>
      <c r="T149" s="17">
        <f t="shared" si="8"/>
        <v>0</v>
      </c>
      <c r="U149" s="17" t="str">
        <f>IF(T149=0,"",RANK(T149,T:T,0)+COUNTIF(T$1:T148,T149))</f>
        <v/>
      </c>
      <c r="V149" s="17">
        <f t="shared" si="9"/>
        <v>0</v>
      </c>
      <c r="W149" s="17" t="str">
        <f>IF(V149=0,"",RANK(V149,V:V,0)+COUNTIF(V$1:V148,V149))</f>
        <v/>
      </c>
    </row>
    <row r="150" spans="3:23">
      <c r="C150" s="108" t="str">
        <f t="array" ref="C150">IFERROR(IF(A150="","",IF(ISNUMBER(MATCH(TRUE,ISNUMBER(SEARCH($Q$2:$Q$51, $A150)),0))=TRUE,"United States of America",INDEX($S$2:$S$199,MATCH(TRUE,ISNUMBER(SEARCH($S$2:$S$199, $A150)),0)))),"United States of America")</f>
        <v/>
      </c>
      <c r="D150" s="108" t="str">
        <f t="array" ref="D150">IF(A150="","",IF(ISNUMBER(MATCH(TRUE,ISNUMBER(SEARCH($Q$2:$Q$51, $A150)),0))=TRUE,"",IF(ISNUMBER(MATCH(TRUE,ISNUMBER(SEARCH($S$2:$S$199, $A150)),0))=TRUE,"","미국 확인 필요")))</f>
        <v/>
      </c>
      <c r="H150" s="108" t="str">
        <f t="array" ref="H150">IFERROR(IF(F150="","",IF(ISNUMBER(MATCH(TRUE,ISNUMBER(SEARCH($Q$2:$Q$51, $F150)),0))=TRUE,"United States of America",INDEX($S$2:$S$199,MATCH(TRUE,ISNUMBER(SEARCH($S$2:$S$199, $F150)),0)))),"United States of America")</f>
        <v/>
      </c>
      <c r="I150" s="108" t="str">
        <f t="array" ref="I150">IF(F150="","",IF(ISNUMBER(MATCH(TRUE,ISNUMBER(SEARCH($Q$2:$Q$51, $F150)),0))=TRUE,"",IF(ISNUMBER(MATCH(TRUE,ISNUMBER(SEARCH($S$2:$S$199, $F150)),0))=TRUE,"","미국 확인 필요")))</f>
        <v/>
      </c>
      <c r="S150" s="2" t="s">
        <v>416</v>
      </c>
      <c r="T150" s="17">
        <f t="shared" si="8"/>
        <v>0</v>
      </c>
      <c r="U150" s="17" t="str">
        <f>IF(T150=0,"",RANK(T150,T:T,0)+COUNTIF(T$1:T149,T150))</f>
        <v/>
      </c>
      <c r="V150" s="17">
        <f t="shared" si="9"/>
        <v>0</v>
      </c>
      <c r="W150" s="17" t="str">
        <f>IF(V150=0,"",RANK(V150,V:V,0)+COUNTIF(V$1:V149,V150))</f>
        <v/>
      </c>
    </row>
    <row r="151" spans="3:23">
      <c r="C151" s="108" t="str">
        <f t="array" ref="C151">IFERROR(IF(A151="","",IF(ISNUMBER(MATCH(TRUE,ISNUMBER(SEARCH($Q$2:$Q$51, $A151)),0))=TRUE,"United States of America",INDEX($S$2:$S$199,MATCH(TRUE,ISNUMBER(SEARCH($S$2:$S$199, $A151)),0)))),"United States of America")</f>
        <v/>
      </c>
      <c r="D151" s="108" t="str">
        <f t="array" ref="D151">IF(A151="","",IF(ISNUMBER(MATCH(TRUE,ISNUMBER(SEARCH($Q$2:$Q$51, $A151)),0))=TRUE,"",IF(ISNUMBER(MATCH(TRUE,ISNUMBER(SEARCH($S$2:$S$199, $A151)),0))=TRUE,"","미국 확인 필요")))</f>
        <v/>
      </c>
      <c r="H151" s="108" t="str">
        <f t="array" ref="H151">IFERROR(IF(F151="","",IF(ISNUMBER(MATCH(TRUE,ISNUMBER(SEARCH($Q$2:$Q$51, $F151)),0))=TRUE,"United States of America",INDEX($S$2:$S$199,MATCH(TRUE,ISNUMBER(SEARCH($S$2:$S$199, $F151)),0)))),"United States of America")</f>
        <v/>
      </c>
      <c r="I151" s="108" t="str">
        <f t="array" ref="I151">IF(F151="","",IF(ISNUMBER(MATCH(TRUE,ISNUMBER(SEARCH($Q$2:$Q$51, $F151)),0))=TRUE,"",IF(ISNUMBER(MATCH(TRUE,ISNUMBER(SEARCH($S$2:$S$199, $F151)),0))=TRUE,"","미국 확인 필요")))</f>
        <v/>
      </c>
      <c r="S151" s="2" t="s">
        <v>417</v>
      </c>
      <c r="T151" s="17">
        <f t="shared" si="8"/>
        <v>0</v>
      </c>
      <c r="U151" s="17" t="str">
        <f>IF(T151=0,"",RANK(T151,T:T,0)+COUNTIF(T$1:T150,T151))</f>
        <v/>
      </c>
      <c r="V151" s="17">
        <f t="shared" si="9"/>
        <v>0</v>
      </c>
      <c r="W151" s="17" t="str">
        <f>IF(V151=0,"",RANK(V151,V:V,0)+COUNTIF(V$1:V150,V151))</f>
        <v/>
      </c>
    </row>
    <row r="152" spans="3:23">
      <c r="C152" s="108" t="str">
        <f t="array" ref="C152">IFERROR(IF(A152="","",IF(ISNUMBER(MATCH(TRUE,ISNUMBER(SEARCH($Q$2:$Q$51, $A152)),0))=TRUE,"United States of America",INDEX($S$2:$S$199,MATCH(TRUE,ISNUMBER(SEARCH($S$2:$S$199, $A152)),0)))),"United States of America")</f>
        <v/>
      </c>
      <c r="D152" s="108" t="str">
        <f t="array" ref="D152">IF(A152="","",IF(ISNUMBER(MATCH(TRUE,ISNUMBER(SEARCH($Q$2:$Q$51, $A152)),0))=TRUE,"",IF(ISNUMBER(MATCH(TRUE,ISNUMBER(SEARCH($S$2:$S$199, $A152)),0))=TRUE,"","미국 확인 필요")))</f>
        <v/>
      </c>
      <c r="H152" s="108" t="str">
        <f t="array" ref="H152">IFERROR(IF(F152="","",IF(ISNUMBER(MATCH(TRUE,ISNUMBER(SEARCH($Q$2:$Q$51, $F152)),0))=TRUE,"United States of America",INDEX($S$2:$S$199,MATCH(TRUE,ISNUMBER(SEARCH($S$2:$S$199, $F152)),0)))),"United States of America")</f>
        <v/>
      </c>
      <c r="I152" s="108" t="str">
        <f t="array" ref="I152">IF(F152="","",IF(ISNUMBER(MATCH(TRUE,ISNUMBER(SEARCH($Q$2:$Q$51, $F152)),0))=TRUE,"",IF(ISNUMBER(MATCH(TRUE,ISNUMBER(SEARCH($S$2:$S$199, $F152)),0))=TRUE,"","미국 확인 필요")))</f>
        <v/>
      </c>
      <c r="S152" s="2" t="s">
        <v>418</v>
      </c>
      <c r="T152" s="17">
        <f t="shared" si="8"/>
        <v>0</v>
      </c>
      <c r="U152" s="17" t="str">
        <f>IF(T152=0,"",RANK(T152,T:T,0)+COUNTIF(T$1:T151,T152))</f>
        <v/>
      </c>
      <c r="V152" s="17">
        <f t="shared" si="9"/>
        <v>0</v>
      </c>
      <c r="W152" s="17" t="str">
        <f>IF(V152=0,"",RANK(V152,V:V,0)+COUNTIF(V$1:V151,V152))</f>
        <v/>
      </c>
    </row>
    <row r="153" spans="3:23">
      <c r="C153" s="108" t="str">
        <f t="array" ref="C153">IFERROR(IF(A153="","",IF(ISNUMBER(MATCH(TRUE,ISNUMBER(SEARCH($Q$2:$Q$51, $A153)),0))=TRUE,"United States of America",INDEX($S$2:$S$199,MATCH(TRUE,ISNUMBER(SEARCH($S$2:$S$199, $A153)),0)))),"United States of America")</f>
        <v/>
      </c>
      <c r="D153" s="108" t="str">
        <f t="array" ref="D153">IF(A153="","",IF(ISNUMBER(MATCH(TRUE,ISNUMBER(SEARCH($Q$2:$Q$51, $A153)),0))=TRUE,"",IF(ISNUMBER(MATCH(TRUE,ISNUMBER(SEARCH($S$2:$S$199, $A153)),0))=TRUE,"","미국 확인 필요")))</f>
        <v/>
      </c>
      <c r="H153" s="108" t="str">
        <f t="array" ref="H153">IFERROR(IF(F153="","",IF(ISNUMBER(MATCH(TRUE,ISNUMBER(SEARCH($Q$2:$Q$51, $F153)),0))=TRUE,"United States of America",INDEX($S$2:$S$199,MATCH(TRUE,ISNUMBER(SEARCH($S$2:$S$199, $F153)),0)))),"United States of America")</f>
        <v/>
      </c>
      <c r="I153" s="108" t="str">
        <f t="array" ref="I153">IF(F153="","",IF(ISNUMBER(MATCH(TRUE,ISNUMBER(SEARCH($Q$2:$Q$51, $F153)),0))=TRUE,"",IF(ISNUMBER(MATCH(TRUE,ISNUMBER(SEARCH($S$2:$S$199, $F153)),0))=TRUE,"","미국 확인 필요")))</f>
        <v/>
      </c>
      <c r="S153" s="2" t="s">
        <v>419</v>
      </c>
      <c r="T153" s="17">
        <f t="shared" si="8"/>
        <v>0</v>
      </c>
      <c r="U153" s="17" t="str">
        <f>IF(T153=0,"",RANK(T153,T:T,0)+COUNTIF(T$1:T152,T153))</f>
        <v/>
      </c>
      <c r="V153" s="17">
        <f t="shared" si="9"/>
        <v>0</v>
      </c>
      <c r="W153" s="17" t="str">
        <f>IF(V153=0,"",RANK(V153,V:V,0)+COUNTIF(V$1:V152,V153))</f>
        <v/>
      </c>
    </row>
    <row r="154" spans="3:23">
      <c r="C154" s="108" t="str">
        <f t="array" ref="C154">IFERROR(IF(A154="","",IF(ISNUMBER(MATCH(TRUE,ISNUMBER(SEARCH($Q$2:$Q$51, $A154)),0))=TRUE,"United States of America",INDEX($S$2:$S$199,MATCH(TRUE,ISNUMBER(SEARCH($S$2:$S$199, $A154)),0)))),"United States of America")</f>
        <v/>
      </c>
      <c r="D154" s="108" t="str">
        <f t="array" ref="D154">IF(A154="","",IF(ISNUMBER(MATCH(TRUE,ISNUMBER(SEARCH($Q$2:$Q$51, $A154)),0))=TRUE,"",IF(ISNUMBER(MATCH(TRUE,ISNUMBER(SEARCH($S$2:$S$199, $A154)),0))=TRUE,"","미국 확인 필요")))</f>
        <v/>
      </c>
      <c r="H154" s="108" t="str">
        <f t="array" ref="H154">IFERROR(IF(F154="","",IF(ISNUMBER(MATCH(TRUE,ISNUMBER(SEARCH($Q$2:$Q$51, $F154)),0))=TRUE,"United States of America",INDEX($S$2:$S$199,MATCH(TRUE,ISNUMBER(SEARCH($S$2:$S$199, $F154)),0)))),"United States of America")</f>
        <v/>
      </c>
      <c r="I154" s="108" t="str">
        <f t="array" ref="I154">IF(F154="","",IF(ISNUMBER(MATCH(TRUE,ISNUMBER(SEARCH($Q$2:$Q$51, $F154)),0))=TRUE,"",IF(ISNUMBER(MATCH(TRUE,ISNUMBER(SEARCH($S$2:$S$199, $F154)),0))=TRUE,"","미국 확인 필요")))</f>
        <v/>
      </c>
      <c r="S154" s="2" t="s">
        <v>420</v>
      </c>
      <c r="T154" s="17">
        <f t="shared" si="8"/>
        <v>0</v>
      </c>
      <c r="U154" s="17" t="str">
        <f>IF(T154=0,"",RANK(T154,T:T,0)+COUNTIF(T$1:T153,T154))</f>
        <v/>
      </c>
      <c r="V154" s="17">
        <f t="shared" si="9"/>
        <v>0</v>
      </c>
      <c r="W154" s="17" t="str">
        <f>IF(V154=0,"",RANK(V154,V:V,0)+COUNTIF(V$1:V153,V154))</f>
        <v/>
      </c>
    </row>
    <row r="155" spans="3:23">
      <c r="C155" s="108" t="str">
        <f t="array" ref="C155">IFERROR(IF(A155="","",IF(ISNUMBER(MATCH(TRUE,ISNUMBER(SEARCH($Q$2:$Q$51, $A155)),0))=TRUE,"United States of America",INDEX($S$2:$S$199,MATCH(TRUE,ISNUMBER(SEARCH($S$2:$S$199, $A155)),0)))),"United States of America")</f>
        <v/>
      </c>
      <c r="D155" s="108" t="str">
        <f t="array" ref="D155">IF(A155="","",IF(ISNUMBER(MATCH(TRUE,ISNUMBER(SEARCH($Q$2:$Q$51, $A155)),0))=TRUE,"",IF(ISNUMBER(MATCH(TRUE,ISNUMBER(SEARCH($S$2:$S$199, $A155)),0))=TRUE,"","미국 확인 필요")))</f>
        <v/>
      </c>
      <c r="H155" s="108" t="str">
        <f t="array" ref="H155">IFERROR(IF(F155="","",IF(ISNUMBER(MATCH(TRUE,ISNUMBER(SEARCH($Q$2:$Q$51, $F155)),0))=TRUE,"United States of America",INDEX($S$2:$S$199,MATCH(TRUE,ISNUMBER(SEARCH($S$2:$S$199, $F155)),0)))),"United States of America")</f>
        <v/>
      </c>
      <c r="I155" s="108" t="str">
        <f t="array" ref="I155">IF(F155="","",IF(ISNUMBER(MATCH(TRUE,ISNUMBER(SEARCH($Q$2:$Q$51, $F155)),0))=TRUE,"",IF(ISNUMBER(MATCH(TRUE,ISNUMBER(SEARCH($S$2:$S$199, $F155)),0))=TRUE,"","미국 확인 필요")))</f>
        <v/>
      </c>
      <c r="S155" s="2" t="s">
        <v>421</v>
      </c>
      <c r="T155" s="17">
        <f t="shared" si="8"/>
        <v>0</v>
      </c>
      <c r="U155" s="17" t="str">
        <f>IF(T155=0,"",RANK(T155,T:T,0)+COUNTIF(T$1:T154,T155))</f>
        <v/>
      </c>
      <c r="V155" s="17">
        <f t="shared" si="9"/>
        <v>0</v>
      </c>
      <c r="W155" s="17" t="str">
        <f>IF(V155=0,"",RANK(V155,V:V,0)+COUNTIF(V$1:V154,V155))</f>
        <v/>
      </c>
    </row>
    <row r="156" spans="3:23">
      <c r="C156" s="108" t="str">
        <f t="array" ref="C156">IFERROR(IF(A156="","",IF(ISNUMBER(MATCH(TRUE,ISNUMBER(SEARCH($Q$2:$Q$51, $A156)),0))=TRUE,"United States of America",INDEX($S$2:$S$199,MATCH(TRUE,ISNUMBER(SEARCH($S$2:$S$199, $A156)),0)))),"United States of America")</f>
        <v/>
      </c>
      <c r="D156" s="108" t="str">
        <f t="array" ref="D156">IF(A156="","",IF(ISNUMBER(MATCH(TRUE,ISNUMBER(SEARCH($Q$2:$Q$51, $A156)),0))=TRUE,"",IF(ISNUMBER(MATCH(TRUE,ISNUMBER(SEARCH($S$2:$S$199, $A156)),0))=TRUE,"","미국 확인 필요")))</f>
        <v/>
      </c>
      <c r="H156" s="108" t="str">
        <f t="array" ref="H156">IFERROR(IF(F156="","",IF(ISNUMBER(MATCH(TRUE,ISNUMBER(SEARCH($Q$2:$Q$51, $F156)),0))=TRUE,"United States of America",INDEX($S$2:$S$199,MATCH(TRUE,ISNUMBER(SEARCH($S$2:$S$199, $F156)),0)))),"United States of America")</f>
        <v/>
      </c>
      <c r="I156" s="108" t="str">
        <f t="array" ref="I156">IF(F156="","",IF(ISNUMBER(MATCH(TRUE,ISNUMBER(SEARCH($Q$2:$Q$51, $F156)),0))=TRUE,"",IF(ISNUMBER(MATCH(TRUE,ISNUMBER(SEARCH($S$2:$S$199, $F156)),0))=TRUE,"","미국 확인 필요")))</f>
        <v/>
      </c>
      <c r="S156" s="2" t="s">
        <v>422</v>
      </c>
      <c r="T156" s="17">
        <f t="shared" si="8"/>
        <v>0</v>
      </c>
      <c r="U156" s="17" t="str">
        <f>IF(T156=0,"",RANK(T156,T:T,0)+COUNTIF(T$1:T155,T156))</f>
        <v/>
      </c>
      <c r="V156" s="17">
        <f t="shared" si="9"/>
        <v>0</v>
      </c>
      <c r="W156" s="17" t="str">
        <f>IF(V156=0,"",RANK(V156,V:V,0)+COUNTIF(V$1:V155,V156))</f>
        <v/>
      </c>
    </row>
    <row r="157" spans="3:23">
      <c r="C157" s="108" t="str">
        <f t="array" ref="C157">IFERROR(IF(A157="","",IF(ISNUMBER(MATCH(TRUE,ISNUMBER(SEARCH($Q$2:$Q$51, $A157)),0))=TRUE,"United States of America",INDEX($S$2:$S$199,MATCH(TRUE,ISNUMBER(SEARCH($S$2:$S$199, $A157)),0)))),"United States of America")</f>
        <v/>
      </c>
      <c r="D157" s="108" t="str">
        <f t="array" ref="D157">IF(A157="","",IF(ISNUMBER(MATCH(TRUE,ISNUMBER(SEARCH($Q$2:$Q$51, $A157)),0))=TRUE,"",IF(ISNUMBER(MATCH(TRUE,ISNUMBER(SEARCH($S$2:$S$199, $A157)),0))=TRUE,"","미국 확인 필요")))</f>
        <v/>
      </c>
      <c r="H157" s="108" t="str">
        <f t="array" ref="H157">IFERROR(IF(F157="","",IF(ISNUMBER(MATCH(TRUE,ISNUMBER(SEARCH($Q$2:$Q$51, $F157)),0))=TRUE,"United States of America",INDEX($S$2:$S$199,MATCH(TRUE,ISNUMBER(SEARCH($S$2:$S$199, $F157)),0)))),"United States of America")</f>
        <v/>
      </c>
      <c r="I157" s="108" t="str">
        <f t="array" ref="I157">IF(F157="","",IF(ISNUMBER(MATCH(TRUE,ISNUMBER(SEARCH($Q$2:$Q$51, $F157)),0))=TRUE,"",IF(ISNUMBER(MATCH(TRUE,ISNUMBER(SEARCH($S$2:$S$199, $F157)),0))=TRUE,"","미국 확인 필요")))</f>
        <v/>
      </c>
      <c r="S157" s="2" t="s">
        <v>423</v>
      </c>
      <c r="T157" s="17">
        <f t="shared" si="8"/>
        <v>0</v>
      </c>
      <c r="U157" s="17" t="str">
        <f>IF(T157=0,"",RANK(T157,T:T,0)+COUNTIF(T$1:T156,T157))</f>
        <v/>
      </c>
      <c r="V157" s="17">
        <f t="shared" si="9"/>
        <v>0</v>
      </c>
      <c r="W157" s="17" t="str">
        <f>IF(V157=0,"",RANK(V157,V:V,0)+COUNTIF(V$1:V156,V157))</f>
        <v/>
      </c>
    </row>
    <row r="158" spans="3:23">
      <c r="C158" s="108" t="str">
        <f t="array" ref="C158">IFERROR(IF(A158="","",IF(ISNUMBER(MATCH(TRUE,ISNUMBER(SEARCH($Q$2:$Q$51, $A158)),0))=TRUE,"United States of America",INDEX($S$2:$S$199,MATCH(TRUE,ISNUMBER(SEARCH($S$2:$S$199, $A158)),0)))),"United States of America")</f>
        <v/>
      </c>
      <c r="D158" s="108" t="str">
        <f t="array" ref="D158">IF(A158="","",IF(ISNUMBER(MATCH(TRUE,ISNUMBER(SEARCH($Q$2:$Q$51, $A158)),0))=TRUE,"",IF(ISNUMBER(MATCH(TRUE,ISNUMBER(SEARCH($S$2:$S$199, $A158)),0))=TRUE,"","미국 확인 필요")))</f>
        <v/>
      </c>
      <c r="H158" s="108" t="str">
        <f t="array" ref="H158">IFERROR(IF(F158="","",IF(ISNUMBER(MATCH(TRUE,ISNUMBER(SEARCH($Q$2:$Q$51, $F158)),0))=TRUE,"United States of America",INDEX($S$2:$S$199,MATCH(TRUE,ISNUMBER(SEARCH($S$2:$S$199, $F158)),0)))),"United States of America")</f>
        <v/>
      </c>
      <c r="I158" s="108" t="str">
        <f t="array" ref="I158">IF(F158="","",IF(ISNUMBER(MATCH(TRUE,ISNUMBER(SEARCH($Q$2:$Q$51, $F158)),0))=TRUE,"",IF(ISNUMBER(MATCH(TRUE,ISNUMBER(SEARCH($S$2:$S$199, $F158)),0))=TRUE,"","미국 확인 필요")))</f>
        <v/>
      </c>
      <c r="S158" s="2" t="s">
        <v>424</v>
      </c>
      <c r="T158" s="17">
        <f t="shared" si="8"/>
        <v>0</v>
      </c>
      <c r="U158" s="17" t="str">
        <f>IF(T158=0,"",RANK(T158,T:T,0)+COUNTIF(T$1:T157,T158))</f>
        <v/>
      </c>
      <c r="V158" s="17">
        <f t="shared" si="9"/>
        <v>0</v>
      </c>
      <c r="W158" s="17" t="str">
        <f>IF(V158=0,"",RANK(V158,V:V,0)+COUNTIF(V$1:V157,V158))</f>
        <v/>
      </c>
    </row>
    <row r="159" spans="3:23">
      <c r="C159" s="108" t="str">
        <f t="array" ref="C159">IFERROR(IF(A159="","",IF(ISNUMBER(MATCH(TRUE,ISNUMBER(SEARCH($Q$2:$Q$51, $A159)),0))=TRUE,"United States of America",INDEX($S$2:$S$199,MATCH(TRUE,ISNUMBER(SEARCH($S$2:$S$199, $A159)),0)))),"United States of America")</f>
        <v/>
      </c>
      <c r="D159" s="108" t="str">
        <f t="array" ref="D159">IF(A159="","",IF(ISNUMBER(MATCH(TRUE,ISNUMBER(SEARCH($Q$2:$Q$51, $A159)),0))=TRUE,"",IF(ISNUMBER(MATCH(TRUE,ISNUMBER(SEARCH($S$2:$S$199, $A159)),0))=TRUE,"","미국 확인 필요")))</f>
        <v/>
      </c>
      <c r="H159" s="108" t="str">
        <f t="array" ref="H159">IFERROR(IF(F159="","",IF(ISNUMBER(MATCH(TRUE,ISNUMBER(SEARCH($Q$2:$Q$51, $F159)),0))=TRUE,"United States of America",INDEX($S$2:$S$199,MATCH(TRUE,ISNUMBER(SEARCH($S$2:$S$199, $F159)),0)))),"United States of America")</f>
        <v/>
      </c>
      <c r="I159" s="108" t="str">
        <f t="array" ref="I159">IF(F159="","",IF(ISNUMBER(MATCH(TRUE,ISNUMBER(SEARCH($Q$2:$Q$51, $F159)),0))=TRUE,"",IF(ISNUMBER(MATCH(TRUE,ISNUMBER(SEARCH($S$2:$S$199, $F159)),0))=TRUE,"","미국 확인 필요")))</f>
        <v/>
      </c>
      <c r="S159" s="2" t="s">
        <v>425</v>
      </c>
      <c r="T159" s="17">
        <f t="shared" si="8"/>
        <v>0</v>
      </c>
      <c r="U159" s="17" t="str">
        <f>IF(T159=0,"",RANK(T159,T:T,0)+COUNTIF(T$1:T158,T159))</f>
        <v/>
      </c>
      <c r="V159" s="17">
        <f t="shared" si="9"/>
        <v>0</v>
      </c>
      <c r="W159" s="17" t="str">
        <f>IF(V159=0,"",RANK(V159,V:V,0)+COUNTIF(V$1:V158,V159))</f>
        <v/>
      </c>
    </row>
    <row r="160" spans="3:23">
      <c r="C160" s="108" t="str">
        <f t="array" ref="C160">IFERROR(IF(A160="","",IF(ISNUMBER(MATCH(TRUE,ISNUMBER(SEARCH($Q$2:$Q$51, $A160)),0))=TRUE,"United States of America",INDEX($S$2:$S$199,MATCH(TRUE,ISNUMBER(SEARCH($S$2:$S$199, $A160)),0)))),"United States of America")</f>
        <v/>
      </c>
      <c r="D160" s="108" t="str">
        <f t="array" ref="D160">IF(A160="","",IF(ISNUMBER(MATCH(TRUE,ISNUMBER(SEARCH($Q$2:$Q$51, $A160)),0))=TRUE,"",IF(ISNUMBER(MATCH(TRUE,ISNUMBER(SEARCH($S$2:$S$199, $A160)),0))=TRUE,"","미국 확인 필요")))</f>
        <v/>
      </c>
      <c r="H160" s="108" t="str">
        <f t="array" ref="H160">IFERROR(IF(F160="","",IF(ISNUMBER(MATCH(TRUE,ISNUMBER(SEARCH($Q$2:$Q$51, $F160)),0))=TRUE,"United States of America",INDEX($S$2:$S$199,MATCH(TRUE,ISNUMBER(SEARCH($S$2:$S$199, $F160)),0)))),"United States of America")</f>
        <v/>
      </c>
      <c r="I160" s="108" t="str">
        <f t="array" ref="I160">IF(F160="","",IF(ISNUMBER(MATCH(TRUE,ISNUMBER(SEARCH($Q$2:$Q$51, $F160)),0))=TRUE,"",IF(ISNUMBER(MATCH(TRUE,ISNUMBER(SEARCH($S$2:$S$199, $F160)),0))=TRUE,"","미국 확인 필요")))</f>
        <v/>
      </c>
      <c r="S160" s="2" t="s">
        <v>426</v>
      </c>
      <c r="T160" s="17">
        <f t="shared" si="8"/>
        <v>0</v>
      </c>
      <c r="U160" s="17" t="str">
        <f>IF(T160=0,"",RANK(T160,T:T,0)+COUNTIF(T$1:T159,T160))</f>
        <v/>
      </c>
      <c r="V160" s="17">
        <f t="shared" si="9"/>
        <v>0</v>
      </c>
      <c r="W160" s="17" t="str">
        <f>IF(V160=0,"",RANK(V160,V:V,0)+COUNTIF(V$1:V159,V160))</f>
        <v/>
      </c>
    </row>
    <row r="161" spans="3:23">
      <c r="C161" s="108" t="str">
        <f t="array" ref="C161">IFERROR(IF(A161="","",IF(ISNUMBER(MATCH(TRUE,ISNUMBER(SEARCH($Q$2:$Q$51, $A161)),0))=TRUE,"United States of America",INDEX($S$2:$S$199,MATCH(TRUE,ISNUMBER(SEARCH($S$2:$S$199, $A161)),0)))),"United States of America")</f>
        <v/>
      </c>
      <c r="D161" s="108" t="str">
        <f t="array" ref="D161">IF(A161="","",IF(ISNUMBER(MATCH(TRUE,ISNUMBER(SEARCH($Q$2:$Q$51, $A161)),0))=TRUE,"",IF(ISNUMBER(MATCH(TRUE,ISNUMBER(SEARCH($S$2:$S$199, $A161)),0))=TRUE,"","미국 확인 필요")))</f>
        <v/>
      </c>
      <c r="H161" s="108" t="str">
        <f t="array" ref="H161">IFERROR(IF(F161="","",IF(ISNUMBER(MATCH(TRUE,ISNUMBER(SEARCH($Q$2:$Q$51, $F161)),0))=TRUE,"United States of America",INDEX($S$2:$S$199,MATCH(TRUE,ISNUMBER(SEARCH($S$2:$S$199, $F161)),0)))),"United States of America")</f>
        <v/>
      </c>
      <c r="I161" s="108" t="str">
        <f t="array" ref="I161">IF(F161="","",IF(ISNUMBER(MATCH(TRUE,ISNUMBER(SEARCH($Q$2:$Q$51, $F161)),0))=TRUE,"",IF(ISNUMBER(MATCH(TRUE,ISNUMBER(SEARCH($S$2:$S$199, $F161)),0))=TRUE,"","미국 확인 필요")))</f>
        <v/>
      </c>
      <c r="S161" s="2" t="s">
        <v>427</v>
      </c>
      <c r="T161" s="17">
        <f t="shared" si="8"/>
        <v>0</v>
      </c>
      <c r="U161" s="17" t="str">
        <f>IF(T161=0,"",RANK(T161,T:T,0)+COUNTIF(T$1:T160,T161))</f>
        <v/>
      </c>
      <c r="V161" s="17">
        <f t="shared" si="9"/>
        <v>0</v>
      </c>
      <c r="W161" s="17" t="str">
        <f>IF(V161=0,"",RANK(V161,V:V,0)+COUNTIF(V$1:V160,V161))</f>
        <v/>
      </c>
    </row>
    <row r="162" spans="3:23">
      <c r="C162" s="108" t="str">
        <f t="array" ref="C162">IFERROR(IF(A162="","",IF(ISNUMBER(MATCH(TRUE,ISNUMBER(SEARCH($Q$2:$Q$51, $A162)),0))=TRUE,"United States of America",INDEX($S$2:$S$199,MATCH(TRUE,ISNUMBER(SEARCH($S$2:$S$199, $A162)),0)))),"United States of America")</f>
        <v/>
      </c>
      <c r="D162" s="108" t="str">
        <f t="array" ref="D162">IF(A162="","",IF(ISNUMBER(MATCH(TRUE,ISNUMBER(SEARCH($Q$2:$Q$51, $A162)),0))=TRUE,"",IF(ISNUMBER(MATCH(TRUE,ISNUMBER(SEARCH($S$2:$S$199, $A162)),0))=TRUE,"","미국 확인 필요")))</f>
        <v/>
      </c>
      <c r="H162" s="108" t="str">
        <f t="array" ref="H162">IFERROR(IF(F162="","",IF(ISNUMBER(MATCH(TRUE,ISNUMBER(SEARCH($Q$2:$Q$51, $F162)),0))=TRUE,"United States of America",INDEX($S$2:$S$199,MATCH(TRUE,ISNUMBER(SEARCH($S$2:$S$199, $F162)),0)))),"United States of America")</f>
        <v/>
      </c>
      <c r="I162" s="108" t="str">
        <f t="array" ref="I162">IF(F162="","",IF(ISNUMBER(MATCH(TRUE,ISNUMBER(SEARCH($Q$2:$Q$51, $F162)),0))=TRUE,"",IF(ISNUMBER(MATCH(TRUE,ISNUMBER(SEARCH($S$2:$S$199, $F162)),0))=TRUE,"","미국 확인 필요")))</f>
        <v/>
      </c>
      <c r="S162" s="2" t="s">
        <v>428</v>
      </c>
      <c r="T162" s="17">
        <f t="shared" si="8"/>
        <v>0</v>
      </c>
      <c r="U162" s="17" t="str">
        <f>IF(T162=0,"",RANK(T162,T:T,0)+COUNTIF(T$1:T161,T162))</f>
        <v/>
      </c>
      <c r="V162" s="17">
        <f t="shared" si="9"/>
        <v>0</v>
      </c>
      <c r="W162" s="17" t="str">
        <f>IF(V162=0,"",RANK(V162,V:V,0)+COUNTIF(V$1:V161,V162))</f>
        <v/>
      </c>
    </row>
    <row r="163" spans="3:23">
      <c r="C163" s="108" t="str">
        <f t="array" ref="C163">IFERROR(IF(A163="","",IF(ISNUMBER(MATCH(TRUE,ISNUMBER(SEARCH($Q$2:$Q$51, $A163)),0))=TRUE,"United States of America",INDEX($S$2:$S$199,MATCH(TRUE,ISNUMBER(SEARCH($S$2:$S$199, $A163)),0)))),"United States of America")</f>
        <v/>
      </c>
      <c r="D163" s="108" t="str">
        <f t="array" ref="D163">IF(A163="","",IF(ISNUMBER(MATCH(TRUE,ISNUMBER(SEARCH($Q$2:$Q$51, $A163)),0))=TRUE,"",IF(ISNUMBER(MATCH(TRUE,ISNUMBER(SEARCH($S$2:$S$199, $A163)),0))=TRUE,"","미국 확인 필요")))</f>
        <v/>
      </c>
      <c r="H163" s="108" t="str">
        <f t="array" ref="H163">IFERROR(IF(F163="","",IF(ISNUMBER(MATCH(TRUE,ISNUMBER(SEARCH($Q$2:$Q$51, $F163)),0))=TRUE,"United States of America",INDEX($S$2:$S$199,MATCH(TRUE,ISNUMBER(SEARCH($S$2:$S$199, $F163)),0)))),"United States of America")</f>
        <v/>
      </c>
      <c r="I163" s="108" t="str">
        <f t="array" ref="I163">IF(F163="","",IF(ISNUMBER(MATCH(TRUE,ISNUMBER(SEARCH($Q$2:$Q$51, $F163)),0))=TRUE,"",IF(ISNUMBER(MATCH(TRUE,ISNUMBER(SEARCH($S$2:$S$199, $F163)),0))=TRUE,"","미국 확인 필요")))</f>
        <v/>
      </c>
      <c r="S163" s="2" t="s">
        <v>429</v>
      </c>
      <c r="T163" s="17">
        <f t="shared" si="8"/>
        <v>0</v>
      </c>
      <c r="U163" s="17" t="str">
        <f>IF(T163=0,"",RANK(T163,T:T,0)+COUNTIF(T$1:T162,T163))</f>
        <v/>
      </c>
      <c r="V163" s="17">
        <f t="shared" si="9"/>
        <v>0</v>
      </c>
      <c r="W163" s="17" t="str">
        <f>IF(V163=0,"",RANK(V163,V:V,0)+COUNTIF(V$1:V162,V163))</f>
        <v/>
      </c>
    </row>
    <row r="164" spans="3:23">
      <c r="C164" s="108" t="str">
        <f t="array" ref="C164">IFERROR(IF(A164="","",IF(ISNUMBER(MATCH(TRUE,ISNUMBER(SEARCH($Q$2:$Q$51, $A164)),0))=TRUE,"United States of America",INDEX($S$2:$S$199,MATCH(TRUE,ISNUMBER(SEARCH($S$2:$S$199, $A164)),0)))),"United States of America")</f>
        <v/>
      </c>
      <c r="D164" s="108" t="str">
        <f t="array" ref="D164">IF(A164="","",IF(ISNUMBER(MATCH(TRUE,ISNUMBER(SEARCH($Q$2:$Q$51, $A164)),0))=TRUE,"",IF(ISNUMBER(MATCH(TRUE,ISNUMBER(SEARCH($S$2:$S$199, $A164)),0))=TRUE,"","미국 확인 필요")))</f>
        <v/>
      </c>
      <c r="H164" s="108" t="str">
        <f t="array" ref="H164">IFERROR(IF(F164="","",IF(ISNUMBER(MATCH(TRUE,ISNUMBER(SEARCH($Q$2:$Q$51, $F164)),0))=TRUE,"United States of America",INDEX($S$2:$S$199,MATCH(TRUE,ISNUMBER(SEARCH($S$2:$S$199, $F164)),0)))),"United States of America")</f>
        <v/>
      </c>
      <c r="I164" s="108" t="str">
        <f t="array" ref="I164">IF(F164="","",IF(ISNUMBER(MATCH(TRUE,ISNUMBER(SEARCH($Q$2:$Q$51, $F164)),0))=TRUE,"",IF(ISNUMBER(MATCH(TRUE,ISNUMBER(SEARCH($S$2:$S$199, $F164)),0))=TRUE,"","미국 확인 필요")))</f>
        <v/>
      </c>
      <c r="S164" s="2" t="s">
        <v>430</v>
      </c>
      <c r="T164" s="17">
        <f t="shared" si="8"/>
        <v>0</v>
      </c>
      <c r="U164" s="17" t="str">
        <f>IF(T164=0,"",RANK(T164,T:T,0)+COUNTIF(T$1:T163,T164))</f>
        <v/>
      </c>
      <c r="V164" s="17">
        <f t="shared" si="9"/>
        <v>0</v>
      </c>
      <c r="W164" s="17" t="str">
        <f>IF(V164=0,"",RANK(V164,V:V,0)+COUNTIF(V$1:V163,V164))</f>
        <v/>
      </c>
    </row>
    <row r="165" spans="3:23">
      <c r="C165" s="108" t="str">
        <f t="array" ref="C165">IFERROR(IF(A165="","",IF(ISNUMBER(MATCH(TRUE,ISNUMBER(SEARCH($Q$2:$Q$51, $A165)),0))=TRUE,"United States of America",INDEX($S$2:$S$199,MATCH(TRUE,ISNUMBER(SEARCH($S$2:$S$199, $A165)),0)))),"United States of America")</f>
        <v/>
      </c>
      <c r="D165" s="108" t="str">
        <f t="array" ref="D165">IF(A165="","",IF(ISNUMBER(MATCH(TRUE,ISNUMBER(SEARCH($Q$2:$Q$51, $A165)),0))=TRUE,"",IF(ISNUMBER(MATCH(TRUE,ISNUMBER(SEARCH($S$2:$S$199, $A165)),0))=TRUE,"","미국 확인 필요")))</f>
        <v/>
      </c>
      <c r="H165" s="108" t="str">
        <f t="array" ref="H165">IFERROR(IF(F165="","",IF(ISNUMBER(MATCH(TRUE,ISNUMBER(SEARCH($Q$2:$Q$51, $F165)),0))=TRUE,"United States of America",INDEX($S$2:$S$199,MATCH(TRUE,ISNUMBER(SEARCH($S$2:$S$199, $F165)),0)))),"United States of America")</f>
        <v/>
      </c>
      <c r="I165" s="108" t="str">
        <f t="array" ref="I165">IF(F165="","",IF(ISNUMBER(MATCH(TRUE,ISNUMBER(SEARCH($Q$2:$Q$51, $F165)),0))=TRUE,"",IF(ISNUMBER(MATCH(TRUE,ISNUMBER(SEARCH($S$2:$S$199, $F165)),0))=TRUE,"","미국 확인 필요")))</f>
        <v/>
      </c>
      <c r="S165" s="2" t="s">
        <v>431</v>
      </c>
      <c r="T165" s="17">
        <f t="shared" si="8"/>
        <v>0</v>
      </c>
      <c r="U165" s="17" t="str">
        <f>IF(T165=0,"",RANK(T165,T:T,0)+COUNTIF(T$1:T164,T165))</f>
        <v/>
      </c>
      <c r="V165" s="17">
        <f t="shared" si="9"/>
        <v>0</v>
      </c>
      <c r="W165" s="17" t="str">
        <f>IF(V165=0,"",RANK(V165,V:V,0)+COUNTIF(V$1:V164,V165))</f>
        <v/>
      </c>
    </row>
    <row r="166" spans="3:23">
      <c r="C166" s="108" t="str">
        <f t="array" ref="C166">IFERROR(IF(A166="","",IF(ISNUMBER(MATCH(TRUE,ISNUMBER(SEARCH($Q$2:$Q$51, $A166)),0))=TRUE,"United States of America",INDEX($S$2:$S$199,MATCH(TRUE,ISNUMBER(SEARCH($S$2:$S$199, $A166)),0)))),"United States of America")</f>
        <v/>
      </c>
      <c r="D166" s="108" t="str">
        <f t="array" ref="D166">IF(A166="","",IF(ISNUMBER(MATCH(TRUE,ISNUMBER(SEARCH($Q$2:$Q$51, $A166)),0))=TRUE,"",IF(ISNUMBER(MATCH(TRUE,ISNUMBER(SEARCH($S$2:$S$199, $A166)),0))=TRUE,"","미국 확인 필요")))</f>
        <v/>
      </c>
      <c r="H166" s="108" t="str">
        <f t="array" ref="H166">IFERROR(IF(F166="","",IF(ISNUMBER(MATCH(TRUE,ISNUMBER(SEARCH($Q$2:$Q$51, $F166)),0))=TRUE,"United States of America",INDEX($S$2:$S$199,MATCH(TRUE,ISNUMBER(SEARCH($S$2:$S$199, $F166)),0)))),"United States of America")</f>
        <v/>
      </c>
      <c r="I166" s="108" t="str">
        <f t="array" ref="I166">IF(F166="","",IF(ISNUMBER(MATCH(TRUE,ISNUMBER(SEARCH($Q$2:$Q$51, $F166)),0))=TRUE,"",IF(ISNUMBER(MATCH(TRUE,ISNUMBER(SEARCH($S$2:$S$199, $F166)),0))=TRUE,"","미국 확인 필요")))</f>
        <v/>
      </c>
      <c r="S166" s="2" t="s">
        <v>432</v>
      </c>
      <c r="T166" s="17">
        <f t="shared" si="8"/>
        <v>0</v>
      </c>
      <c r="U166" s="17" t="str">
        <f>IF(T166=0,"",RANK(T166,T:T,0)+COUNTIF(T$1:T165,T166))</f>
        <v/>
      </c>
      <c r="V166" s="17">
        <f t="shared" si="9"/>
        <v>0</v>
      </c>
      <c r="W166" s="17" t="str">
        <f>IF(V166=0,"",RANK(V166,V:V,0)+COUNTIF(V$1:V165,V166))</f>
        <v/>
      </c>
    </row>
    <row r="167" spans="3:23">
      <c r="C167" s="108" t="str">
        <f t="array" ref="C167">IFERROR(IF(A167="","",IF(ISNUMBER(MATCH(TRUE,ISNUMBER(SEARCH($Q$2:$Q$51, $A167)),0))=TRUE,"United States of America",INDEX($S$2:$S$199,MATCH(TRUE,ISNUMBER(SEARCH($S$2:$S$199, $A167)),0)))),"United States of America")</f>
        <v/>
      </c>
      <c r="D167" s="108" t="str">
        <f t="array" ref="D167">IF(A167="","",IF(ISNUMBER(MATCH(TRUE,ISNUMBER(SEARCH($Q$2:$Q$51, $A167)),0))=TRUE,"",IF(ISNUMBER(MATCH(TRUE,ISNUMBER(SEARCH($S$2:$S$199, $A167)),0))=TRUE,"","미국 확인 필요")))</f>
        <v/>
      </c>
      <c r="H167" s="108" t="str">
        <f t="array" ref="H167">IFERROR(IF(F167="","",IF(ISNUMBER(MATCH(TRUE,ISNUMBER(SEARCH($Q$2:$Q$51, $F167)),0))=TRUE,"United States of America",INDEX($S$2:$S$199,MATCH(TRUE,ISNUMBER(SEARCH($S$2:$S$199, $F167)),0)))),"United States of America")</f>
        <v/>
      </c>
      <c r="I167" s="108" t="str">
        <f t="array" ref="I167">IF(F167="","",IF(ISNUMBER(MATCH(TRUE,ISNUMBER(SEARCH($Q$2:$Q$51, $F167)),0))=TRUE,"",IF(ISNUMBER(MATCH(TRUE,ISNUMBER(SEARCH($S$2:$S$199, $F167)),0))=TRUE,"","미국 확인 필요")))</f>
        <v/>
      </c>
      <c r="S167" s="2" t="s">
        <v>433</v>
      </c>
      <c r="T167" s="17">
        <f t="shared" si="8"/>
        <v>0</v>
      </c>
      <c r="U167" s="17" t="str">
        <f>IF(T167=0,"",RANK(T167,T:T,0)+COUNTIF(T$1:T166,T167))</f>
        <v/>
      </c>
      <c r="V167" s="17">
        <f t="shared" si="9"/>
        <v>25</v>
      </c>
      <c r="W167" s="17">
        <f>IF(V167=0,"",RANK(V167,V:V,0)+COUNTIF(V$1:V166,V167))</f>
        <v>32</v>
      </c>
    </row>
    <row r="168" spans="3:23">
      <c r="C168" s="108" t="str">
        <f t="array" ref="C168">IFERROR(IF(A168="","",IF(ISNUMBER(MATCH(TRUE,ISNUMBER(SEARCH($Q$2:$Q$51, $A168)),0))=TRUE,"United States of America",INDEX($S$2:$S$199,MATCH(TRUE,ISNUMBER(SEARCH($S$2:$S$199, $A168)),0)))),"United States of America")</f>
        <v/>
      </c>
      <c r="D168" s="108" t="str">
        <f t="array" ref="D168">IF(A168="","",IF(ISNUMBER(MATCH(TRUE,ISNUMBER(SEARCH($Q$2:$Q$51, $A168)),0))=TRUE,"",IF(ISNUMBER(MATCH(TRUE,ISNUMBER(SEARCH($S$2:$S$199, $A168)),0))=TRUE,"","미국 확인 필요")))</f>
        <v/>
      </c>
      <c r="H168" s="108" t="str">
        <f t="array" ref="H168">IFERROR(IF(F168="","",IF(ISNUMBER(MATCH(TRUE,ISNUMBER(SEARCH($Q$2:$Q$51, $F168)),0))=TRUE,"United States of America",INDEX($S$2:$S$199,MATCH(TRUE,ISNUMBER(SEARCH($S$2:$S$199, $F168)),0)))),"United States of America")</f>
        <v/>
      </c>
      <c r="I168" s="108" t="str">
        <f t="array" ref="I168">IF(F168="","",IF(ISNUMBER(MATCH(TRUE,ISNUMBER(SEARCH($Q$2:$Q$51, $F168)),0))=TRUE,"",IF(ISNUMBER(MATCH(TRUE,ISNUMBER(SEARCH($S$2:$S$199, $F168)),0))=TRUE,"","미국 확인 필요")))</f>
        <v/>
      </c>
      <c r="S168" s="2" t="s">
        <v>434</v>
      </c>
      <c r="T168" s="17">
        <f t="shared" si="8"/>
        <v>8</v>
      </c>
      <c r="U168" s="17">
        <f>IF(T168=0,"",RANK(T168,T:T,0)+COUNTIF(T$1:T167,T168))</f>
        <v>22</v>
      </c>
      <c r="V168" s="17">
        <f t="shared" si="9"/>
        <v>0</v>
      </c>
      <c r="W168" s="17" t="str">
        <f>IF(V168=0,"",RANK(V168,V:V,0)+COUNTIF(V$1:V167,V168))</f>
        <v/>
      </c>
    </row>
    <row r="169" spans="3:23">
      <c r="C169" s="108" t="str">
        <f t="array" ref="C169">IFERROR(IF(A169="","",IF(ISNUMBER(MATCH(TRUE,ISNUMBER(SEARCH($Q$2:$Q$51, $A169)),0))=TRUE,"United States of America",INDEX($S$2:$S$199,MATCH(TRUE,ISNUMBER(SEARCH($S$2:$S$199, $A169)),0)))),"United States of America")</f>
        <v/>
      </c>
      <c r="D169" s="108" t="str">
        <f t="array" ref="D169">IF(A169="","",IF(ISNUMBER(MATCH(TRUE,ISNUMBER(SEARCH($Q$2:$Q$51, $A169)),0))=TRUE,"",IF(ISNUMBER(MATCH(TRUE,ISNUMBER(SEARCH($S$2:$S$199, $A169)),0))=TRUE,"","미국 확인 필요")))</f>
        <v/>
      </c>
      <c r="H169" s="108" t="str">
        <f t="array" ref="H169">IFERROR(IF(F169="","",IF(ISNUMBER(MATCH(TRUE,ISNUMBER(SEARCH($Q$2:$Q$51, $F169)),0))=TRUE,"United States of America",INDEX($S$2:$S$199,MATCH(TRUE,ISNUMBER(SEARCH($S$2:$S$199, $F169)),0)))),"United States of America")</f>
        <v/>
      </c>
      <c r="I169" s="108" t="str">
        <f t="array" ref="I169">IF(F169="","",IF(ISNUMBER(MATCH(TRUE,ISNUMBER(SEARCH($Q$2:$Q$51, $F169)),0))=TRUE,"",IF(ISNUMBER(MATCH(TRUE,ISNUMBER(SEARCH($S$2:$S$199, $F169)),0))=TRUE,"","미국 확인 필요")))</f>
        <v/>
      </c>
      <c r="S169" s="2" t="s">
        <v>435</v>
      </c>
      <c r="T169" s="17">
        <f t="shared" si="8"/>
        <v>0</v>
      </c>
      <c r="U169" s="17" t="str">
        <f>IF(T169=0,"",RANK(T169,T:T,0)+COUNTIF(T$1:T168,T169))</f>
        <v/>
      </c>
      <c r="V169" s="17">
        <f t="shared" si="9"/>
        <v>0</v>
      </c>
      <c r="W169" s="17" t="str">
        <f>IF(V169=0,"",RANK(V169,V:V,0)+COUNTIF(V$1:V168,V169))</f>
        <v/>
      </c>
    </row>
    <row r="170" spans="3:23">
      <c r="C170" s="108" t="str">
        <f t="array" ref="C170">IFERROR(IF(A170="","",IF(ISNUMBER(MATCH(TRUE,ISNUMBER(SEARCH($Q$2:$Q$51, $A170)),0))=TRUE,"United States of America",INDEX($S$2:$S$199,MATCH(TRUE,ISNUMBER(SEARCH($S$2:$S$199, $A170)),0)))),"United States of America")</f>
        <v/>
      </c>
      <c r="D170" s="108" t="str">
        <f t="array" ref="D170">IF(A170="","",IF(ISNUMBER(MATCH(TRUE,ISNUMBER(SEARCH($Q$2:$Q$51, $A170)),0))=TRUE,"",IF(ISNUMBER(MATCH(TRUE,ISNUMBER(SEARCH($S$2:$S$199, $A170)),0))=TRUE,"","미국 확인 필요")))</f>
        <v/>
      </c>
      <c r="H170" s="108" t="str">
        <f t="array" ref="H170">IFERROR(IF(F170="","",IF(ISNUMBER(MATCH(TRUE,ISNUMBER(SEARCH($Q$2:$Q$51, $F170)),0))=TRUE,"United States of America",INDEX($S$2:$S$199,MATCH(TRUE,ISNUMBER(SEARCH($S$2:$S$199, $F170)),0)))),"United States of America")</f>
        <v/>
      </c>
      <c r="I170" s="108" t="str">
        <f t="array" ref="I170">IF(F170="","",IF(ISNUMBER(MATCH(TRUE,ISNUMBER(SEARCH($Q$2:$Q$51, $F170)),0))=TRUE,"",IF(ISNUMBER(MATCH(TRUE,ISNUMBER(SEARCH($S$2:$S$199, $F170)),0))=TRUE,"","미국 확인 필요")))</f>
        <v/>
      </c>
      <c r="S170" s="2" t="s">
        <v>436</v>
      </c>
      <c r="T170" s="17">
        <f t="shared" si="8"/>
        <v>0</v>
      </c>
      <c r="U170" s="17" t="str">
        <f>IF(T170=0,"",RANK(T170,T:T,0)+COUNTIF(T$1:T169,T170))</f>
        <v/>
      </c>
      <c r="V170" s="17">
        <f t="shared" si="9"/>
        <v>0</v>
      </c>
      <c r="W170" s="17" t="str">
        <f>IF(V170=0,"",RANK(V170,V:V,0)+COUNTIF(V$1:V169,V170))</f>
        <v/>
      </c>
    </row>
    <row r="171" spans="3:23">
      <c r="C171" s="108" t="str">
        <f t="array" ref="C171">IFERROR(IF(A171="","",IF(ISNUMBER(MATCH(TRUE,ISNUMBER(SEARCH($Q$2:$Q$51, $A171)),0))=TRUE,"United States of America",INDEX($S$2:$S$199,MATCH(TRUE,ISNUMBER(SEARCH($S$2:$S$199, $A171)),0)))),"United States of America")</f>
        <v/>
      </c>
      <c r="D171" s="108" t="str">
        <f t="array" ref="D171">IF(A171="","",IF(ISNUMBER(MATCH(TRUE,ISNUMBER(SEARCH($Q$2:$Q$51, $A171)),0))=TRUE,"",IF(ISNUMBER(MATCH(TRUE,ISNUMBER(SEARCH($S$2:$S$199, $A171)),0))=TRUE,"","미국 확인 필요")))</f>
        <v/>
      </c>
      <c r="H171" s="108" t="str">
        <f t="array" ref="H171">IFERROR(IF(F171="","",IF(ISNUMBER(MATCH(TRUE,ISNUMBER(SEARCH($Q$2:$Q$51, $F171)),0))=TRUE,"United States of America",INDEX($S$2:$S$199,MATCH(TRUE,ISNUMBER(SEARCH($S$2:$S$199, $F171)),0)))),"United States of America")</f>
        <v/>
      </c>
      <c r="I171" s="108" t="str">
        <f t="array" ref="I171">IF(F171="","",IF(ISNUMBER(MATCH(TRUE,ISNUMBER(SEARCH($Q$2:$Q$51, $F171)),0))=TRUE,"",IF(ISNUMBER(MATCH(TRUE,ISNUMBER(SEARCH($S$2:$S$199, $F171)),0))=TRUE,"","미국 확인 필요")))</f>
        <v/>
      </c>
      <c r="S171" s="2" t="s">
        <v>437</v>
      </c>
      <c r="T171" s="17">
        <f t="shared" si="8"/>
        <v>0</v>
      </c>
      <c r="U171" s="17" t="str">
        <f>IF(T171=0,"",RANK(T171,T:T,0)+COUNTIF(T$1:T170,T171))</f>
        <v/>
      </c>
      <c r="V171" s="17">
        <f t="shared" si="9"/>
        <v>0</v>
      </c>
      <c r="W171" s="17" t="str">
        <f>IF(V171=0,"",RANK(V171,V:V,0)+COUNTIF(V$1:V170,V171))</f>
        <v/>
      </c>
    </row>
    <row r="172" spans="3:23">
      <c r="C172" s="108" t="str">
        <f t="array" ref="C172">IFERROR(IF(A172="","",IF(ISNUMBER(MATCH(TRUE,ISNUMBER(SEARCH($Q$2:$Q$51, $A172)),0))=TRUE,"United States of America",INDEX($S$2:$S$199,MATCH(TRUE,ISNUMBER(SEARCH($S$2:$S$199, $A172)),0)))),"United States of America")</f>
        <v/>
      </c>
      <c r="D172" s="108" t="str">
        <f t="array" ref="D172">IF(A172="","",IF(ISNUMBER(MATCH(TRUE,ISNUMBER(SEARCH($Q$2:$Q$51, $A172)),0))=TRUE,"",IF(ISNUMBER(MATCH(TRUE,ISNUMBER(SEARCH($S$2:$S$199, $A172)),0))=TRUE,"","미국 확인 필요")))</f>
        <v/>
      </c>
      <c r="H172" s="108" t="str">
        <f t="array" ref="H172">IFERROR(IF(F172="","",IF(ISNUMBER(MATCH(TRUE,ISNUMBER(SEARCH($Q$2:$Q$51, $F172)),0))=TRUE,"United States of America",INDEX($S$2:$S$199,MATCH(TRUE,ISNUMBER(SEARCH($S$2:$S$199, $F172)),0)))),"United States of America")</f>
        <v/>
      </c>
      <c r="I172" s="108" t="str">
        <f t="array" ref="I172">IF(F172="","",IF(ISNUMBER(MATCH(TRUE,ISNUMBER(SEARCH($Q$2:$Q$51, $F172)),0))=TRUE,"",IF(ISNUMBER(MATCH(TRUE,ISNUMBER(SEARCH($S$2:$S$199, $F172)),0))=TRUE,"","미국 확인 필요")))</f>
        <v/>
      </c>
      <c r="S172" s="2" t="s">
        <v>438</v>
      </c>
      <c r="T172" s="17">
        <f t="shared" si="8"/>
        <v>0</v>
      </c>
      <c r="U172" s="17" t="str">
        <f>IF(T172=0,"",RANK(T172,T:T,0)+COUNTIF(T$1:T171,T172))</f>
        <v/>
      </c>
      <c r="V172" s="17">
        <f t="shared" si="9"/>
        <v>0</v>
      </c>
      <c r="W172" s="17" t="str">
        <f>IF(V172=0,"",RANK(V172,V:V,0)+COUNTIF(V$1:V171,V172))</f>
        <v/>
      </c>
    </row>
    <row r="173" spans="3:23">
      <c r="C173" s="108" t="str">
        <f t="array" ref="C173">IFERROR(IF(A173="","",IF(ISNUMBER(MATCH(TRUE,ISNUMBER(SEARCH($Q$2:$Q$51, $A173)),0))=TRUE,"United States of America",INDEX($S$2:$S$199,MATCH(TRUE,ISNUMBER(SEARCH($S$2:$S$199, $A173)),0)))),"United States of America")</f>
        <v/>
      </c>
      <c r="D173" s="108" t="str">
        <f t="array" ref="D173">IF(A173="","",IF(ISNUMBER(MATCH(TRUE,ISNUMBER(SEARCH($Q$2:$Q$51, $A173)),0))=TRUE,"",IF(ISNUMBER(MATCH(TRUE,ISNUMBER(SEARCH($S$2:$S$199, $A173)),0))=TRUE,"","미국 확인 필요")))</f>
        <v/>
      </c>
      <c r="H173" s="108" t="str">
        <f t="array" ref="H173">IFERROR(IF(F173="","",IF(ISNUMBER(MATCH(TRUE,ISNUMBER(SEARCH($Q$2:$Q$51, $F173)),0))=TRUE,"United States of America",INDEX($S$2:$S$199,MATCH(TRUE,ISNUMBER(SEARCH($S$2:$S$199, $F173)),0)))),"United States of America")</f>
        <v/>
      </c>
      <c r="I173" s="108" t="str">
        <f t="array" ref="I173">IF(F173="","",IF(ISNUMBER(MATCH(TRUE,ISNUMBER(SEARCH($Q$2:$Q$51, $F173)),0))=TRUE,"",IF(ISNUMBER(MATCH(TRUE,ISNUMBER(SEARCH($S$2:$S$199, $F173)),0))=TRUE,"","미국 확인 필요")))</f>
        <v/>
      </c>
      <c r="S173" s="2" t="s">
        <v>439</v>
      </c>
      <c r="T173" s="17">
        <f t="shared" si="8"/>
        <v>0</v>
      </c>
      <c r="U173" s="17" t="str">
        <f>IF(T173=0,"",RANK(T173,T:T,0)+COUNTIF(T$1:T172,T173))</f>
        <v/>
      </c>
      <c r="V173" s="17">
        <f t="shared" si="9"/>
        <v>0</v>
      </c>
      <c r="W173" s="17" t="str">
        <f>IF(V173=0,"",RANK(V173,V:V,0)+COUNTIF(V$1:V172,V173))</f>
        <v/>
      </c>
    </row>
    <row r="174" spans="3:23">
      <c r="C174" s="108" t="str">
        <f t="array" ref="C174">IFERROR(IF(A174="","",IF(ISNUMBER(MATCH(TRUE,ISNUMBER(SEARCH($Q$2:$Q$51, $A174)),0))=TRUE,"United States of America",INDEX($S$2:$S$199,MATCH(TRUE,ISNUMBER(SEARCH($S$2:$S$199, $A174)),0)))),"United States of America")</f>
        <v/>
      </c>
      <c r="D174" s="108" t="str">
        <f t="array" ref="D174">IF(A174="","",IF(ISNUMBER(MATCH(TRUE,ISNUMBER(SEARCH($Q$2:$Q$51, $A174)),0))=TRUE,"",IF(ISNUMBER(MATCH(TRUE,ISNUMBER(SEARCH($S$2:$S$199, $A174)),0))=TRUE,"","미국 확인 필요")))</f>
        <v/>
      </c>
      <c r="H174" s="108" t="str">
        <f t="array" ref="H174">IFERROR(IF(F174="","",IF(ISNUMBER(MATCH(TRUE,ISNUMBER(SEARCH($Q$2:$Q$51, $F174)),0))=TRUE,"United States of America",INDEX($S$2:$S$199,MATCH(TRUE,ISNUMBER(SEARCH($S$2:$S$199, $F174)),0)))),"United States of America")</f>
        <v/>
      </c>
      <c r="I174" s="108" t="str">
        <f t="array" ref="I174">IF(F174="","",IF(ISNUMBER(MATCH(TRUE,ISNUMBER(SEARCH($Q$2:$Q$51, $F174)),0))=TRUE,"",IF(ISNUMBER(MATCH(TRUE,ISNUMBER(SEARCH($S$2:$S$199, $F174)),0))=TRUE,"","미국 확인 필요")))</f>
        <v/>
      </c>
      <c r="S174" s="2" t="s">
        <v>440</v>
      </c>
      <c r="T174" s="17">
        <f t="shared" si="8"/>
        <v>0</v>
      </c>
      <c r="U174" s="17" t="str">
        <f>IF(T174=0,"",RANK(T174,T:T,0)+COUNTIF(T$1:T173,T174))</f>
        <v/>
      </c>
      <c r="V174" s="17">
        <f t="shared" si="9"/>
        <v>0</v>
      </c>
      <c r="W174" s="17" t="str">
        <f>IF(V174=0,"",RANK(V174,V:V,0)+COUNTIF(V$1:V173,V174))</f>
        <v/>
      </c>
    </row>
    <row r="175" spans="3:23">
      <c r="C175" s="108" t="str">
        <f t="array" ref="C175">IFERROR(IF(A175="","",IF(ISNUMBER(MATCH(TRUE,ISNUMBER(SEARCH($Q$2:$Q$51, $A175)),0))=TRUE,"United States of America",INDEX($S$2:$S$199,MATCH(TRUE,ISNUMBER(SEARCH($S$2:$S$199, $A175)),0)))),"United States of America")</f>
        <v/>
      </c>
      <c r="D175" s="108" t="str">
        <f t="array" ref="D175">IF(A175="","",IF(ISNUMBER(MATCH(TRUE,ISNUMBER(SEARCH($Q$2:$Q$51, $A175)),0))=TRUE,"",IF(ISNUMBER(MATCH(TRUE,ISNUMBER(SEARCH($S$2:$S$199, $A175)),0))=TRUE,"","미국 확인 필요")))</f>
        <v/>
      </c>
      <c r="H175" s="108" t="str">
        <f t="array" ref="H175">IFERROR(IF(F175="","",IF(ISNUMBER(MATCH(TRUE,ISNUMBER(SEARCH($Q$2:$Q$51, $F175)),0))=TRUE,"United States of America",INDEX($S$2:$S$199,MATCH(TRUE,ISNUMBER(SEARCH($S$2:$S$199, $F175)),0)))),"United States of America")</f>
        <v/>
      </c>
      <c r="I175" s="108" t="str">
        <f t="array" ref="I175">IF(F175="","",IF(ISNUMBER(MATCH(TRUE,ISNUMBER(SEARCH($Q$2:$Q$51, $F175)),0))=TRUE,"",IF(ISNUMBER(MATCH(TRUE,ISNUMBER(SEARCH($S$2:$S$199, $F175)),0))=TRUE,"","미국 확인 필요")))</f>
        <v/>
      </c>
      <c r="S175" s="2" t="s">
        <v>441</v>
      </c>
      <c r="T175" s="17">
        <f t="shared" si="8"/>
        <v>0</v>
      </c>
      <c r="U175" s="17" t="str">
        <f>IF(T175=0,"",RANK(T175,T:T,0)+COUNTIF(T$1:T174,T175))</f>
        <v/>
      </c>
      <c r="V175" s="17">
        <f t="shared" si="9"/>
        <v>0</v>
      </c>
      <c r="W175" s="17" t="str">
        <f>IF(V175=0,"",RANK(V175,V:V,0)+COUNTIF(V$1:V174,V175))</f>
        <v/>
      </c>
    </row>
    <row r="176" spans="3:23">
      <c r="C176" s="108" t="str">
        <f t="array" ref="C176">IFERROR(IF(A176="","",IF(ISNUMBER(MATCH(TRUE,ISNUMBER(SEARCH($Q$2:$Q$51, $A176)),0))=TRUE,"United States of America",INDEX($S$2:$S$199,MATCH(TRUE,ISNUMBER(SEARCH($S$2:$S$199, $A176)),0)))),"United States of America")</f>
        <v/>
      </c>
      <c r="D176" s="108" t="str">
        <f t="array" ref="D176">IF(A176="","",IF(ISNUMBER(MATCH(TRUE,ISNUMBER(SEARCH($Q$2:$Q$51, $A176)),0))=TRUE,"",IF(ISNUMBER(MATCH(TRUE,ISNUMBER(SEARCH($S$2:$S$199, $A176)),0))=TRUE,"","미국 확인 필요")))</f>
        <v/>
      </c>
      <c r="H176" s="108" t="str">
        <f t="array" ref="H176">IFERROR(IF(F176="","",IF(ISNUMBER(MATCH(TRUE,ISNUMBER(SEARCH($Q$2:$Q$51, $F176)),0))=TRUE,"United States of America",INDEX($S$2:$S$199,MATCH(TRUE,ISNUMBER(SEARCH($S$2:$S$199, $F176)),0)))),"United States of America")</f>
        <v/>
      </c>
      <c r="I176" s="108" t="str">
        <f t="array" ref="I176">IF(F176="","",IF(ISNUMBER(MATCH(TRUE,ISNUMBER(SEARCH($Q$2:$Q$51, $F176)),0))=TRUE,"",IF(ISNUMBER(MATCH(TRUE,ISNUMBER(SEARCH($S$2:$S$199, $F176)),0))=TRUE,"","미국 확인 필요")))</f>
        <v/>
      </c>
      <c r="S176" s="2" t="s">
        <v>442</v>
      </c>
      <c r="T176" s="17">
        <f t="shared" si="8"/>
        <v>3</v>
      </c>
      <c r="U176" s="17">
        <f>IF(T176=0,"",RANK(T176,T:T,0)+COUNTIF(T$1:T175,T176))</f>
        <v>34</v>
      </c>
      <c r="V176" s="17">
        <f t="shared" si="9"/>
        <v>0</v>
      </c>
      <c r="W176" s="17" t="str">
        <f>IF(V176=0,"",RANK(V176,V:V,0)+COUNTIF(V$1:V175,V176))</f>
        <v/>
      </c>
    </row>
    <row r="177" spans="3:23">
      <c r="C177" s="108" t="str">
        <f t="array" ref="C177">IFERROR(IF(A177="","",IF(ISNUMBER(MATCH(TRUE,ISNUMBER(SEARCH($Q$2:$Q$51, $A177)),0))=TRUE,"United States of America",INDEX($S$2:$S$199,MATCH(TRUE,ISNUMBER(SEARCH($S$2:$S$199, $A177)),0)))),"United States of America")</f>
        <v/>
      </c>
      <c r="D177" s="108" t="str">
        <f t="array" ref="D177">IF(A177="","",IF(ISNUMBER(MATCH(TRUE,ISNUMBER(SEARCH($Q$2:$Q$51, $A177)),0))=TRUE,"",IF(ISNUMBER(MATCH(TRUE,ISNUMBER(SEARCH($S$2:$S$199, $A177)),0))=TRUE,"","미국 확인 필요")))</f>
        <v/>
      </c>
      <c r="H177" s="108" t="str">
        <f t="array" ref="H177">IFERROR(IF(F177="","",IF(ISNUMBER(MATCH(TRUE,ISNUMBER(SEARCH($Q$2:$Q$51, $F177)),0))=TRUE,"United States of America",INDEX($S$2:$S$199,MATCH(TRUE,ISNUMBER(SEARCH($S$2:$S$199, $F177)),0)))),"United States of America")</f>
        <v/>
      </c>
      <c r="I177" s="108" t="str">
        <f t="array" ref="I177">IF(F177="","",IF(ISNUMBER(MATCH(TRUE,ISNUMBER(SEARCH($Q$2:$Q$51, $F177)),0))=TRUE,"",IF(ISNUMBER(MATCH(TRUE,ISNUMBER(SEARCH($S$2:$S$199, $F177)),0))=TRUE,"","미국 확인 필요")))</f>
        <v/>
      </c>
      <c r="S177" s="2" t="s">
        <v>443</v>
      </c>
      <c r="T177" s="17">
        <f t="shared" si="8"/>
        <v>0</v>
      </c>
      <c r="U177" s="17" t="str">
        <f>IF(T177=0,"",RANK(T177,T:T,0)+COUNTIF(T$1:T176,T177))</f>
        <v/>
      </c>
      <c r="V177" s="17">
        <f t="shared" si="9"/>
        <v>0</v>
      </c>
      <c r="W177" s="17" t="str">
        <f>IF(V177=0,"",RANK(V177,V:V,0)+COUNTIF(V$1:V176,V177))</f>
        <v/>
      </c>
    </row>
    <row r="178" spans="3:23">
      <c r="C178" s="108" t="str">
        <f t="array" ref="C178">IFERROR(IF(A178="","",IF(ISNUMBER(MATCH(TRUE,ISNUMBER(SEARCH($Q$2:$Q$51, $A178)),0))=TRUE,"United States of America",INDEX($S$2:$S$199,MATCH(TRUE,ISNUMBER(SEARCH($S$2:$S$199, $A178)),0)))),"United States of America")</f>
        <v/>
      </c>
      <c r="D178" s="108" t="str">
        <f t="array" ref="D178">IF(A178="","",IF(ISNUMBER(MATCH(TRUE,ISNUMBER(SEARCH($Q$2:$Q$51, $A178)),0))=TRUE,"",IF(ISNUMBER(MATCH(TRUE,ISNUMBER(SEARCH($S$2:$S$199, $A178)),0))=TRUE,"","미국 확인 필요")))</f>
        <v/>
      </c>
      <c r="H178" s="108" t="str">
        <f t="array" ref="H178">IFERROR(IF(F178="","",IF(ISNUMBER(MATCH(TRUE,ISNUMBER(SEARCH($Q$2:$Q$51, $F178)),0))=TRUE,"United States of America",INDEX($S$2:$S$199,MATCH(TRUE,ISNUMBER(SEARCH($S$2:$S$199, $F178)),0)))),"United States of America")</f>
        <v/>
      </c>
      <c r="I178" s="108" t="str">
        <f t="array" ref="I178">IF(F178="","",IF(ISNUMBER(MATCH(TRUE,ISNUMBER(SEARCH($Q$2:$Q$51, $F178)),0))=TRUE,"",IF(ISNUMBER(MATCH(TRUE,ISNUMBER(SEARCH($S$2:$S$199, $F178)),0))=TRUE,"","미국 확인 필요")))</f>
        <v/>
      </c>
      <c r="S178" s="2" t="s">
        <v>444</v>
      </c>
      <c r="T178" s="17">
        <f t="shared" si="8"/>
        <v>0</v>
      </c>
      <c r="U178" s="17" t="str">
        <f>IF(T178=0,"",RANK(T178,T:T,0)+COUNTIF(T$1:T177,T178))</f>
        <v/>
      </c>
      <c r="V178" s="17">
        <f t="shared" si="9"/>
        <v>0</v>
      </c>
      <c r="W178" s="17" t="str">
        <f>IF(V178=0,"",RANK(V178,V:V,0)+COUNTIF(V$1:V177,V178))</f>
        <v/>
      </c>
    </row>
    <row r="179" spans="3:23">
      <c r="C179" s="108" t="str">
        <f t="array" ref="C179">IFERROR(IF(A179="","",IF(ISNUMBER(MATCH(TRUE,ISNUMBER(SEARCH($Q$2:$Q$51, $A179)),0))=TRUE,"United States of America",INDEX($S$2:$S$199,MATCH(TRUE,ISNUMBER(SEARCH($S$2:$S$199, $A179)),0)))),"United States of America")</f>
        <v/>
      </c>
      <c r="D179" s="108" t="str">
        <f t="array" ref="D179">IF(A179="","",IF(ISNUMBER(MATCH(TRUE,ISNUMBER(SEARCH($Q$2:$Q$51, $A179)),0))=TRUE,"",IF(ISNUMBER(MATCH(TRUE,ISNUMBER(SEARCH($S$2:$S$199, $A179)),0))=TRUE,"","미국 확인 필요")))</f>
        <v/>
      </c>
      <c r="H179" s="108" t="str">
        <f t="array" ref="H179">IFERROR(IF(F179="","",IF(ISNUMBER(MATCH(TRUE,ISNUMBER(SEARCH($Q$2:$Q$51, $F179)),0))=TRUE,"United States of America",INDEX($S$2:$S$199,MATCH(TRUE,ISNUMBER(SEARCH($S$2:$S$199, $F179)),0)))),"United States of America")</f>
        <v/>
      </c>
      <c r="I179" s="108" t="str">
        <f t="array" ref="I179">IF(F179="","",IF(ISNUMBER(MATCH(TRUE,ISNUMBER(SEARCH($Q$2:$Q$51, $F179)),0))=TRUE,"",IF(ISNUMBER(MATCH(TRUE,ISNUMBER(SEARCH($S$2:$S$199, $F179)),0))=TRUE,"","미국 확인 필요")))</f>
        <v/>
      </c>
      <c r="S179" s="2" t="s">
        <v>445</v>
      </c>
      <c r="T179" s="17">
        <f t="shared" si="8"/>
        <v>0</v>
      </c>
      <c r="U179" s="17" t="str">
        <f>IF(T179=0,"",RANK(T179,T:T,0)+COUNTIF(T$1:T178,T179))</f>
        <v/>
      </c>
      <c r="V179" s="17">
        <f t="shared" si="9"/>
        <v>0</v>
      </c>
      <c r="W179" s="17" t="str">
        <f>IF(V179=0,"",RANK(V179,V:V,0)+COUNTIF(V$1:V178,V179))</f>
        <v/>
      </c>
    </row>
    <row r="180" spans="3:23">
      <c r="C180" s="108" t="str">
        <f t="array" ref="C180">IFERROR(IF(A180="","",IF(ISNUMBER(MATCH(TRUE,ISNUMBER(SEARCH($Q$2:$Q$51, $A180)),0))=TRUE,"United States of America",INDEX($S$2:$S$199,MATCH(TRUE,ISNUMBER(SEARCH($S$2:$S$199, $A180)),0)))),"United States of America")</f>
        <v/>
      </c>
      <c r="D180" s="108" t="str">
        <f t="array" ref="D180">IF(A180="","",IF(ISNUMBER(MATCH(TRUE,ISNUMBER(SEARCH($Q$2:$Q$51, $A180)),0))=TRUE,"",IF(ISNUMBER(MATCH(TRUE,ISNUMBER(SEARCH($S$2:$S$199, $A180)),0))=TRUE,"","미국 확인 필요")))</f>
        <v/>
      </c>
      <c r="S180" s="2" t="s">
        <v>446</v>
      </c>
      <c r="T180" s="17">
        <f t="shared" si="8"/>
        <v>0</v>
      </c>
      <c r="U180" s="17" t="str">
        <f>IF(T180=0,"",RANK(T180,T:T,0)+COUNTIF(T$1:T179,T180))</f>
        <v/>
      </c>
      <c r="V180" s="17">
        <f t="shared" si="9"/>
        <v>0</v>
      </c>
      <c r="W180" s="17" t="str">
        <f>IF(V180=0,"",RANK(V180,V:V,0)+COUNTIF(V$1:V179,V180))</f>
        <v/>
      </c>
    </row>
    <row r="181" spans="3:23">
      <c r="C181" s="108" t="str">
        <f t="array" ref="C181">IFERROR(IF(A181="","",IF(ISNUMBER(MATCH(TRUE,ISNUMBER(SEARCH($Q$2:$Q$51, $A181)),0))=TRUE,"United States of America",INDEX($S$2:$S$199,MATCH(TRUE,ISNUMBER(SEARCH($S$2:$S$199, $A181)),0)))),"United States of America")</f>
        <v/>
      </c>
      <c r="D181" s="108" t="str">
        <f t="array" ref="D181">IF(A181="","",IF(ISNUMBER(MATCH(TRUE,ISNUMBER(SEARCH($Q$2:$Q$51, $A181)),0))=TRUE,"",IF(ISNUMBER(MATCH(TRUE,ISNUMBER(SEARCH($S$2:$S$199, $A181)),0))=TRUE,"","미국 확인 필요")))</f>
        <v/>
      </c>
      <c r="S181" s="2" t="s">
        <v>447</v>
      </c>
      <c r="T181" s="17">
        <f t="shared" si="8"/>
        <v>0</v>
      </c>
      <c r="U181" s="17" t="str">
        <f>IF(T181=0,"",RANK(T181,T:T,0)+COUNTIF(T$1:T180,T181))</f>
        <v/>
      </c>
      <c r="V181" s="17">
        <f t="shared" si="9"/>
        <v>22</v>
      </c>
      <c r="W181" s="17">
        <f>IF(V181=0,"",RANK(V181,V:V,0)+COUNTIF(V$1:V180,V181))</f>
        <v>37</v>
      </c>
    </row>
    <row r="182" spans="3:23">
      <c r="C182" s="108" t="str">
        <f t="array" ref="C182">IFERROR(IF(A182="","",IF(ISNUMBER(MATCH(TRUE,ISNUMBER(SEARCH($Q$2:$Q$51, $A182)),0))=TRUE,"United States of America",INDEX($S$2:$S$199,MATCH(TRUE,ISNUMBER(SEARCH($S$2:$S$199, $A182)),0)))),"United States of America")</f>
        <v/>
      </c>
      <c r="D182" s="108" t="str">
        <f t="array" ref="D182">IF(A182="","",IF(ISNUMBER(MATCH(TRUE,ISNUMBER(SEARCH($Q$2:$Q$51, $A182)),0))=TRUE,"",IF(ISNUMBER(MATCH(TRUE,ISNUMBER(SEARCH($S$2:$S$199, $A182)),0))=TRUE,"","미국 확인 필요")))</f>
        <v/>
      </c>
      <c r="S182" s="2" t="s">
        <v>448</v>
      </c>
      <c r="T182" s="17">
        <f t="shared" si="8"/>
        <v>0</v>
      </c>
      <c r="U182" s="17" t="str">
        <f>IF(T182=0,"",RANK(T182,T:T,0)+COUNTIF(T$1:T181,T182))</f>
        <v/>
      </c>
      <c r="V182" s="17">
        <f t="shared" si="9"/>
        <v>0</v>
      </c>
      <c r="W182" s="17" t="str">
        <f>IF(V182=0,"",RANK(V182,V:V,0)+COUNTIF(V$1:V181,V182))</f>
        <v/>
      </c>
    </row>
    <row r="183" spans="3:23">
      <c r="C183" s="108" t="str">
        <f t="array" ref="C183">IFERROR(IF(A183="","",IF(ISNUMBER(MATCH(TRUE,ISNUMBER(SEARCH($Q$2:$Q$51, $A183)),0))=TRUE,"United States of America",INDEX($S$2:$S$199,MATCH(TRUE,ISNUMBER(SEARCH($S$2:$S$199, $A183)),0)))),"United States of America")</f>
        <v/>
      </c>
      <c r="D183" s="108" t="str">
        <f t="array" ref="D183">IF(A183="","",IF(ISNUMBER(MATCH(TRUE,ISNUMBER(SEARCH($Q$2:$Q$51, $A183)),0))=TRUE,"",IF(ISNUMBER(MATCH(TRUE,ISNUMBER(SEARCH($S$2:$S$199, $A183)),0))=TRUE,"","미국 확인 필요")))</f>
        <v/>
      </c>
      <c r="S183" s="2" t="s">
        <v>449</v>
      </c>
      <c r="T183" s="17">
        <f t="shared" si="8"/>
        <v>0</v>
      </c>
      <c r="U183" s="17" t="str">
        <f>IF(T183=0,"",RANK(T183,T:T,0)+COUNTIF(T$1:T182,T183))</f>
        <v/>
      </c>
      <c r="V183" s="17">
        <f t="shared" si="9"/>
        <v>0</v>
      </c>
      <c r="W183" s="17" t="str">
        <f>IF(V183=0,"",RANK(V183,V:V,0)+COUNTIF(V$1:V182,V183))</f>
        <v/>
      </c>
    </row>
    <row r="184" spans="3:23">
      <c r="C184" s="108" t="str">
        <f t="array" ref="C184">IFERROR(IF(A184="","",IF(ISNUMBER(MATCH(TRUE,ISNUMBER(SEARCH($Q$2:$Q$51, $A184)),0))=TRUE,"United States of America",INDEX($S$2:$S$199,MATCH(TRUE,ISNUMBER(SEARCH($S$2:$S$199, $A184)),0)))),"United States of America")</f>
        <v/>
      </c>
      <c r="D184" s="108" t="str">
        <f t="array" ref="D184">IF(A184="","",IF(ISNUMBER(MATCH(TRUE,ISNUMBER(SEARCH($Q$2:$Q$51, $A184)),0))=TRUE,"",IF(ISNUMBER(MATCH(TRUE,ISNUMBER(SEARCH($S$2:$S$199, $A184)),0))=TRUE,"","미국 확인 필요")))</f>
        <v/>
      </c>
      <c r="S184" s="2" t="s">
        <v>450</v>
      </c>
      <c r="T184" s="17">
        <f t="shared" si="8"/>
        <v>0</v>
      </c>
      <c r="U184" s="17" t="str">
        <f>IF(T184=0,"",RANK(T184,T:T,0)+COUNTIF(T$1:T183,T184))</f>
        <v/>
      </c>
      <c r="V184" s="17">
        <f t="shared" si="9"/>
        <v>0</v>
      </c>
      <c r="W184" s="17" t="str">
        <f>IF(V184=0,"",RANK(V184,V:V,0)+COUNTIF(V$1:V183,V184))</f>
        <v/>
      </c>
    </row>
    <row r="185" spans="3:23">
      <c r="C185" s="108" t="str">
        <f t="array" ref="C185">IFERROR(IF(A185="","",IF(ISNUMBER(MATCH(TRUE,ISNUMBER(SEARCH($Q$2:$Q$51, $A185)),0))=TRUE,"United States of America",INDEX($S$2:$S$199,MATCH(TRUE,ISNUMBER(SEARCH($S$2:$S$199, $A185)),0)))),"United States of America")</f>
        <v/>
      </c>
      <c r="D185" s="108" t="str">
        <f t="array" ref="D185">IF(A185="","",IF(ISNUMBER(MATCH(TRUE,ISNUMBER(SEARCH($Q$2:$Q$51, $A185)),0))=TRUE,"",IF(ISNUMBER(MATCH(TRUE,ISNUMBER(SEARCH($S$2:$S$199, $A185)),0))=TRUE,"","미국 확인 필요")))</f>
        <v/>
      </c>
      <c r="S185" s="2" t="s">
        <v>451</v>
      </c>
      <c r="T185" s="17">
        <f t="shared" si="8"/>
        <v>0</v>
      </c>
      <c r="U185" s="17" t="str">
        <f>IF(T185=0,"",RANK(T185,T:T,0)+COUNTIF(T$1:T184,T185))</f>
        <v/>
      </c>
      <c r="V185" s="17">
        <f t="shared" si="9"/>
        <v>0</v>
      </c>
      <c r="W185" s="17" t="str">
        <f>IF(V185=0,"",RANK(V185,V:V,0)+COUNTIF(V$1:V184,V185))</f>
        <v/>
      </c>
    </row>
    <row r="186" spans="3:23">
      <c r="C186" s="108" t="str">
        <f t="array" ref="C186">IFERROR(IF(A186="","",IF(ISNUMBER(MATCH(TRUE,ISNUMBER(SEARCH($Q$2:$Q$51, $A186)),0))=TRUE,"United States of America",INDEX($S$2:$S$199,MATCH(TRUE,ISNUMBER(SEARCH($S$2:$S$199, $A186)),0)))),"United States of America")</f>
        <v/>
      </c>
      <c r="D186" s="108" t="str">
        <f t="array" ref="D186">IF(A186="","",IF(ISNUMBER(MATCH(TRUE,ISNUMBER(SEARCH($Q$2:$Q$51, $A186)),0))=TRUE,"",IF(ISNUMBER(MATCH(TRUE,ISNUMBER(SEARCH($S$2:$S$199, $A186)),0))=TRUE,"","미국 확인 필요")))</f>
        <v/>
      </c>
      <c r="S186" s="2" t="s">
        <v>452</v>
      </c>
      <c r="T186" s="17">
        <f t="shared" si="8"/>
        <v>0</v>
      </c>
      <c r="U186" s="17" t="str">
        <f>IF(T186=0,"",RANK(T186,T:T,0)+COUNTIF(T$1:T185,T186))</f>
        <v/>
      </c>
      <c r="V186" s="17">
        <f t="shared" si="9"/>
        <v>93</v>
      </c>
      <c r="W186" s="17">
        <f>IF(V186=0,"",RANK(V186,V:V,0)+COUNTIF(V$1:V185,V186))</f>
        <v>11</v>
      </c>
    </row>
    <row r="187" spans="3:23">
      <c r="C187" s="108" t="str">
        <f t="array" ref="C187">IFERROR(IF(A187="","",IF(ISNUMBER(MATCH(TRUE,ISNUMBER(SEARCH($Q$2:$Q$51, $A187)),0))=TRUE,"United States of America",INDEX($S$2:$S$199,MATCH(TRUE,ISNUMBER(SEARCH($S$2:$S$199, $A187)),0)))),"United States of America")</f>
        <v/>
      </c>
      <c r="D187" s="108" t="str">
        <f t="array" ref="D187">IF(A187="","",IF(ISNUMBER(MATCH(TRUE,ISNUMBER(SEARCH($Q$2:$Q$51, $A187)),0))=TRUE,"",IF(ISNUMBER(MATCH(TRUE,ISNUMBER(SEARCH($S$2:$S$199, $A187)),0))=TRUE,"","미국 확인 필요")))</f>
        <v/>
      </c>
      <c r="S187" s="2" t="s">
        <v>453</v>
      </c>
      <c r="T187" s="17">
        <f t="shared" si="8"/>
        <v>0</v>
      </c>
      <c r="U187" s="17" t="str">
        <f>IF(T187=0,"",RANK(T187,T:T,0)+COUNTIF(T$1:T186,T187))</f>
        <v/>
      </c>
      <c r="V187" s="17">
        <f t="shared" si="9"/>
        <v>0</v>
      </c>
      <c r="W187" s="17" t="str">
        <f>IF(V187=0,"",RANK(V187,V:V,0)+COUNTIF(V$1:V186,V187))</f>
        <v/>
      </c>
    </row>
    <row r="188" spans="3:23">
      <c r="C188" s="108" t="str">
        <f t="array" ref="C188">IFERROR(IF(A188="","",IF(ISNUMBER(MATCH(TRUE,ISNUMBER(SEARCH($Q$2:$Q$51, $A188)),0))=TRUE,"United States of America",INDEX($S$2:$S$199,MATCH(TRUE,ISNUMBER(SEARCH($S$2:$S$199, $A188)),0)))),"United States of America")</f>
        <v/>
      </c>
      <c r="D188" s="108" t="str">
        <f t="array" ref="D188">IF(A188="","",IF(ISNUMBER(MATCH(TRUE,ISNUMBER(SEARCH($Q$2:$Q$51, $A188)),0))=TRUE,"",IF(ISNUMBER(MATCH(TRUE,ISNUMBER(SEARCH($S$2:$S$199, $A188)),0))=TRUE,"","미국 확인 필요")))</f>
        <v/>
      </c>
      <c r="S188" s="2" t="s">
        <v>454</v>
      </c>
      <c r="T188" s="17">
        <f t="shared" si="8"/>
        <v>0</v>
      </c>
      <c r="U188" s="17" t="str">
        <f>IF(T188=0,"",RANK(T188,T:T,0)+COUNTIF(T$1:T187,T188))</f>
        <v/>
      </c>
      <c r="V188" s="17">
        <f t="shared" si="9"/>
        <v>0</v>
      </c>
      <c r="W188" s="17" t="str">
        <f>IF(V188=0,"",RANK(V188,V:V,0)+COUNTIF(V$1:V187,V188))</f>
        <v/>
      </c>
    </row>
    <row r="189" spans="3:23">
      <c r="C189" s="108" t="str">
        <f t="array" ref="C189">IFERROR(IF(A189="","",IF(ISNUMBER(MATCH(TRUE,ISNUMBER(SEARCH($Q$2:$Q$51, $A189)),0))=TRUE,"United States of America",INDEX($S$2:$S$199,MATCH(TRUE,ISNUMBER(SEARCH($S$2:$S$199, $A189)),0)))),"United States of America")</f>
        <v/>
      </c>
      <c r="D189" s="108" t="str">
        <f t="array" ref="D189">IF(A189="","",IF(ISNUMBER(MATCH(TRUE,ISNUMBER(SEARCH($Q$2:$Q$51, $A189)),0))=TRUE,"",IF(ISNUMBER(MATCH(TRUE,ISNUMBER(SEARCH($S$2:$S$199, $A189)),0))=TRUE,"","미국 확인 필요")))</f>
        <v/>
      </c>
      <c r="S189" s="2" t="s">
        <v>455</v>
      </c>
      <c r="T189" s="17">
        <f t="shared" si="8"/>
        <v>0</v>
      </c>
      <c r="U189" s="17" t="str">
        <f>IF(T189=0,"",RANK(T189,T:T,0)+COUNTIF(T$1:T188,T189))</f>
        <v/>
      </c>
      <c r="V189" s="17">
        <f t="shared" si="9"/>
        <v>32</v>
      </c>
      <c r="W189" s="17">
        <f>IF(V189=0,"",RANK(V189,V:V,0)+COUNTIF(V$1:V188,V189))</f>
        <v>25</v>
      </c>
    </row>
    <row r="190" spans="3:23">
      <c r="C190" s="108" t="str">
        <f t="array" ref="C190">IFERROR(IF(A190="","",IF(ISNUMBER(MATCH(TRUE,ISNUMBER(SEARCH($Q$2:$Q$51, $A190)),0))=TRUE,"United States of America",INDEX($S$2:$S$199,MATCH(TRUE,ISNUMBER(SEARCH($S$2:$S$199, $A190)),0)))),"United States of America")</f>
        <v/>
      </c>
      <c r="D190" s="108" t="str">
        <f t="array" ref="D190">IF(A190="","",IF(ISNUMBER(MATCH(TRUE,ISNUMBER(SEARCH($Q$2:$Q$51, $A190)),0))=TRUE,"",IF(ISNUMBER(MATCH(TRUE,ISNUMBER(SEARCH($S$2:$S$199, $A190)),0))=TRUE,"","미국 확인 필요")))</f>
        <v/>
      </c>
      <c r="S190" s="2" t="s">
        <v>456</v>
      </c>
      <c r="T190" s="17">
        <f t="shared" si="8"/>
        <v>4</v>
      </c>
      <c r="U190" s="17">
        <f>IF(T190=0,"",RANK(T190,T:T,0)+COUNTIF(T$1:T189,T190))</f>
        <v>31</v>
      </c>
      <c r="V190" s="17">
        <f t="shared" si="9"/>
        <v>0</v>
      </c>
      <c r="W190" s="17" t="str">
        <f>IF(V190=0,"",RANK(V190,V:V,0)+COUNTIF(V$1:V189,V190))</f>
        <v/>
      </c>
    </row>
    <row r="191" spans="3:23">
      <c r="C191" s="108" t="str">
        <f t="array" ref="C191">IFERROR(IF(A191="","",IF(ISNUMBER(MATCH(TRUE,ISNUMBER(SEARCH($Q$2:$Q$51, $A191)),0))=TRUE,"United States of America",INDEX($S$2:$S$199,MATCH(TRUE,ISNUMBER(SEARCH($S$2:$S$199, $A191)),0)))),"United States of America")</f>
        <v/>
      </c>
      <c r="D191" s="108" t="str">
        <f t="array" ref="D191">IF(A191="","",IF(ISNUMBER(MATCH(TRUE,ISNUMBER(SEARCH($Q$2:$Q$51, $A191)),0))=TRUE,"",IF(ISNUMBER(MATCH(TRUE,ISNUMBER(SEARCH($S$2:$S$199, $A191)),0))=TRUE,"","미국 확인 필요")))</f>
        <v/>
      </c>
      <c r="S191" s="2" t="s">
        <v>457</v>
      </c>
      <c r="T191" s="17">
        <f t="shared" si="8"/>
        <v>4</v>
      </c>
      <c r="U191" s="17">
        <f>IF(T191=0,"",RANK(T191,T:T,0)+COUNTIF(T$1:T190,T191))</f>
        <v>32</v>
      </c>
      <c r="V191" s="17">
        <f t="shared" si="9"/>
        <v>0</v>
      </c>
      <c r="W191" s="17" t="str">
        <f>IF(V191=0,"",RANK(V191,V:V,0)+COUNTIF(V$1:V190,V191))</f>
        <v/>
      </c>
    </row>
    <row r="192" spans="3:23">
      <c r="C192" s="108" t="str">
        <f t="array" ref="C192">IFERROR(IF(A192="","",IF(ISNUMBER(MATCH(TRUE,ISNUMBER(SEARCH($Q$2:$Q$51, $A192)),0))=TRUE,"United States of America",INDEX($S$2:$S$199,MATCH(TRUE,ISNUMBER(SEARCH($S$2:$S$199, $A192)),0)))),"United States of America")</f>
        <v/>
      </c>
      <c r="D192" s="108" t="str">
        <f t="array" ref="D192">IF(A192="","",IF(ISNUMBER(MATCH(TRUE,ISNUMBER(SEARCH($Q$2:$Q$51, $A192)),0))=TRUE,"",IF(ISNUMBER(MATCH(TRUE,ISNUMBER(SEARCH($S$2:$S$199, $A192)),0))=TRUE,"","미국 확인 필요")))</f>
        <v/>
      </c>
      <c r="S192" s="2" t="s">
        <v>458</v>
      </c>
      <c r="T192" s="17">
        <f t="shared" si="8"/>
        <v>639</v>
      </c>
      <c r="U192" s="17">
        <f>IF(T192=0,"",RANK(T192,T:T,0)+COUNTIF(T$1:T191,T192))</f>
        <v>2</v>
      </c>
      <c r="V192" s="17">
        <f t="shared" si="9"/>
        <v>884</v>
      </c>
      <c r="W192" s="17">
        <f>IF(V192=0,"",RANK(V192,V:V,0)+COUNTIF(V$1:V191,V192))</f>
        <v>4</v>
      </c>
    </row>
    <row r="193" spans="3:23">
      <c r="C193" s="108" t="str">
        <f t="array" ref="C193">IFERROR(IF(A193="","",IF(ISNUMBER(MATCH(TRUE,ISNUMBER(SEARCH($Q$2:$Q$51, $A193)),0))=TRUE,"United States of America",INDEX($S$2:$S$199,MATCH(TRUE,ISNUMBER(SEARCH($S$2:$S$199, $A193)),0)))),"United States of America")</f>
        <v/>
      </c>
      <c r="D193" s="108" t="str">
        <f t="array" ref="D193">IF(A193="","",IF(ISNUMBER(MATCH(TRUE,ISNUMBER(SEARCH($Q$2:$Q$51, $A193)),0))=TRUE,"",IF(ISNUMBER(MATCH(TRUE,ISNUMBER(SEARCH($S$2:$S$199, $A193)),0))=TRUE,"","미국 확인 필요")))</f>
        <v/>
      </c>
      <c r="S193" s="2" t="s">
        <v>459</v>
      </c>
      <c r="T193" s="17">
        <f t="shared" si="8"/>
        <v>0</v>
      </c>
      <c r="U193" s="17" t="str">
        <f>IF(T193=0,"",RANK(T193,T:T,0)+COUNTIF(T$1:T192,T193))</f>
        <v/>
      </c>
      <c r="V193" s="17">
        <f t="shared" si="9"/>
        <v>0</v>
      </c>
      <c r="W193" s="17" t="str">
        <f>IF(V193=0,"",RANK(V193,V:V,0)+COUNTIF(V$1:V192,V193))</f>
        <v/>
      </c>
    </row>
    <row r="194" spans="3:23">
      <c r="C194" s="108" t="str">
        <f t="array" ref="C194">IFERROR(IF(A194="","",IF(ISNUMBER(MATCH(TRUE,ISNUMBER(SEARCH($Q$2:$Q$51, $A194)),0))=TRUE,"United States of America",INDEX($S$2:$S$199,MATCH(TRUE,ISNUMBER(SEARCH($S$2:$S$199, $A194)),0)))),"United States of America")</f>
        <v/>
      </c>
      <c r="D194" s="108" t="str">
        <f t="array" ref="D194">IF(A194="","",IF(ISNUMBER(MATCH(TRUE,ISNUMBER(SEARCH($Q$2:$Q$51, $A194)),0))=TRUE,"",IF(ISNUMBER(MATCH(TRUE,ISNUMBER(SEARCH($S$2:$S$199, $A194)),0))=TRUE,"","미국 확인 필요")))</f>
        <v/>
      </c>
      <c r="S194" s="2" t="s">
        <v>460</v>
      </c>
      <c r="T194" s="17">
        <f t="shared" ref="T194:T206" si="10">SUMIF(C:C,S194,B:B)</f>
        <v>0</v>
      </c>
      <c r="U194" s="17" t="str">
        <f>IF(T194=0,"",RANK(T194,T:T,0)+COUNTIF(T$1:T193,T194))</f>
        <v/>
      </c>
      <c r="V194" s="17">
        <f t="shared" ref="V194:V206" si="11">SUMIF(H:H,S194,G:G)</f>
        <v>0</v>
      </c>
      <c r="W194" s="17" t="str">
        <f>IF(V194=0,"",RANK(V194,V:V,0)+COUNTIF(V$1:V193,V194))</f>
        <v/>
      </c>
    </row>
    <row r="195" spans="3:23">
      <c r="C195" s="108" t="str">
        <f t="array" ref="C195">IFERROR(IF(A195="","",IF(ISNUMBER(MATCH(TRUE,ISNUMBER(SEARCH($Q$2:$Q$51, $A195)),0))=TRUE,"United States of America",INDEX($S$2:$S$199,MATCH(TRUE,ISNUMBER(SEARCH($S$2:$S$199, $A195)),0)))),"United States of America")</f>
        <v/>
      </c>
      <c r="D195" s="108" t="str">
        <f t="array" ref="D195">IF(A195="","",IF(ISNUMBER(MATCH(TRUE,ISNUMBER(SEARCH($Q$2:$Q$51, $A195)),0))=TRUE,"",IF(ISNUMBER(MATCH(TRUE,ISNUMBER(SEARCH($S$2:$S$199, $A195)),0))=TRUE,"","미국 확인 필요")))</f>
        <v/>
      </c>
      <c r="S195" s="2" t="s">
        <v>461</v>
      </c>
      <c r="T195" s="17">
        <f t="shared" si="10"/>
        <v>0</v>
      </c>
      <c r="U195" s="17" t="str">
        <f>IF(T195=0,"",RANK(T195,T:T,0)+COUNTIF(T$1:T194,T195))</f>
        <v/>
      </c>
      <c r="V195" s="17">
        <f t="shared" si="11"/>
        <v>0</v>
      </c>
      <c r="W195" s="17" t="str">
        <f>IF(V195=0,"",RANK(V195,V:V,0)+COUNTIF(V$1:V194,V195))</f>
        <v/>
      </c>
    </row>
    <row r="196" spans="3:23">
      <c r="C196" s="108" t="str">
        <f t="array" ref="C196">IFERROR(IF(A196="","",IF(ISNUMBER(MATCH(TRUE,ISNUMBER(SEARCH($Q$2:$Q$51, $A196)),0))=TRUE,"United States of America",INDEX($S$2:$S$199,MATCH(TRUE,ISNUMBER(SEARCH($S$2:$S$199, $A196)),0)))),"United States of America")</f>
        <v/>
      </c>
      <c r="D196" s="108" t="str">
        <f t="array" ref="D196">IF(A196="","",IF(ISNUMBER(MATCH(TRUE,ISNUMBER(SEARCH($Q$2:$Q$51, $A196)),0))=TRUE,"",IF(ISNUMBER(MATCH(TRUE,ISNUMBER(SEARCH($S$2:$S$199, $A196)),0))=TRUE,"","미국 확인 필요")))</f>
        <v/>
      </c>
      <c r="S196" s="2" t="s">
        <v>462</v>
      </c>
      <c r="T196" s="17">
        <f t="shared" si="10"/>
        <v>0</v>
      </c>
      <c r="U196" s="17" t="str">
        <f>IF(T196=0,"",RANK(T196,T:T,0)+COUNTIF(T$1:T195,T196))</f>
        <v/>
      </c>
      <c r="V196" s="17">
        <f t="shared" si="11"/>
        <v>0</v>
      </c>
      <c r="W196" s="17" t="str">
        <f>IF(V196=0,"",RANK(V196,V:V,0)+COUNTIF(V$1:V195,V196))</f>
        <v/>
      </c>
    </row>
    <row r="197" spans="3:23">
      <c r="C197" s="108" t="str">
        <f t="array" ref="C197">IFERROR(IF(A197="","",IF(ISNUMBER(MATCH(TRUE,ISNUMBER(SEARCH($Q$2:$Q$51, $A197)),0))=TRUE,"United States of America",INDEX($S$2:$S$199,MATCH(TRUE,ISNUMBER(SEARCH($S$2:$S$199, $A197)),0)))),"United States of America")</f>
        <v/>
      </c>
      <c r="D197" s="108" t="str">
        <f t="array" ref="D197">IF(A197="","",IF(ISNUMBER(MATCH(TRUE,ISNUMBER(SEARCH($Q$2:$Q$51, $A197)),0))=TRUE,"",IF(ISNUMBER(MATCH(TRUE,ISNUMBER(SEARCH($S$2:$S$199, $A197)),0))=TRUE,"","미국 확인 필요")))</f>
        <v/>
      </c>
      <c r="S197" s="2" t="s">
        <v>463</v>
      </c>
      <c r="T197" s="17">
        <f t="shared" si="10"/>
        <v>0</v>
      </c>
      <c r="U197" s="17" t="str">
        <f>IF(T197=0,"",RANK(T197,T:T,0)+COUNTIF(T$1:T196,T197))</f>
        <v/>
      </c>
      <c r="V197" s="17">
        <f t="shared" si="11"/>
        <v>0</v>
      </c>
      <c r="W197" s="17" t="str">
        <f>IF(V197=0,"",RANK(V197,V:V,0)+COUNTIF(V$1:V196,V197))</f>
        <v/>
      </c>
    </row>
    <row r="198" spans="3:23">
      <c r="C198" s="108" t="str">
        <f t="array" ref="C198">IFERROR(IF(A198="","",IF(ISNUMBER(MATCH(TRUE,ISNUMBER(SEARCH($Q$2:$Q$51, $A198)),0))=TRUE,"United States of America",INDEX($S$2:$S$199,MATCH(TRUE,ISNUMBER(SEARCH($S$2:$S$199, $A198)),0)))),"United States of America")</f>
        <v/>
      </c>
      <c r="D198" s="108" t="str">
        <f t="array" ref="D198">IF(A198="","",IF(ISNUMBER(MATCH(TRUE,ISNUMBER(SEARCH($Q$2:$Q$51, $A198)),0))=TRUE,"",IF(ISNUMBER(MATCH(TRUE,ISNUMBER(SEARCH($S$2:$S$199, $A198)),0))=TRUE,"","미국 확인 필요")))</f>
        <v/>
      </c>
      <c r="S198" s="2" t="s">
        <v>464</v>
      </c>
      <c r="T198" s="17">
        <f t="shared" si="10"/>
        <v>0</v>
      </c>
      <c r="U198" s="17" t="str">
        <f>IF(T198=0,"",RANK(T198,T:T,0)+COUNTIF(T$1:T197,T198))</f>
        <v/>
      </c>
      <c r="V198" s="17">
        <f t="shared" si="11"/>
        <v>0</v>
      </c>
      <c r="W198" s="17" t="str">
        <f>IF(V198=0,"",RANK(V198,V:V,0)+COUNTIF(V$1:V197,V198))</f>
        <v/>
      </c>
    </row>
    <row r="199" spans="3:23">
      <c r="C199" s="108" t="str">
        <f t="array" ref="C199">IFERROR(IF(A199="","",IF(ISNUMBER(MATCH(TRUE,ISNUMBER(SEARCH($Q$2:$Q$51, $A199)),0))=TRUE,"United States of America",INDEX($S$2:$S$199,MATCH(TRUE,ISNUMBER(SEARCH($S$2:$S$199, $A199)),0)))),"United States of America")</f>
        <v/>
      </c>
      <c r="D199" s="108" t="str">
        <f t="array" ref="D199">IF(A199="","",IF(ISNUMBER(MATCH(TRUE,ISNUMBER(SEARCH($Q$2:$Q$51, $A199)),0))=TRUE,"",IF(ISNUMBER(MATCH(TRUE,ISNUMBER(SEARCH($S$2:$S$199, $A199)),0))=TRUE,"","미국 확인 필요")))</f>
        <v/>
      </c>
      <c r="S199" s="2" t="s">
        <v>465</v>
      </c>
      <c r="T199" s="17">
        <f t="shared" si="10"/>
        <v>0</v>
      </c>
      <c r="U199" s="17" t="str">
        <f>IF(T199=0,"",RANK(T199,T:T,0)+COUNTIF(T$1:T198,T199))</f>
        <v/>
      </c>
      <c r="V199" s="17">
        <f t="shared" si="11"/>
        <v>0</v>
      </c>
      <c r="W199" s="17" t="str">
        <f>IF(V199=0,"",RANK(V199,V:V,0)+COUNTIF(V$1:V198,V199))</f>
        <v/>
      </c>
    </row>
    <row r="200" spans="3:23">
      <c r="C200" s="108" t="str">
        <f t="array" ref="C200">IFERROR(IF(A200="","",IF(ISNUMBER(MATCH(TRUE,ISNUMBER(SEARCH($Q$2:$Q$51, $A200)),0))=TRUE,"United States of America",INDEX($S$2:$S$199,MATCH(TRUE,ISNUMBER(SEARCH($S$2:$S$199, $A200)),0)))),"United States of America")</f>
        <v/>
      </c>
      <c r="D200" s="108" t="str">
        <f t="array" ref="D200">IF(A200="","",IF(ISNUMBER(MATCH(TRUE,ISNUMBER(SEARCH($Q$2:$Q$51, $A200)),0))=TRUE,"",IF(ISNUMBER(MATCH(TRUE,ISNUMBER(SEARCH($S$2:$S$199, $A200)),0))=TRUE,"","미국 확인 필요")))</f>
        <v/>
      </c>
      <c r="S200" s="2"/>
      <c r="T200" s="17">
        <f t="shared" si="10"/>
        <v>0</v>
      </c>
      <c r="U200" s="17" t="str">
        <f>IF(T200=0,"",RANK(T200,T:T,0)+COUNTIF(T$1:T199,T200))</f>
        <v/>
      </c>
      <c r="V200" s="17">
        <f t="shared" si="11"/>
        <v>0</v>
      </c>
      <c r="W200" s="17" t="str">
        <f>IF(V200=0,"",RANK(V200,V:V,0)+COUNTIF(V$1:V199,V200))</f>
        <v/>
      </c>
    </row>
    <row r="201" spans="3:23">
      <c r="C201" s="108" t="str">
        <f t="array" ref="C201">IFERROR(IF(A201="","",IF(ISNUMBER(MATCH(TRUE,ISNUMBER(SEARCH($Q$2:$Q$51, $A201)),0))=TRUE,"United States of America",INDEX($S$2:$S$199,MATCH(TRUE,ISNUMBER(SEARCH($S$2:$S$199, $A201)),0)))),"United States of America")</f>
        <v/>
      </c>
      <c r="D201" s="108" t="str">
        <f t="array" ref="D201">IF(A201="","",IF(ISNUMBER(MATCH(TRUE,ISNUMBER(SEARCH($Q$2:$Q$51, $A201)),0))=TRUE,"",IF(ISNUMBER(MATCH(TRUE,ISNUMBER(SEARCH($S$2:$S$199, $A201)),0))=TRUE,"","미국 확인 필요")))</f>
        <v/>
      </c>
      <c r="S201" s="2"/>
      <c r="T201" s="17">
        <f t="shared" si="10"/>
        <v>0</v>
      </c>
      <c r="U201" s="17" t="str">
        <f>IF(T201=0,"",RANK(T201,T:T,0)+COUNTIF(T$1:T200,T201))</f>
        <v/>
      </c>
      <c r="V201" s="17">
        <f t="shared" si="11"/>
        <v>0</v>
      </c>
      <c r="W201" s="17" t="str">
        <f>IF(V201=0,"",RANK(V201,V:V,0)+COUNTIF(V$1:V200,V201))</f>
        <v/>
      </c>
    </row>
    <row r="202" spans="3:23">
      <c r="C202" s="108" t="str">
        <f t="array" ref="C202">IFERROR(IF(A202="","",IF(ISNUMBER(MATCH(TRUE,ISNUMBER(SEARCH($Q$2:$Q$51, $A202)),0))=TRUE,"United States of America",INDEX($S$2:$S$199,MATCH(TRUE,ISNUMBER(SEARCH($S$2:$S$199, $A202)),0)))),"United States of America")</f>
        <v/>
      </c>
      <c r="D202" s="108" t="str">
        <f t="array" ref="D202">IF(A202="","",IF(ISNUMBER(MATCH(TRUE,ISNUMBER(SEARCH($Q$2:$Q$51, $A202)),0))=TRUE,"",IF(ISNUMBER(MATCH(TRUE,ISNUMBER(SEARCH($S$2:$S$199, $A202)),0))=TRUE,"","미국 확인 필요")))</f>
        <v/>
      </c>
      <c r="S202" s="2"/>
      <c r="T202" s="17">
        <f t="shared" si="10"/>
        <v>0</v>
      </c>
      <c r="U202" s="17" t="str">
        <f>IF(T202=0,"",RANK(T202,T:T,0)+COUNTIF(T$1:T201,T202))</f>
        <v/>
      </c>
      <c r="V202" s="17">
        <f t="shared" si="11"/>
        <v>0</v>
      </c>
      <c r="W202" s="17" t="str">
        <f>IF(V202=0,"",RANK(V202,V:V,0)+COUNTIF(V$1:V201,V202))</f>
        <v/>
      </c>
    </row>
    <row r="203" spans="3:23">
      <c r="C203" s="108" t="str">
        <f t="array" ref="C203">IFERROR(IF(A203="","",IF(ISNUMBER(MATCH(TRUE,ISNUMBER(SEARCH($Q$2:$Q$51, $A203)),0))=TRUE,"United States of America",INDEX($S$2:$S$199,MATCH(TRUE,ISNUMBER(SEARCH($S$2:$S$199, $A203)),0)))),"United States of America")</f>
        <v/>
      </c>
      <c r="D203" s="108" t="str">
        <f t="array" ref="D203">IF(A203="","",IF(ISNUMBER(MATCH(TRUE,ISNUMBER(SEARCH($Q$2:$Q$51, $A203)),0))=TRUE,"",IF(ISNUMBER(MATCH(TRUE,ISNUMBER(SEARCH($S$2:$S$199, $A203)),0))=TRUE,"","미국 확인 필요")))</f>
        <v/>
      </c>
      <c r="S203" s="2"/>
      <c r="T203" s="17">
        <f t="shared" si="10"/>
        <v>0</v>
      </c>
      <c r="U203" s="17" t="str">
        <f>IF(T203=0,"",RANK(T203,T:T,0)+COUNTIF(T$1:T202,T203))</f>
        <v/>
      </c>
      <c r="V203" s="17">
        <f t="shared" si="11"/>
        <v>0</v>
      </c>
      <c r="W203" s="17" t="str">
        <f>IF(V203=0,"",RANK(V203,V:V,0)+COUNTIF(V$1:V202,V203))</f>
        <v/>
      </c>
    </row>
    <row r="204" spans="3:23">
      <c r="C204" s="108" t="str">
        <f t="array" ref="C204">IFERROR(IF(A204="","",IF(ISNUMBER(MATCH(TRUE,ISNUMBER(SEARCH($Q$2:$Q$51, $A204)),0))=TRUE,"United States of America",INDEX($S$2:$S$199,MATCH(TRUE,ISNUMBER(SEARCH($S$2:$S$199, $A204)),0)))),"United States of America")</f>
        <v/>
      </c>
      <c r="D204" s="108" t="str">
        <f t="array" ref="D204">IF(A204="","",IF(ISNUMBER(MATCH(TRUE,ISNUMBER(SEARCH($Q$2:$Q$51, $A204)),0))=TRUE,"",IF(ISNUMBER(MATCH(TRUE,ISNUMBER(SEARCH($S$2:$S$199, $A204)),0))=TRUE,"","미국 확인 필요")))</f>
        <v/>
      </c>
      <c r="S204" s="2"/>
      <c r="T204" s="17">
        <f t="shared" si="10"/>
        <v>0</v>
      </c>
      <c r="U204" s="17" t="str">
        <f>IF(T204=0,"",RANK(T204,T:T,0)+COUNTIF(T$1:T203,T204))</f>
        <v/>
      </c>
      <c r="V204" s="17">
        <f t="shared" si="11"/>
        <v>0</v>
      </c>
      <c r="W204" s="17" t="str">
        <f>IF(V204=0,"",RANK(V204,V:V,0)+COUNTIF(V$1:V203,V204))</f>
        <v/>
      </c>
    </row>
    <row r="205" spans="3:23">
      <c r="C205" s="108" t="str">
        <f t="array" ref="C205">IFERROR(IF(A205="","",IF(ISNUMBER(MATCH(TRUE,ISNUMBER(SEARCH($Q$2:$Q$51, $A205)),0))=TRUE,"United States of America",INDEX($S$2:$S$199,MATCH(TRUE,ISNUMBER(SEARCH($S$2:$S$199, $A205)),0)))),"United States of America")</f>
        <v/>
      </c>
      <c r="D205" s="108" t="str">
        <f t="array" ref="D205">IF(A205="","",IF(ISNUMBER(MATCH(TRUE,ISNUMBER(SEARCH($Q$2:$Q$51, $A205)),0))=TRUE,"",IF(ISNUMBER(MATCH(TRUE,ISNUMBER(SEARCH($S$2:$S$199, $A205)),0))=TRUE,"","미국 확인 필요")))</f>
        <v/>
      </c>
      <c r="S205" s="2"/>
      <c r="T205" s="17">
        <f t="shared" si="10"/>
        <v>0</v>
      </c>
      <c r="U205" s="17" t="str">
        <f>IF(T205=0,"",RANK(T205,T:T,0)+COUNTIF(T$1:T204,T205))</f>
        <v/>
      </c>
      <c r="V205" s="17">
        <f t="shared" si="11"/>
        <v>0</v>
      </c>
      <c r="W205" s="17" t="str">
        <f>IF(V205=0,"",RANK(V205,V:V,0)+COUNTIF(V$1:V204,V205))</f>
        <v/>
      </c>
    </row>
    <row r="206" spans="3:23">
      <c r="C206" s="108" t="str">
        <f t="array" ref="C206">IFERROR(IF(A206="","",IF(ISNUMBER(MATCH(TRUE,ISNUMBER(SEARCH($Q$2:$Q$51, $A206)),0))=TRUE,"United States of America",INDEX($S$2:$S$199,MATCH(TRUE,ISNUMBER(SEARCH($S$2:$S$199, $A206)),0)))),"United States of America")</f>
        <v/>
      </c>
      <c r="D206" s="108" t="str">
        <f t="array" ref="D206">IF(A206="","",IF(ISNUMBER(MATCH(TRUE,ISNUMBER(SEARCH($Q$2:$Q$51, $A206)),0))=TRUE,"",IF(ISNUMBER(MATCH(TRUE,ISNUMBER(SEARCH($S$2:$S$199, $A206)),0))=TRUE,"","미국 확인 필요")))</f>
        <v/>
      </c>
      <c r="S206" s="2"/>
      <c r="T206" s="17">
        <f t="shared" si="10"/>
        <v>0</v>
      </c>
      <c r="U206" s="17" t="str">
        <f>IF(T206=0,"",RANK(T206,T:T,0)+COUNTIF(T$1:T205,T206))</f>
        <v/>
      </c>
      <c r="V206" s="17">
        <f t="shared" si="11"/>
        <v>0</v>
      </c>
      <c r="W206" s="17" t="str">
        <f>IF(V206=0,"",RANK(V206,V:V,0)+COUNTIF(V$1:V205,V206))</f>
        <v/>
      </c>
    </row>
    <row r="207" spans="3:23">
      <c r="C207" s="108" t="str">
        <f t="array" ref="C207">IFERROR(IF(A207="","",IF(ISNUMBER(MATCH(TRUE,ISNUMBER(SEARCH($Q$2:$Q$51, $A207)),0))=TRUE,"United States of America",INDEX($S$2:$S$199,MATCH(TRUE,ISNUMBER(SEARCH($S$2:$S$199, $A207)),0)))),"United States of America")</f>
        <v/>
      </c>
      <c r="D207" s="108" t="str">
        <f t="array" ref="D207">IF(A207="","",IF(ISNUMBER(MATCH(TRUE,ISNUMBER(SEARCH($Q$2:$Q$51, $A207)),0))=TRUE,"",IF(ISNUMBER(MATCH(TRUE,ISNUMBER(SEARCH($S$2:$S$199, $A207)),0))=TRUE,"","미국 확인 필요")))</f>
        <v/>
      </c>
    </row>
    <row r="208" spans="3:23">
      <c r="C208" s="108" t="str">
        <f t="array" ref="C208">IFERROR(IF(A208="","",IF(ISNUMBER(MATCH(TRUE,ISNUMBER(SEARCH($Q$2:$Q$51, $A208)),0))=TRUE,"United States of America",INDEX($S$2:$S$199,MATCH(TRUE,ISNUMBER(SEARCH($S$2:$S$199, $A208)),0)))),"United States of America")</f>
        <v/>
      </c>
      <c r="D208" s="108" t="str">
        <f t="array" ref="D208">IF(A208="","",IF(ISNUMBER(MATCH(TRUE,ISNUMBER(SEARCH($Q$2:$Q$51, $A208)),0))=TRUE,"",IF(ISNUMBER(MATCH(TRUE,ISNUMBER(SEARCH($S$2:$S$199, $A208)),0))=TRUE,"","미국 확인 필요")))</f>
        <v/>
      </c>
    </row>
    <row r="209" spans="3:4">
      <c r="C209" s="108" t="str">
        <f t="array" ref="C209">IFERROR(IF(A209="","",IF(ISNUMBER(MATCH(TRUE,ISNUMBER(SEARCH($Q$2:$Q$51, $A209)),0))=TRUE,"United States of America",INDEX($S$2:$S$199,MATCH(TRUE,ISNUMBER(SEARCH($S$2:$S$199, $A209)),0)))),"United States of America")</f>
        <v/>
      </c>
      <c r="D209" s="108" t="str">
        <f t="array" ref="D209">IF(A209="","",IF(ISNUMBER(MATCH(TRUE,ISNUMBER(SEARCH($Q$2:$Q$51, $A209)),0))=TRUE,"",IF(ISNUMBER(MATCH(TRUE,ISNUMBER(SEARCH($S$2:$S$199, $A209)),0))=TRUE,"","미국 확인 필요")))</f>
        <v/>
      </c>
    </row>
    <row r="210" spans="3:4">
      <c r="C210" s="108" t="str">
        <f t="array" ref="C210">IFERROR(IF(A210="","",IF(ISNUMBER(MATCH(TRUE,ISNUMBER(SEARCH($Q$2:$Q$51, $A210)),0))=TRUE,"United States of America",INDEX($S$2:$S$199,MATCH(TRUE,ISNUMBER(SEARCH($S$2:$S$199, $A210)),0)))),"United States of America")</f>
        <v/>
      </c>
      <c r="D210" s="108" t="str">
        <f t="array" ref="D210">IF(A210="","",IF(ISNUMBER(MATCH(TRUE,ISNUMBER(SEARCH($Q$2:$Q$51, $A210)),0))=TRUE,"",IF(ISNUMBER(MATCH(TRUE,ISNUMBER(SEARCH($S$2:$S$199, $A210)),0))=TRUE,"","미국 확인 필요")))</f>
        <v/>
      </c>
    </row>
    <row r="211" spans="3:4">
      <c r="C211" s="108" t="str">
        <f t="array" ref="C211">IFERROR(IF(A211="","",IF(ISNUMBER(MATCH(TRUE,ISNUMBER(SEARCH($Q$2:$Q$51, $A211)),0))=TRUE,"United States of America",INDEX($S$2:$S$199,MATCH(TRUE,ISNUMBER(SEARCH($S$2:$S$199, $A211)),0)))),"United States of America")</f>
        <v/>
      </c>
      <c r="D211" s="108" t="str">
        <f t="array" ref="D211">IF(A211="","",IF(ISNUMBER(MATCH(TRUE,ISNUMBER(SEARCH($Q$2:$Q$51, $A211)),0))=TRUE,"",IF(ISNUMBER(MATCH(TRUE,ISNUMBER(SEARCH($S$2:$S$199, $A211)),0))=TRUE,"","미국 확인 필요")))</f>
        <v/>
      </c>
    </row>
    <row r="212" spans="3:4">
      <c r="C212" s="108" t="str">
        <f t="array" ref="C212">IFERROR(IF(A212="","",IF(ISNUMBER(MATCH(TRUE,ISNUMBER(SEARCH($Q$2:$Q$51, $A212)),0))=TRUE,"United States of America",INDEX($S$2:$S$199,MATCH(TRUE,ISNUMBER(SEARCH($S$2:$S$199, $A212)),0)))),"United States of America")</f>
        <v/>
      </c>
      <c r="D212" s="108" t="str">
        <f t="array" ref="D212">IF(A212="","",IF(ISNUMBER(MATCH(TRUE,ISNUMBER(SEARCH($Q$2:$Q$51, $A212)),0))=TRUE,"",IF(ISNUMBER(MATCH(TRUE,ISNUMBER(SEARCH($S$2:$S$199, $A212)),0))=TRUE,"","미국 확인 필요")))</f>
        <v/>
      </c>
    </row>
    <row r="213" spans="3:4">
      <c r="C213" s="108" t="str">
        <f t="array" ref="C213">IFERROR(IF(A213="","",IF(ISNUMBER(MATCH(TRUE,ISNUMBER(SEARCH($Q$2:$Q$51, $A213)),0))=TRUE,"United States of America",INDEX($S$2:$S$199,MATCH(TRUE,ISNUMBER(SEARCH($S$2:$S$199, $A213)),0)))),"United States of America")</f>
        <v/>
      </c>
      <c r="D213" s="108" t="str">
        <f t="array" ref="D213">IF(A213="","",IF(ISNUMBER(MATCH(TRUE,ISNUMBER(SEARCH($Q$2:$Q$51, $A213)),0))=TRUE,"",IF(ISNUMBER(MATCH(TRUE,ISNUMBER(SEARCH($S$2:$S$199, $A213)),0))=TRUE,"","미국 확인 필요")))</f>
        <v/>
      </c>
    </row>
    <row r="214" spans="3:4">
      <c r="C214" s="108" t="str">
        <f t="array" ref="C214">IFERROR(IF(A214="","",IF(ISNUMBER(MATCH(TRUE,ISNUMBER(SEARCH($Q$2:$Q$51, $A214)),0))=TRUE,"United States of America",INDEX($S$2:$S$199,MATCH(TRUE,ISNUMBER(SEARCH($S$2:$S$199, $A214)),0)))),"United States of America")</f>
        <v/>
      </c>
      <c r="D214" s="108" t="str">
        <f t="array" ref="D214">IF(A214="","",IF(ISNUMBER(MATCH(TRUE,ISNUMBER(SEARCH($Q$2:$Q$51, $A214)),0))=TRUE,"",IF(ISNUMBER(MATCH(TRUE,ISNUMBER(SEARCH($S$2:$S$199, $A214)),0))=TRUE,"","미국 확인 필요")))</f>
        <v/>
      </c>
    </row>
    <row r="215" spans="3:4">
      <c r="C215" s="108" t="str">
        <f t="array" ref="C215">IFERROR(IF(A215="","",IF(ISNUMBER(MATCH(TRUE,ISNUMBER(SEARCH($Q$2:$Q$51, $A215)),0))=TRUE,"United States of America",INDEX($S$2:$S$199,MATCH(TRUE,ISNUMBER(SEARCH($S$2:$S$199, $A215)),0)))),"United States of America")</f>
        <v/>
      </c>
      <c r="D215" s="108" t="str">
        <f t="array" ref="D215">IF(A215="","",IF(ISNUMBER(MATCH(TRUE,ISNUMBER(SEARCH($Q$2:$Q$51, $A215)),0))=TRUE,"",IF(ISNUMBER(MATCH(TRUE,ISNUMBER(SEARCH($S$2:$S$199, $A215)),0))=TRUE,"","미국 확인 필요")))</f>
        <v/>
      </c>
    </row>
    <row r="216" spans="3:4">
      <c r="C216" s="108" t="str">
        <f t="array" ref="C216">IFERROR(IF(A216="","",IF(ISNUMBER(MATCH(TRUE,ISNUMBER(SEARCH($Q$2:$Q$51, $A216)),0))=TRUE,"United States of America",INDEX($S$2:$S$199,MATCH(TRUE,ISNUMBER(SEARCH($S$2:$S$199, $A216)),0)))),"United States of America")</f>
        <v/>
      </c>
      <c r="D216" s="108" t="str">
        <f t="array" ref="D216">IF(A216="","",IF(ISNUMBER(MATCH(TRUE,ISNUMBER(SEARCH($Q$2:$Q$51, $A216)),0))=TRUE,"",IF(ISNUMBER(MATCH(TRUE,ISNUMBER(SEARCH($S$2:$S$199, $A216)),0))=TRUE,"","미국 확인 필요")))</f>
        <v/>
      </c>
    </row>
    <row r="217" spans="3:4">
      <c r="C217" s="108" t="str">
        <f t="array" ref="C217">IFERROR(IF(A217="","",IF(ISNUMBER(MATCH(TRUE,ISNUMBER(SEARCH($Q$2:$Q$51, $A217)),0))=TRUE,"United States of America",INDEX($S$2:$S$199,MATCH(TRUE,ISNUMBER(SEARCH($S$2:$S$199, $A217)),0)))),"United States of America")</f>
        <v/>
      </c>
      <c r="D217" s="108" t="str">
        <f t="array" ref="D217">IF(A217="","",IF(ISNUMBER(MATCH(TRUE,ISNUMBER(SEARCH($Q$2:$Q$51, $A217)),0))=TRUE,"",IF(ISNUMBER(MATCH(TRUE,ISNUMBER(SEARCH($S$2:$S$199, $A217)),0))=TRUE,"","미국 확인 필요")))</f>
        <v/>
      </c>
    </row>
    <row r="218" spans="3:4">
      <c r="C218" s="108" t="str">
        <f t="array" ref="C218">IFERROR(IF(A218="","",IF(ISNUMBER(MATCH(TRUE,ISNUMBER(SEARCH($Q$2:$Q$51, $A218)),0))=TRUE,"United States of America",INDEX($S$2:$S$199,MATCH(TRUE,ISNUMBER(SEARCH($S$2:$S$199, $A218)),0)))),"United States of America")</f>
        <v/>
      </c>
      <c r="D218" s="108" t="str">
        <f t="array" ref="D218">IF(A218="","",IF(ISNUMBER(MATCH(TRUE,ISNUMBER(SEARCH($Q$2:$Q$51, $A218)),0))=TRUE,"",IF(ISNUMBER(MATCH(TRUE,ISNUMBER(SEARCH($S$2:$S$199, $A218)),0))=TRUE,"","미국 확인 필요")))</f>
        <v/>
      </c>
    </row>
    <row r="219" spans="3:4">
      <c r="C219" s="108" t="str">
        <f t="array" ref="C219">IFERROR(IF(A219="","",IF(ISNUMBER(MATCH(TRUE,ISNUMBER(SEARCH($Q$2:$Q$51, $A219)),0))=TRUE,"United States of America",INDEX($S$2:$S$199,MATCH(TRUE,ISNUMBER(SEARCH($S$2:$S$199, $A219)),0)))),"United States of America")</f>
        <v/>
      </c>
      <c r="D219" s="108" t="str">
        <f t="array" ref="D219">IF(A219="","",IF(ISNUMBER(MATCH(TRUE,ISNUMBER(SEARCH($Q$2:$Q$51, $A219)),0))=TRUE,"",IF(ISNUMBER(MATCH(TRUE,ISNUMBER(SEARCH($S$2:$S$199, $A219)),0))=TRUE,"","미국 확인 필요")))</f>
        <v/>
      </c>
    </row>
    <row r="220" spans="3:4">
      <c r="C220" s="108" t="str">
        <f t="array" ref="C220">IFERROR(IF(A220="","",IF(ISNUMBER(MATCH(TRUE,ISNUMBER(SEARCH($Q$2:$Q$51, $A220)),0))=TRUE,"United States of America",INDEX($S$2:$S$199,MATCH(TRUE,ISNUMBER(SEARCH($S$2:$S$199, $A220)),0)))),"United States of America")</f>
        <v/>
      </c>
      <c r="D220" s="108" t="str">
        <f t="array" ref="D220">IF(A220="","",IF(ISNUMBER(MATCH(TRUE,ISNUMBER(SEARCH($Q$2:$Q$51, $A220)),0))=TRUE,"",IF(ISNUMBER(MATCH(TRUE,ISNUMBER(SEARCH($S$2:$S$199, $A220)),0))=TRUE,"","미국 확인 필요")))</f>
        <v/>
      </c>
    </row>
    <row r="221" spans="3:4">
      <c r="C221" s="108" t="str">
        <f t="array" ref="C221">IFERROR(IF(A221="","",IF(ISNUMBER(MATCH(TRUE,ISNUMBER(SEARCH($Q$2:$Q$51, $A221)),0))=TRUE,"United States of America",INDEX($S$2:$S$199,MATCH(TRUE,ISNUMBER(SEARCH($S$2:$S$199, $A221)),0)))),"United States of America")</f>
        <v/>
      </c>
      <c r="D221" s="108" t="str">
        <f t="array" ref="D221">IF(A221="","",IF(ISNUMBER(MATCH(TRUE,ISNUMBER(SEARCH($Q$2:$Q$51, $A221)),0))=TRUE,"",IF(ISNUMBER(MATCH(TRUE,ISNUMBER(SEARCH($S$2:$S$199, $A221)),0))=TRUE,"","미국 확인 필요")))</f>
        <v/>
      </c>
    </row>
    <row r="222" spans="3:4">
      <c r="C222" s="108" t="str">
        <f t="array" ref="C222">IFERROR(IF(A222="","",IF(ISNUMBER(MATCH(TRUE,ISNUMBER(SEARCH($Q$2:$Q$51, $A222)),0))=TRUE,"United States of America",INDEX($S$2:$S$199,MATCH(TRUE,ISNUMBER(SEARCH($S$2:$S$199, $A222)),0)))),"United States of America")</f>
        <v/>
      </c>
      <c r="D222" s="108" t="str">
        <f t="array" ref="D222">IF(A222="","",IF(ISNUMBER(MATCH(TRUE,ISNUMBER(SEARCH($Q$2:$Q$51, $A222)),0))=TRUE,"",IF(ISNUMBER(MATCH(TRUE,ISNUMBER(SEARCH($S$2:$S$199, $A222)),0))=TRUE,"","미국 확인 필요")))</f>
        <v/>
      </c>
    </row>
    <row r="223" spans="3:4">
      <c r="C223" s="108" t="str">
        <f t="array" ref="C223">IFERROR(IF(A223="","",IF(ISNUMBER(MATCH(TRUE,ISNUMBER(SEARCH($Q$2:$Q$51, $A223)),0))=TRUE,"United States of America",INDEX($S$2:$S$199,MATCH(TRUE,ISNUMBER(SEARCH($S$2:$S$199, $A223)),0)))),"United States of America")</f>
        <v/>
      </c>
      <c r="D223" s="108" t="str">
        <f t="array" ref="D223">IF(A223="","",IF(ISNUMBER(MATCH(TRUE,ISNUMBER(SEARCH($Q$2:$Q$51, $A223)),0))=TRUE,"",IF(ISNUMBER(MATCH(TRUE,ISNUMBER(SEARCH($S$2:$S$199, $A223)),0))=TRUE,"","미국 확인 필요")))</f>
        <v/>
      </c>
    </row>
    <row r="224" spans="3:4">
      <c r="C224" s="108" t="str">
        <f t="array" ref="C224">IFERROR(IF(A224="","",IF(ISNUMBER(MATCH(TRUE,ISNUMBER(SEARCH($Q$2:$Q$51, $A224)),0))=TRUE,"United States of America",INDEX($S$2:$S$199,MATCH(TRUE,ISNUMBER(SEARCH($S$2:$S$199, $A224)),0)))),"United States of America")</f>
        <v/>
      </c>
      <c r="D224" s="108" t="str">
        <f t="array" ref="D224">IF(A224="","",IF(ISNUMBER(MATCH(TRUE,ISNUMBER(SEARCH($Q$2:$Q$51, $A224)),0))=TRUE,"",IF(ISNUMBER(MATCH(TRUE,ISNUMBER(SEARCH($S$2:$S$199, $A224)),0))=TRUE,"","미국 확인 필요")))</f>
        <v/>
      </c>
    </row>
    <row r="225" spans="3:4">
      <c r="C225" s="108" t="str">
        <f t="array" ref="C225">IFERROR(IF(A225="","",IF(ISNUMBER(MATCH(TRUE,ISNUMBER(SEARCH($Q$2:$Q$51, $A225)),0))=TRUE,"United States of America",INDEX($S$2:$S$199,MATCH(TRUE,ISNUMBER(SEARCH($S$2:$S$199, $A225)),0)))),"United States of America")</f>
        <v/>
      </c>
      <c r="D225" s="108" t="str">
        <f t="array" ref="D225">IF(A225="","",IF(ISNUMBER(MATCH(TRUE,ISNUMBER(SEARCH($Q$2:$Q$51, $A225)),0))=TRUE,"",IF(ISNUMBER(MATCH(TRUE,ISNUMBER(SEARCH($S$2:$S$199, $A225)),0))=TRUE,"","미국 확인 필요")))</f>
        <v/>
      </c>
    </row>
    <row r="226" spans="3:4">
      <c r="C226" s="108" t="str">
        <f t="array" ref="C226">IFERROR(IF(A226="","",IF(ISNUMBER(MATCH(TRUE,ISNUMBER(SEARCH($Q$2:$Q$51, $A226)),0))=TRUE,"United States of America",INDEX($S$2:$S$199,MATCH(TRUE,ISNUMBER(SEARCH($S$2:$S$199, $A226)),0)))),"United States of America")</f>
        <v/>
      </c>
      <c r="D226" s="108" t="str">
        <f t="array" ref="D226">IF(A226="","",IF(ISNUMBER(MATCH(TRUE,ISNUMBER(SEARCH($Q$2:$Q$51, $A226)),0))=TRUE,"",IF(ISNUMBER(MATCH(TRUE,ISNUMBER(SEARCH($S$2:$S$199, $A226)),0))=TRUE,"","미국 확인 필요")))</f>
        <v/>
      </c>
    </row>
    <row r="227" spans="3:4">
      <c r="C227" s="108" t="str">
        <f t="array" ref="C227">IFERROR(IF(A227="","",IF(ISNUMBER(MATCH(TRUE,ISNUMBER(SEARCH($Q$2:$Q$51, $A227)),0))=TRUE,"United States of America",INDEX($S$2:$S$199,MATCH(TRUE,ISNUMBER(SEARCH($S$2:$S$199, $A227)),0)))),"United States of America")</f>
        <v/>
      </c>
      <c r="D227" s="108" t="str">
        <f t="array" ref="D227">IF(A227="","",IF(ISNUMBER(MATCH(TRUE,ISNUMBER(SEARCH($Q$2:$Q$51, $A227)),0))=TRUE,"",IF(ISNUMBER(MATCH(TRUE,ISNUMBER(SEARCH($S$2:$S$199, $A227)),0))=TRUE,"","미국 확인 필요")))</f>
        <v/>
      </c>
    </row>
    <row r="228" spans="3:4">
      <c r="C228" s="108" t="str">
        <f t="array" ref="C228">IFERROR(IF(A228="","",IF(ISNUMBER(MATCH(TRUE,ISNUMBER(SEARCH($Q$2:$Q$51, $A228)),0))=TRUE,"United States of America",INDEX($S$2:$S$199,MATCH(TRUE,ISNUMBER(SEARCH($S$2:$S$199, $A228)),0)))),"United States of America")</f>
        <v/>
      </c>
      <c r="D228" s="108" t="str">
        <f t="array" ref="D228">IF(A228="","",IF(ISNUMBER(MATCH(TRUE,ISNUMBER(SEARCH($Q$2:$Q$51, $A228)),0))=TRUE,"",IF(ISNUMBER(MATCH(TRUE,ISNUMBER(SEARCH($S$2:$S$199, $A228)),0))=TRUE,"","미국 확인 필요")))</f>
        <v/>
      </c>
    </row>
    <row r="229" spans="3:4">
      <c r="C229" s="108" t="str">
        <f t="array" ref="C229">IFERROR(IF(A229="","",IF(ISNUMBER(MATCH(TRUE,ISNUMBER(SEARCH($Q$2:$Q$51, $A229)),0))=TRUE,"United States of America",INDEX($S$2:$S$199,MATCH(TRUE,ISNUMBER(SEARCH($S$2:$S$199, $A229)),0)))),"United States of America")</f>
        <v/>
      </c>
      <c r="D229" s="108" t="str">
        <f t="array" ref="D229">IF(A229="","",IF(ISNUMBER(MATCH(TRUE,ISNUMBER(SEARCH($Q$2:$Q$51, $A229)),0))=TRUE,"",IF(ISNUMBER(MATCH(TRUE,ISNUMBER(SEARCH($S$2:$S$199, $A229)),0))=TRUE,"","미국 확인 필요")))</f>
        <v/>
      </c>
    </row>
    <row r="230" spans="3:4">
      <c r="C230" s="108" t="str">
        <f t="array" ref="C230">IFERROR(IF(A230="","",IF(ISNUMBER(MATCH(TRUE,ISNUMBER(SEARCH($Q$2:$Q$51, $A230)),0))=TRUE,"United States of America",INDEX($S$2:$S$199,MATCH(TRUE,ISNUMBER(SEARCH($S$2:$S$199, $A230)),0)))),"United States of America")</f>
        <v/>
      </c>
      <c r="D230" s="108" t="str">
        <f t="array" ref="D230">IF(A230="","",IF(ISNUMBER(MATCH(TRUE,ISNUMBER(SEARCH($Q$2:$Q$51, $A230)),0))=TRUE,"",IF(ISNUMBER(MATCH(TRUE,ISNUMBER(SEARCH($S$2:$S$199, $A230)),0))=TRUE,"","미국 확인 필요")))</f>
        <v/>
      </c>
    </row>
    <row r="231" spans="3:4">
      <c r="C231" s="108" t="str">
        <f t="array" ref="C231">IFERROR(IF(A231="","",IF(ISNUMBER(MATCH(TRUE,ISNUMBER(SEARCH($Q$2:$Q$51, $A231)),0))=TRUE,"United States of America",INDEX($S$2:$S$199,MATCH(TRUE,ISNUMBER(SEARCH($S$2:$S$199, $A231)),0)))),"United States of America")</f>
        <v/>
      </c>
      <c r="D231" s="108" t="str">
        <f t="array" ref="D231">IF(A231="","",IF(ISNUMBER(MATCH(TRUE,ISNUMBER(SEARCH($Q$2:$Q$51, $A231)),0))=TRUE,"",IF(ISNUMBER(MATCH(TRUE,ISNUMBER(SEARCH($S$2:$S$199, $A231)),0))=TRUE,"","미국 확인 필요")))</f>
        <v/>
      </c>
    </row>
    <row r="232" spans="3:4">
      <c r="C232" s="108" t="str">
        <f t="array" ref="C232">IFERROR(IF(A232="","",IF(ISNUMBER(MATCH(TRUE,ISNUMBER(SEARCH($Q$2:$Q$51, $A232)),0))=TRUE,"United States of America",INDEX($S$2:$S$199,MATCH(TRUE,ISNUMBER(SEARCH($S$2:$S$199, $A232)),0)))),"United States of America")</f>
        <v/>
      </c>
      <c r="D232" s="108" t="str">
        <f t="array" ref="D232">IF(A232="","",IF(ISNUMBER(MATCH(TRUE,ISNUMBER(SEARCH($Q$2:$Q$51, $A232)),0))=TRUE,"",IF(ISNUMBER(MATCH(TRUE,ISNUMBER(SEARCH($S$2:$S$199, $A232)),0))=TRUE,"","미국 확인 필요")))</f>
        <v/>
      </c>
    </row>
    <row r="233" spans="3:4">
      <c r="C233" s="108" t="str">
        <f t="array" ref="C233">IFERROR(IF(A233="","",IF(ISNUMBER(MATCH(TRUE,ISNUMBER(SEARCH($Q$2:$Q$51, $A233)),0))=TRUE,"United States of America",INDEX($S$2:$S$199,MATCH(TRUE,ISNUMBER(SEARCH($S$2:$S$199, $A233)),0)))),"United States of America")</f>
        <v/>
      </c>
      <c r="D233" s="108" t="str">
        <f t="array" ref="D233">IF(A233="","",IF(ISNUMBER(MATCH(TRUE,ISNUMBER(SEARCH($Q$2:$Q$51, $A233)),0))=TRUE,"",IF(ISNUMBER(MATCH(TRUE,ISNUMBER(SEARCH($S$2:$S$199, $A233)),0))=TRUE,"","미국 확인 필요")))</f>
        <v/>
      </c>
    </row>
    <row r="234" spans="3:4">
      <c r="C234" s="108" t="str">
        <f t="array" ref="C234">IFERROR(IF(A234="","",IF(ISNUMBER(MATCH(TRUE,ISNUMBER(SEARCH($Q$2:$Q$51, $A234)),0))=TRUE,"United States of America",INDEX($S$2:$S$199,MATCH(TRUE,ISNUMBER(SEARCH($S$2:$S$199, $A234)),0)))),"United States of America")</f>
        <v/>
      </c>
      <c r="D234" s="108" t="str">
        <f t="array" ref="D234">IF(A234="","",IF(ISNUMBER(MATCH(TRUE,ISNUMBER(SEARCH($Q$2:$Q$51, $A234)),0))=TRUE,"",IF(ISNUMBER(MATCH(TRUE,ISNUMBER(SEARCH($S$2:$S$199, $A234)),0))=TRUE,"","미국 확인 필요")))</f>
        <v/>
      </c>
    </row>
    <row r="235" spans="3:4">
      <c r="C235" s="108" t="str">
        <f t="array" ref="C235">IFERROR(IF(A235="","",IF(ISNUMBER(MATCH(TRUE,ISNUMBER(SEARCH($Q$2:$Q$51, $A235)),0))=TRUE,"United States of America",INDEX($S$2:$S$199,MATCH(TRUE,ISNUMBER(SEARCH($S$2:$S$199, $A235)),0)))),"United States of America")</f>
        <v/>
      </c>
      <c r="D235" s="108" t="str">
        <f t="array" ref="D235">IF(A235="","",IF(ISNUMBER(MATCH(TRUE,ISNUMBER(SEARCH($Q$2:$Q$51, $A235)),0))=TRUE,"",IF(ISNUMBER(MATCH(TRUE,ISNUMBER(SEARCH($S$2:$S$199, $A235)),0))=TRUE,"","미국 확인 필요")))</f>
        <v/>
      </c>
    </row>
    <row r="236" spans="3:4">
      <c r="C236" s="108" t="str">
        <f t="array" ref="C236">IFERROR(IF(A236="","",IF(ISNUMBER(MATCH(TRUE,ISNUMBER(SEARCH($Q$2:$Q$51, $A236)),0))=TRUE,"United States of America",INDEX($S$2:$S$199,MATCH(TRUE,ISNUMBER(SEARCH($S$2:$S$199, $A236)),0)))),"United States of America")</f>
        <v/>
      </c>
      <c r="D236" s="108" t="str">
        <f t="array" ref="D236">IF(A236="","",IF(ISNUMBER(MATCH(TRUE,ISNUMBER(SEARCH($Q$2:$Q$51, $A236)),0))=TRUE,"",IF(ISNUMBER(MATCH(TRUE,ISNUMBER(SEARCH($S$2:$S$199, $A236)),0))=TRUE,"","미국 확인 필요")))</f>
        <v/>
      </c>
    </row>
    <row r="237" spans="3:4">
      <c r="C237" s="108" t="str">
        <f t="array" ref="C237">IFERROR(IF(A237="","",IF(ISNUMBER(MATCH(TRUE,ISNUMBER(SEARCH($Q$2:$Q$51, $A237)),0))=TRUE,"United States of America",INDEX($S$2:$S$199,MATCH(TRUE,ISNUMBER(SEARCH($S$2:$S$199, $A237)),0)))),"United States of America")</f>
        <v/>
      </c>
      <c r="D237" s="108" t="str">
        <f t="array" ref="D237">IF(A237="","",IF(ISNUMBER(MATCH(TRUE,ISNUMBER(SEARCH($Q$2:$Q$51, $A237)),0))=TRUE,"",IF(ISNUMBER(MATCH(TRUE,ISNUMBER(SEARCH($S$2:$S$199, $A237)),0))=TRUE,"","미국 확인 필요")))</f>
        <v/>
      </c>
    </row>
    <row r="238" spans="3:4">
      <c r="C238" s="108" t="str">
        <f t="array" ref="C238">IFERROR(IF(A238="","",IF(ISNUMBER(MATCH(TRUE,ISNUMBER(SEARCH($Q$2:$Q$51, $A238)),0))=TRUE,"United States of America",INDEX($S$2:$S$199,MATCH(TRUE,ISNUMBER(SEARCH($S$2:$S$199, $A238)),0)))),"United States of America")</f>
        <v/>
      </c>
      <c r="D238" s="108" t="str">
        <f t="array" ref="D238">IF(A238="","",IF(ISNUMBER(MATCH(TRUE,ISNUMBER(SEARCH($Q$2:$Q$51, $A238)),0))=TRUE,"",IF(ISNUMBER(MATCH(TRUE,ISNUMBER(SEARCH($S$2:$S$199, $A238)),0))=TRUE,"","미국 확인 필요")))</f>
        <v/>
      </c>
    </row>
    <row r="239" spans="3:4">
      <c r="C239" s="108" t="str">
        <f t="array" ref="C239">IFERROR(IF(A239="","",IF(ISNUMBER(MATCH(TRUE,ISNUMBER(SEARCH($Q$2:$Q$51, $A239)),0))=TRUE,"United States of America",INDEX($S$2:$S$199,MATCH(TRUE,ISNUMBER(SEARCH($S$2:$S$199, $A239)),0)))),"United States of America")</f>
        <v/>
      </c>
      <c r="D239" s="108" t="str">
        <f t="array" ref="D239">IF(A239="","",IF(ISNUMBER(MATCH(TRUE,ISNUMBER(SEARCH($Q$2:$Q$51, $A239)),0))=TRUE,"",IF(ISNUMBER(MATCH(TRUE,ISNUMBER(SEARCH($S$2:$S$199, $A239)),0))=TRUE,"","미국 확인 필요")))</f>
        <v/>
      </c>
    </row>
    <row r="240" spans="3:4">
      <c r="C240" s="108" t="str">
        <f t="array" ref="C240">IFERROR(IF(A240="","",IF(ISNUMBER(MATCH(TRUE,ISNUMBER(SEARCH($Q$2:$Q$51, $A240)),0))=TRUE,"United States of America",INDEX($S$2:$S$199,MATCH(TRUE,ISNUMBER(SEARCH($S$2:$S$199, $A240)),0)))),"United States of America")</f>
        <v/>
      </c>
      <c r="D240" s="108" t="str">
        <f t="array" ref="D240">IF(A240="","",IF(ISNUMBER(MATCH(TRUE,ISNUMBER(SEARCH($Q$2:$Q$51, $A240)),0))=TRUE,"",IF(ISNUMBER(MATCH(TRUE,ISNUMBER(SEARCH($S$2:$S$199, $A240)),0))=TRUE,"","미국 확인 필요")))</f>
        <v/>
      </c>
    </row>
    <row r="241" spans="3:4">
      <c r="C241" s="108" t="str">
        <f t="array" ref="C241">IFERROR(IF(A241="","",IF(ISNUMBER(MATCH(TRUE,ISNUMBER(SEARCH($Q$2:$Q$51, $A241)),0))=TRUE,"United States of America",INDEX($S$2:$S$199,MATCH(TRUE,ISNUMBER(SEARCH($S$2:$S$199, $A241)),0)))),"United States of America")</f>
        <v/>
      </c>
      <c r="D241" s="108" t="str">
        <f t="array" ref="D241">IF(A241="","",IF(ISNUMBER(MATCH(TRUE,ISNUMBER(SEARCH($Q$2:$Q$51, $A241)),0))=TRUE,"",IF(ISNUMBER(MATCH(TRUE,ISNUMBER(SEARCH($S$2:$S$199, $A241)),0))=TRUE,"","미국 확인 필요")))</f>
        <v/>
      </c>
    </row>
    <row r="242" spans="3:4">
      <c r="C242" s="108" t="str">
        <f t="array" ref="C242">IFERROR(IF(A242="","",IF(ISNUMBER(MATCH(TRUE,ISNUMBER(SEARCH($Q$2:$Q$51, $A242)),0))=TRUE,"United States of America",INDEX($S$2:$S$199,MATCH(TRUE,ISNUMBER(SEARCH($S$2:$S$199, $A242)),0)))),"United States of America")</f>
        <v/>
      </c>
      <c r="D242" s="108" t="str">
        <f t="array" ref="D242">IF(A242="","",IF(ISNUMBER(MATCH(TRUE,ISNUMBER(SEARCH($Q$2:$Q$51, $A242)),0))=TRUE,"",IF(ISNUMBER(MATCH(TRUE,ISNUMBER(SEARCH($S$2:$S$199, $A242)),0))=TRUE,"","미국 확인 필요")))</f>
        <v/>
      </c>
    </row>
    <row r="243" spans="3:4">
      <c r="C243" s="108" t="str">
        <f t="array" ref="C243">IFERROR(IF(A243="","",IF(ISNUMBER(MATCH(TRUE,ISNUMBER(SEARCH($Q$2:$Q$51, $A243)),0))=TRUE,"United States of America",INDEX($S$2:$S$199,MATCH(TRUE,ISNUMBER(SEARCH($S$2:$S$199, $A243)),0)))),"United States of America")</f>
        <v/>
      </c>
      <c r="D243" s="108" t="str">
        <f t="array" ref="D243">IF(A243="","",IF(ISNUMBER(MATCH(TRUE,ISNUMBER(SEARCH($Q$2:$Q$51, $A243)),0))=TRUE,"",IF(ISNUMBER(MATCH(TRUE,ISNUMBER(SEARCH($S$2:$S$199, $A243)),0))=TRUE,"","미국 확인 필요")))</f>
        <v/>
      </c>
    </row>
    <row r="244" spans="3:4">
      <c r="C244" s="108" t="str">
        <f t="array" ref="C244">IFERROR(IF(A244="","",IF(ISNUMBER(MATCH(TRUE,ISNUMBER(SEARCH($Q$2:$Q$51, $A244)),0))=TRUE,"United States of America",INDEX($S$2:$S$199,MATCH(TRUE,ISNUMBER(SEARCH($S$2:$S$199, $A244)),0)))),"United States of America")</f>
        <v/>
      </c>
      <c r="D244" s="108" t="str">
        <f t="array" ref="D244">IF(A244="","",IF(ISNUMBER(MATCH(TRUE,ISNUMBER(SEARCH($Q$2:$Q$51, $A244)),0))=TRUE,"",IF(ISNUMBER(MATCH(TRUE,ISNUMBER(SEARCH($S$2:$S$199, $A244)),0))=TRUE,"","미국 확인 필요")))</f>
        <v/>
      </c>
    </row>
    <row r="245" spans="3:4">
      <c r="C245" s="108" t="str">
        <f t="array" ref="C245">IFERROR(IF(A245="","",IF(ISNUMBER(MATCH(TRUE,ISNUMBER(SEARCH($Q$2:$Q$51, $A245)),0))=TRUE,"United States of America",INDEX($S$2:$S$199,MATCH(TRUE,ISNUMBER(SEARCH($S$2:$S$199, $A245)),0)))),"United States of America")</f>
        <v/>
      </c>
      <c r="D245" s="108" t="str">
        <f t="array" ref="D245">IF(A245="","",IF(ISNUMBER(MATCH(TRUE,ISNUMBER(SEARCH($Q$2:$Q$51, $A245)),0))=TRUE,"",IF(ISNUMBER(MATCH(TRUE,ISNUMBER(SEARCH($S$2:$S$199, $A245)),0))=TRUE,"","미국 확인 필요")))</f>
        <v/>
      </c>
    </row>
    <row r="246" spans="3:4">
      <c r="C246" s="108" t="str">
        <f t="array" ref="C246">IFERROR(IF(A246="","",IF(ISNUMBER(MATCH(TRUE,ISNUMBER(SEARCH($Q$2:$Q$51, $A246)),0))=TRUE,"United States of America",INDEX($S$2:$S$199,MATCH(TRUE,ISNUMBER(SEARCH($S$2:$S$199, $A246)),0)))),"United States of America")</f>
        <v/>
      </c>
      <c r="D246" s="108" t="str">
        <f t="array" ref="D246">IF(A246="","",IF(ISNUMBER(MATCH(TRUE,ISNUMBER(SEARCH($Q$2:$Q$51, $A246)),0))=TRUE,"",IF(ISNUMBER(MATCH(TRUE,ISNUMBER(SEARCH($S$2:$S$199, $A246)),0))=TRUE,"","미국 확인 필요")))</f>
        <v/>
      </c>
    </row>
    <row r="247" spans="3:4">
      <c r="C247" s="108" t="str">
        <f t="array" ref="C247">IFERROR(IF(A247="","",IF(ISNUMBER(MATCH(TRUE,ISNUMBER(SEARCH($Q$2:$Q$51, $A247)),0))=TRUE,"United States of America",INDEX($S$2:$S$199,MATCH(TRUE,ISNUMBER(SEARCH($S$2:$S$199, $A247)),0)))),"United States of America")</f>
        <v/>
      </c>
      <c r="D247" s="108" t="str">
        <f t="array" ref="D247">IF(A247="","",IF(ISNUMBER(MATCH(TRUE,ISNUMBER(SEARCH($Q$2:$Q$51, $A247)),0))=TRUE,"",IF(ISNUMBER(MATCH(TRUE,ISNUMBER(SEARCH($S$2:$S$199, $A247)),0))=TRUE,"","미국 확인 필요")))</f>
        <v/>
      </c>
    </row>
    <row r="248" spans="3:4">
      <c r="C248" s="108" t="str">
        <f t="array" ref="C248">IFERROR(IF(A248="","",IF(ISNUMBER(MATCH(TRUE,ISNUMBER(SEARCH($Q$2:$Q$51, $A248)),0))=TRUE,"United States of America",INDEX($S$2:$S$199,MATCH(TRUE,ISNUMBER(SEARCH($S$2:$S$199, $A248)),0)))),"United States of America")</f>
        <v/>
      </c>
      <c r="D248" s="108" t="str">
        <f t="array" ref="D248">IF(A248="","",IF(ISNUMBER(MATCH(TRUE,ISNUMBER(SEARCH($Q$2:$Q$51, $A248)),0))=TRUE,"",IF(ISNUMBER(MATCH(TRUE,ISNUMBER(SEARCH($S$2:$S$199, $A248)),0))=TRUE,"","미국 확인 필요")))</f>
        <v/>
      </c>
    </row>
    <row r="249" spans="3:4">
      <c r="C249" s="108" t="str">
        <f t="array" ref="C249">IFERROR(IF(A249="","",IF(ISNUMBER(MATCH(TRUE,ISNUMBER(SEARCH($Q$2:$Q$51, $A249)),0))=TRUE,"United States of America",INDEX($S$2:$S$199,MATCH(TRUE,ISNUMBER(SEARCH($S$2:$S$199, $A249)),0)))),"United States of America")</f>
        <v/>
      </c>
      <c r="D249" s="108" t="str">
        <f t="array" ref="D249">IF(A249="","",IF(ISNUMBER(MATCH(TRUE,ISNUMBER(SEARCH($Q$2:$Q$51, $A249)),0))=TRUE,"",IF(ISNUMBER(MATCH(TRUE,ISNUMBER(SEARCH($S$2:$S$199, $A249)),0))=TRUE,"","미국 확인 필요")))</f>
        <v/>
      </c>
    </row>
    <row r="250" spans="3:4">
      <c r="C250" s="108" t="str">
        <f t="array" ref="C250">IFERROR(IF(A250="","",IF(ISNUMBER(MATCH(TRUE,ISNUMBER(SEARCH($Q$2:$Q$51, $A250)),0))=TRUE,"United States of America",INDEX($S$2:$S$199,MATCH(TRUE,ISNUMBER(SEARCH($S$2:$S$199, $A250)),0)))),"United States of America")</f>
        <v/>
      </c>
      <c r="D250" s="108" t="str">
        <f t="array" ref="D250">IF(A250="","",IF(ISNUMBER(MATCH(TRUE,ISNUMBER(SEARCH($Q$2:$Q$51, $A250)),0))=TRUE,"",IF(ISNUMBER(MATCH(TRUE,ISNUMBER(SEARCH($S$2:$S$199, $A250)),0))=TRUE,"","미국 확인 필요")))</f>
        <v/>
      </c>
    </row>
    <row r="251" spans="3:4">
      <c r="C251" s="108" t="str">
        <f t="array" ref="C251">IFERROR(IF(A251="","",IF(ISNUMBER(MATCH(TRUE,ISNUMBER(SEARCH($Q$2:$Q$51, $A251)),0))=TRUE,"United States of America",INDEX($S$2:$S$199,MATCH(TRUE,ISNUMBER(SEARCH($S$2:$S$199, $A251)),0)))),"United States of America")</f>
        <v/>
      </c>
      <c r="D251" s="108" t="str">
        <f t="array" ref="D251">IF(A251="","",IF(ISNUMBER(MATCH(TRUE,ISNUMBER(SEARCH($Q$2:$Q$51, $A251)),0))=TRUE,"",IF(ISNUMBER(MATCH(TRUE,ISNUMBER(SEARCH($S$2:$S$199, $A251)),0))=TRUE,"","미국 확인 필요")))</f>
        <v/>
      </c>
    </row>
    <row r="252" spans="3:4">
      <c r="C252" s="108" t="str">
        <f t="array" ref="C252">IFERROR(IF(A252="","",IF(ISNUMBER(MATCH(TRUE,ISNUMBER(SEARCH($Q$2:$Q$51, $A252)),0))=TRUE,"United States of America",INDEX($S$2:$S$199,MATCH(TRUE,ISNUMBER(SEARCH($S$2:$S$199, $A252)),0)))),"United States of America")</f>
        <v/>
      </c>
      <c r="D252" s="108" t="str">
        <f t="array" ref="D252">IF(A252="","",IF(ISNUMBER(MATCH(TRUE,ISNUMBER(SEARCH($Q$2:$Q$51, $A252)),0))=TRUE,"",IF(ISNUMBER(MATCH(TRUE,ISNUMBER(SEARCH($S$2:$S$199, $A252)),0))=TRUE,"","미국 확인 필요")))</f>
        <v/>
      </c>
    </row>
    <row r="253" spans="3:4">
      <c r="C253" s="108" t="str">
        <f t="array" ref="C253">IFERROR(IF(A253="","",IF(ISNUMBER(MATCH(TRUE,ISNUMBER(SEARCH($Q$2:$Q$51, $A253)),0))=TRUE,"United States of America",INDEX($S$2:$S$199,MATCH(TRUE,ISNUMBER(SEARCH($S$2:$S$199, $A253)),0)))),"United States of America")</f>
        <v/>
      </c>
      <c r="D253" s="108" t="str">
        <f t="array" ref="D253">IF(A253="","",IF(ISNUMBER(MATCH(TRUE,ISNUMBER(SEARCH($Q$2:$Q$51, $A253)),0))=TRUE,"",IF(ISNUMBER(MATCH(TRUE,ISNUMBER(SEARCH($S$2:$S$199, $A253)),0))=TRUE,"","미국 확인 필요")))</f>
        <v/>
      </c>
    </row>
    <row r="254" spans="3:4">
      <c r="C254" s="108" t="str">
        <f t="array" ref="C254">IFERROR(IF(A254="","",IF(ISNUMBER(MATCH(TRUE,ISNUMBER(SEARCH($Q$2:$Q$51, $A254)),0))=TRUE,"United States of America",INDEX($S$2:$S$199,MATCH(TRUE,ISNUMBER(SEARCH($S$2:$S$199, $A254)),0)))),"United States of America")</f>
        <v/>
      </c>
      <c r="D254" s="108" t="str">
        <f t="array" ref="D254">IF(A254="","",IF(ISNUMBER(MATCH(TRUE,ISNUMBER(SEARCH($Q$2:$Q$51, $A254)),0))=TRUE,"",IF(ISNUMBER(MATCH(TRUE,ISNUMBER(SEARCH($S$2:$S$199, $A254)),0))=TRUE,"","미국 확인 필요")))</f>
        <v/>
      </c>
    </row>
    <row r="255" spans="3:4">
      <c r="C255" s="108" t="str">
        <f t="array" ref="C255">IFERROR(IF(A255="","",IF(ISNUMBER(MATCH(TRUE,ISNUMBER(SEARCH($Q$2:$Q$51, $A255)),0))=TRUE,"United States of America",INDEX($S$2:$S$199,MATCH(TRUE,ISNUMBER(SEARCH($S$2:$S$199, $A255)),0)))),"United States of America")</f>
        <v/>
      </c>
      <c r="D255" s="108" t="str">
        <f t="array" ref="D255">IF(A255="","",IF(ISNUMBER(MATCH(TRUE,ISNUMBER(SEARCH($Q$2:$Q$51, $A255)),0))=TRUE,"",IF(ISNUMBER(MATCH(TRUE,ISNUMBER(SEARCH($S$2:$S$199, $A255)),0))=TRUE,"","미국 확인 필요")))</f>
        <v/>
      </c>
    </row>
    <row r="256" spans="3:4">
      <c r="C256" s="108" t="str">
        <f t="array" ref="C256">IFERROR(IF(A256="","",IF(ISNUMBER(MATCH(TRUE,ISNUMBER(SEARCH($Q$2:$Q$51, $A256)),0))=TRUE,"United States of America",INDEX($S$2:$S$199,MATCH(TRUE,ISNUMBER(SEARCH($S$2:$S$199, $A256)),0)))),"United States of America")</f>
        <v/>
      </c>
      <c r="D256" s="108" t="str">
        <f t="array" ref="D256">IF(A256="","",IF(ISNUMBER(MATCH(TRUE,ISNUMBER(SEARCH($Q$2:$Q$51, $A256)),0))=TRUE,"",IF(ISNUMBER(MATCH(TRUE,ISNUMBER(SEARCH($S$2:$S$199, $A256)),0))=TRUE,"","미국 확인 필요")))</f>
        <v/>
      </c>
    </row>
    <row r="257" spans="3:4">
      <c r="C257" s="108" t="str">
        <f t="array" ref="C257">IFERROR(IF(A257="","",IF(ISNUMBER(MATCH(TRUE,ISNUMBER(SEARCH($Q$2:$Q$51, $A257)),0))=TRUE,"United States of America",INDEX($S$2:$S$199,MATCH(TRUE,ISNUMBER(SEARCH($S$2:$S$199, $A257)),0)))),"United States of America")</f>
        <v/>
      </c>
      <c r="D257" s="108" t="str">
        <f t="array" ref="D257">IF(A257="","",IF(ISNUMBER(MATCH(TRUE,ISNUMBER(SEARCH($Q$2:$Q$51, $A257)),0))=TRUE,"",IF(ISNUMBER(MATCH(TRUE,ISNUMBER(SEARCH($S$2:$S$199, $A257)),0))=TRUE,"","미국 확인 필요")))</f>
        <v/>
      </c>
    </row>
    <row r="258" spans="3:4">
      <c r="C258" s="108" t="str">
        <f t="array" ref="C258">IFERROR(IF(A258="","",IF(ISNUMBER(MATCH(TRUE,ISNUMBER(SEARCH($Q$2:$Q$51, $A258)),0))=TRUE,"United States of America",INDEX($S$2:$S$199,MATCH(TRUE,ISNUMBER(SEARCH($S$2:$S$199, $A258)),0)))),"United States of America")</f>
        <v/>
      </c>
      <c r="D258" s="108" t="str">
        <f t="array" ref="D258">IF(A258="","",IF(ISNUMBER(MATCH(TRUE,ISNUMBER(SEARCH($Q$2:$Q$51, $A258)),0))=TRUE,"",IF(ISNUMBER(MATCH(TRUE,ISNUMBER(SEARCH($S$2:$S$199, $A258)),0))=TRUE,"","미국 확인 필요")))</f>
        <v/>
      </c>
    </row>
    <row r="259" spans="3:4">
      <c r="C259" s="108" t="str">
        <f t="array" ref="C259">IFERROR(IF(A259="","",IF(ISNUMBER(MATCH(TRUE,ISNUMBER(SEARCH($Q$2:$Q$51, $A259)),0))=TRUE,"United States of America",INDEX($S$2:$S$199,MATCH(TRUE,ISNUMBER(SEARCH($S$2:$S$199, $A259)),0)))),"United States of America")</f>
        <v/>
      </c>
      <c r="D259" s="108" t="str">
        <f t="array" ref="D259">IF(A259="","",IF(ISNUMBER(MATCH(TRUE,ISNUMBER(SEARCH($Q$2:$Q$51, $A259)),0))=TRUE,"",IF(ISNUMBER(MATCH(TRUE,ISNUMBER(SEARCH($S$2:$S$199, $A259)),0))=TRUE,"","미국 확인 필요")))</f>
        <v/>
      </c>
    </row>
    <row r="260" spans="3:4">
      <c r="C260" s="108" t="str">
        <f t="array" ref="C260">IFERROR(IF(A260="","",IF(ISNUMBER(MATCH(TRUE,ISNUMBER(SEARCH($Q$2:$Q$51, $A260)),0))=TRUE,"United States of America",INDEX($S$2:$S$199,MATCH(TRUE,ISNUMBER(SEARCH($S$2:$S$199, $A260)),0)))),"United States of America")</f>
        <v/>
      </c>
      <c r="D260" s="108" t="str">
        <f t="array" ref="D260">IF(A260="","",IF(ISNUMBER(MATCH(TRUE,ISNUMBER(SEARCH($Q$2:$Q$51, $A260)),0))=TRUE,"",IF(ISNUMBER(MATCH(TRUE,ISNUMBER(SEARCH($S$2:$S$199, $A260)),0))=TRUE,"","미국 확인 필요")))</f>
        <v/>
      </c>
    </row>
    <row r="261" spans="3:4">
      <c r="C261" s="108" t="str">
        <f t="array" ref="C261">IFERROR(IF(A261="","",IF(ISNUMBER(MATCH(TRUE,ISNUMBER(SEARCH($Q$2:$Q$51, $A261)),0))=TRUE,"United States of America",INDEX($S$2:$S$199,MATCH(TRUE,ISNUMBER(SEARCH($S$2:$S$199, $A261)),0)))),"United States of America")</f>
        <v/>
      </c>
      <c r="D261" s="108" t="str">
        <f t="array" ref="D261">IF(A261="","",IF(ISNUMBER(MATCH(TRUE,ISNUMBER(SEARCH($Q$2:$Q$51, $A261)),0))=TRUE,"",IF(ISNUMBER(MATCH(TRUE,ISNUMBER(SEARCH($S$2:$S$199, $A261)),0))=TRUE,"","미국 확인 필요")))</f>
        <v/>
      </c>
    </row>
    <row r="262" spans="3:4">
      <c r="C262" s="108" t="str">
        <f t="array" ref="C262">IFERROR(IF(A262="","",IF(ISNUMBER(MATCH(TRUE,ISNUMBER(SEARCH($Q$2:$Q$51, $A262)),0))=TRUE,"United States of America",INDEX($S$2:$S$199,MATCH(TRUE,ISNUMBER(SEARCH($S$2:$S$199, $A262)),0)))),"United States of America")</f>
        <v/>
      </c>
      <c r="D262" s="108" t="str">
        <f t="array" ref="D262">IF(A262="","",IF(ISNUMBER(MATCH(TRUE,ISNUMBER(SEARCH($Q$2:$Q$51, $A262)),0))=TRUE,"",IF(ISNUMBER(MATCH(TRUE,ISNUMBER(SEARCH($S$2:$S$199, $A262)),0))=TRUE,"","미국 확인 필요")))</f>
        <v/>
      </c>
    </row>
    <row r="263" spans="3:4">
      <c r="C263" s="108" t="str">
        <f t="array" ref="C263">IFERROR(IF(A263="","",IF(ISNUMBER(MATCH(TRUE,ISNUMBER(SEARCH($Q$2:$Q$51, $A263)),0))=TRUE,"United States of America",INDEX($S$2:$S$199,MATCH(TRUE,ISNUMBER(SEARCH($S$2:$S$199, $A263)),0)))),"United States of America")</f>
        <v/>
      </c>
      <c r="D263" s="108" t="str">
        <f t="array" ref="D263">IF(A263="","",IF(ISNUMBER(MATCH(TRUE,ISNUMBER(SEARCH($Q$2:$Q$51, $A263)),0))=TRUE,"",IF(ISNUMBER(MATCH(TRUE,ISNUMBER(SEARCH($S$2:$S$199, $A263)),0))=TRUE,"","미국 확인 필요")))</f>
        <v/>
      </c>
    </row>
    <row r="264" spans="3:4">
      <c r="C264" s="108" t="str">
        <f t="array" ref="C264">IFERROR(IF(A264="","",IF(ISNUMBER(MATCH(TRUE,ISNUMBER(SEARCH($Q$2:$Q$51, $A264)),0))=TRUE,"United States of America",INDEX($S$2:$S$199,MATCH(TRUE,ISNUMBER(SEARCH($S$2:$S$199, $A264)),0)))),"United States of America")</f>
        <v/>
      </c>
      <c r="D264" s="108" t="str">
        <f t="array" ref="D264">IF(A264="","",IF(ISNUMBER(MATCH(TRUE,ISNUMBER(SEARCH($Q$2:$Q$51, $A264)),0))=TRUE,"",IF(ISNUMBER(MATCH(TRUE,ISNUMBER(SEARCH($S$2:$S$199, $A264)),0))=TRUE,"","미국 확인 필요")))</f>
        <v/>
      </c>
    </row>
    <row r="265" spans="3:4">
      <c r="C265" s="108" t="str">
        <f t="array" ref="C265">IFERROR(IF(A265="","",IF(ISNUMBER(MATCH(TRUE,ISNUMBER(SEARCH($Q$2:$Q$51, $A265)),0))=TRUE,"United States of America",INDEX($S$2:$S$199,MATCH(TRUE,ISNUMBER(SEARCH($S$2:$S$199, $A265)),0)))),"United States of America")</f>
        <v/>
      </c>
      <c r="D265" s="108" t="str">
        <f t="array" ref="D265">IF(A265="","",IF(ISNUMBER(MATCH(TRUE,ISNUMBER(SEARCH($Q$2:$Q$51, $A265)),0))=TRUE,"",IF(ISNUMBER(MATCH(TRUE,ISNUMBER(SEARCH($S$2:$S$199, $A265)),0))=TRUE,"","미국 확인 필요")))</f>
        <v/>
      </c>
    </row>
    <row r="266" spans="3:4">
      <c r="C266" s="108" t="str">
        <f t="array" ref="C266">IFERROR(IF(A266="","",IF(ISNUMBER(MATCH(TRUE,ISNUMBER(SEARCH($Q$2:$Q$51, $A266)),0))=TRUE,"United States of America",INDEX($S$2:$S$199,MATCH(TRUE,ISNUMBER(SEARCH($S$2:$S$199, $A266)),0)))),"United States of America")</f>
        <v/>
      </c>
      <c r="D266" s="108" t="str">
        <f t="array" ref="D266">IF(A266="","",IF(ISNUMBER(MATCH(TRUE,ISNUMBER(SEARCH($Q$2:$Q$51, $A266)),0))=TRUE,"",IF(ISNUMBER(MATCH(TRUE,ISNUMBER(SEARCH($S$2:$S$199, $A266)),0))=TRUE,"","미국 확인 필요")))</f>
        <v/>
      </c>
    </row>
    <row r="267" spans="3:4">
      <c r="C267" s="108" t="str">
        <f t="array" ref="C267">IFERROR(IF(A267="","",IF(ISNUMBER(MATCH(TRUE,ISNUMBER(SEARCH($Q$2:$Q$51, $A267)),0))=TRUE,"United States of America",INDEX($S$2:$S$199,MATCH(TRUE,ISNUMBER(SEARCH($S$2:$S$199, $A267)),0)))),"United States of America")</f>
        <v/>
      </c>
      <c r="D267" s="108" t="str">
        <f t="array" ref="D267">IF(A267="","",IF(ISNUMBER(MATCH(TRUE,ISNUMBER(SEARCH($Q$2:$Q$51, $A267)),0))=TRUE,"",IF(ISNUMBER(MATCH(TRUE,ISNUMBER(SEARCH($S$2:$S$199, $A267)),0))=TRUE,"","미국 확인 필요")))</f>
        <v/>
      </c>
    </row>
    <row r="268" spans="3:4">
      <c r="C268" s="108" t="str">
        <f t="array" ref="C268">IFERROR(IF(A268="","",IF(ISNUMBER(MATCH(TRUE,ISNUMBER(SEARCH($Q$2:$Q$51, $A268)),0))=TRUE,"United States of America",INDEX($S$2:$S$199,MATCH(TRUE,ISNUMBER(SEARCH($S$2:$S$199, $A268)),0)))),"United States of America")</f>
        <v/>
      </c>
      <c r="D268" s="108" t="str">
        <f t="array" ref="D268">IF(A268="","",IF(ISNUMBER(MATCH(TRUE,ISNUMBER(SEARCH($Q$2:$Q$51, $A268)),0))=TRUE,"",IF(ISNUMBER(MATCH(TRUE,ISNUMBER(SEARCH($S$2:$S$199, $A268)),0))=TRUE,"","미국 확인 필요")))</f>
        <v/>
      </c>
    </row>
    <row r="269" spans="3:4">
      <c r="C269" s="108" t="str">
        <f t="array" ref="C269">IFERROR(IF(A269="","",IF(ISNUMBER(MATCH(TRUE,ISNUMBER(SEARCH($Q$2:$Q$51, $A269)),0))=TRUE,"United States of America",INDEX($S$2:$S$199,MATCH(TRUE,ISNUMBER(SEARCH($S$2:$S$199, $A269)),0)))),"United States of America")</f>
        <v/>
      </c>
      <c r="D269" s="108" t="str">
        <f t="array" ref="D269">IF(A269="","",IF(ISNUMBER(MATCH(TRUE,ISNUMBER(SEARCH($Q$2:$Q$51, $A269)),0))=TRUE,"",IF(ISNUMBER(MATCH(TRUE,ISNUMBER(SEARCH($S$2:$S$199, $A269)),0))=TRUE,"","미국 확인 필요")))</f>
        <v/>
      </c>
    </row>
    <row r="270" spans="3:4">
      <c r="C270" s="108" t="str">
        <f t="array" ref="C270">IFERROR(IF(A270="","",IF(ISNUMBER(MATCH(TRUE,ISNUMBER(SEARCH($Q$2:$Q$51, $A270)),0))=TRUE,"United States of America",INDEX($S$2:$S$199,MATCH(TRUE,ISNUMBER(SEARCH($S$2:$S$199, $A270)),0)))),"United States of America")</f>
        <v/>
      </c>
      <c r="D270" s="108" t="str">
        <f t="array" ref="D270">IF(A270="","",IF(ISNUMBER(MATCH(TRUE,ISNUMBER(SEARCH($Q$2:$Q$51, $A270)),0))=TRUE,"",IF(ISNUMBER(MATCH(TRUE,ISNUMBER(SEARCH($S$2:$S$199, $A270)),0))=TRUE,"","미국 확인 필요")))</f>
        <v/>
      </c>
    </row>
    <row r="271" spans="3:4">
      <c r="C271" s="108" t="str">
        <f t="array" ref="C271">IFERROR(IF(A271="","",IF(ISNUMBER(MATCH(TRUE,ISNUMBER(SEARCH($Q$2:$Q$51, $A271)),0))=TRUE,"United States of America",INDEX($S$2:$S$199,MATCH(TRUE,ISNUMBER(SEARCH($S$2:$S$199, $A271)),0)))),"United States of America")</f>
        <v/>
      </c>
      <c r="D271" s="108" t="str">
        <f t="array" ref="D271">IF(A271="","",IF(ISNUMBER(MATCH(TRUE,ISNUMBER(SEARCH($Q$2:$Q$51, $A271)),0))=TRUE,"",IF(ISNUMBER(MATCH(TRUE,ISNUMBER(SEARCH($S$2:$S$199, $A271)),0))=TRUE,"","미국 확인 필요")))</f>
        <v/>
      </c>
    </row>
    <row r="272" spans="3:4">
      <c r="C272" s="108" t="str">
        <f t="array" ref="C272">IFERROR(IF(A272="","",IF(ISNUMBER(MATCH(TRUE,ISNUMBER(SEARCH($Q$2:$Q$51, $A272)),0))=TRUE,"United States of America",INDEX($S$2:$S$199,MATCH(TRUE,ISNUMBER(SEARCH($S$2:$S$199, $A272)),0)))),"United States of America")</f>
        <v/>
      </c>
      <c r="D272" s="108" t="str">
        <f t="array" ref="D272">IF(A272="","",IF(ISNUMBER(MATCH(TRUE,ISNUMBER(SEARCH($Q$2:$Q$51, $A272)),0))=TRUE,"",IF(ISNUMBER(MATCH(TRUE,ISNUMBER(SEARCH($S$2:$S$199, $A272)),0))=TRUE,"","미국 확인 필요")))</f>
        <v/>
      </c>
    </row>
    <row r="273" spans="3:4">
      <c r="C273" s="108" t="str">
        <f t="array" ref="C273">IFERROR(IF(A273="","",IF(ISNUMBER(MATCH(TRUE,ISNUMBER(SEARCH($Q$2:$Q$51, $A273)),0))=TRUE,"United States of America",INDEX($S$2:$S$199,MATCH(TRUE,ISNUMBER(SEARCH($S$2:$S$199, $A273)),0)))),"United States of America")</f>
        <v/>
      </c>
      <c r="D273" s="108" t="str">
        <f t="array" ref="D273">IF(A273="","",IF(ISNUMBER(MATCH(TRUE,ISNUMBER(SEARCH($Q$2:$Q$51, $A273)),0))=TRUE,"",IF(ISNUMBER(MATCH(TRUE,ISNUMBER(SEARCH($S$2:$S$199, $A273)),0))=TRUE,"","미국 확인 필요")))</f>
        <v/>
      </c>
    </row>
    <row r="274" spans="3:4">
      <c r="C274" s="108" t="str">
        <f t="array" ref="C274">IFERROR(IF(A274="","",IF(ISNUMBER(MATCH(TRUE,ISNUMBER(SEARCH($Q$2:$Q$51, $A274)),0))=TRUE,"United States of America",INDEX($S$2:$S$199,MATCH(TRUE,ISNUMBER(SEARCH($S$2:$S$199, $A274)),0)))),"United States of America")</f>
        <v/>
      </c>
      <c r="D274" s="108" t="str">
        <f t="array" ref="D274">IF(A274="","",IF(ISNUMBER(MATCH(TRUE,ISNUMBER(SEARCH($Q$2:$Q$51, $A274)),0))=TRUE,"",IF(ISNUMBER(MATCH(TRUE,ISNUMBER(SEARCH($S$2:$S$199, $A274)),0))=TRUE,"","미국 확인 필요")))</f>
        <v/>
      </c>
    </row>
    <row r="275" spans="3:4">
      <c r="C275" s="108" t="str">
        <f t="array" ref="C275">IFERROR(IF(A275="","",IF(ISNUMBER(MATCH(TRUE,ISNUMBER(SEARCH($Q$2:$Q$51, $A275)),0))=TRUE,"United States of America",INDEX($S$2:$S$199,MATCH(TRUE,ISNUMBER(SEARCH($S$2:$S$199, $A275)),0)))),"United States of America")</f>
        <v/>
      </c>
      <c r="D275" s="108" t="str">
        <f t="array" ref="D275">IF(A275="","",IF(ISNUMBER(MATCH(TRUE,ISNUMBER(SEARCH($Q$2:$Q$51, $A275)),0))=TRUE,"",IF(ISNUMBER(MATCH(TRUE,ISNUMBER(SEARCH($S$2:$S$199, $A275)),0))=TRUE,"","미국 확인 필요")))</f>
        <v/>
      </c>
    </row>
    <row r="276" spans="3:4">
      <c r="C276" s="108" t="str">
        <f t="array" ref="C276">IFERROR(IF(A276="","",IF(ISNUMBER(MATCH(TRUE,ISNUMBER(SEARCH($Q$2:$Q$51, $A276)),0))=TRUE,"United States of America",INDEX($S$2:$S$199,MATCH(TRUE,ISNUMBER(SEARCH($S$2:$S$199, $A276)),0)))),"United States of America")</f>
        <v/>
      </c>
      <c r="D276" s="108" t="str">
        <f t="array" ref="D276">IF(A276="","",IF(ISNUMBER(MATCH(TRUE,ISNUMBER(SEARCH($Q$2:$Q$51, $A276)),0))=TRUE,"",IF(ISNUMBER(MATCH(TRUE,ISNUMBER(SEARCH($S$2:$S$199, $A276)),0))=TRUE,"","미국 확인 필요")))</f>
        <v/>
      </c>
    </row>
    <row r="277" spans="3:4">
      <c r="C277" s="108" t="str">
        <f t="array" ref="C277">IFERROR(IF(A277="","",IF(ISNUMBER(MATCH(TRUE,ISNUMBER(SEARCH($Q$2:$Q$51, $A277)),0))=TRUE,"United States of America",INDEX($S$2:$S$199,MATCH(TRUE,ISNUMBER(SEARCH($S$2:$S$199, $A277)),0)))),"United States of America")</f>
        <v/>
      </c>
      <c r="D277" s="108" t="str">
        <f t="array" ref="D277">IF(A277="","",IF(ISNUMBER(MATCH(TRUE,ISNUMBER(SEARCH($Q$2:$Q$51, $A277)),0))=TRUE,"",IF(ISNUMBER(MATCH(TRUE,ISNUMBER(SEARCH($S$2:$S$199, $A277)),0))=TRUE,"","미국 확인 필요")))</f>
        <v/>
      </c>
    </row>
    <row r="278" spans="3:4">
      <c r="C278" s="108" t="str">
        <f t="array" ref="C278">IFERROR(IF(A278="","",IF(ISNUMBER(MATCH(TRUE,ISNUMBER(SEARCH($Q$2:$Q$51, $A278)),0))=TRUE,"United States of America",INDEX($S$2:$S$199,MATCH(TRUE,ISNUMBER(SEARCH($S$2:$S$199, $A278)),0)))),"United States of America")</f>
        <v/>
      </c>
      <c r="D278" s="108" t="str">
        <f t="array" ref="D278">IF(A278="","",IF(ISNUMBER(MATCH(TRUE,ISNUMBER(SEARCH($Q$2:$Q$51, $A278)),0))=TRUE,"",IF(ISNUMBER(MATCH(TRUE,ISNUMBER(SEARCH($S$2:$S$199, $A278)),0))=TRUE,"","미국 확인 필요")))</f>
        <v/>
      </c>
    </row>
    <row r="279" spans="3:4">
      <c r="C279" s="108" t="str">
        <f t="array" ref="C279">IFERROR(IF(A279="","",IF(ISNUMBER(MATCH(TRUE,ISNUMBER(SEARCH($Q$2:$Q$51, $A279)),0))=TRUE,"United States of America",INDEX($S$2:$S$199,MATCH(TRUE,ISNUMBER(SEARCH($S$2:$S$199, $A279)),0)))),"United States of America")</f>
        <v/>
      </c>
      <c r="D279" s="108" t="str">
        <f t="array" ref="D279">IF(A279="","",IF(ISNUMBER(MATCH(TRUE,ISNUMBER(SEARCH($Q$2:$Q$51, $A279)),0))=TRUE,"",IF(ISNUMBER(MATCH(TRUE,ISNUMBER(SEARCH($S$2:$S$199, $A279)),0))=TRUE,"","미국 확인 필요")))</f>
        <v/>
      </c>
    </row>
    <row r="280" spans="3:4">
      <c r="C280" s="108" t="str">
        <f t="array" ref="C280">IFERROR(IF(A280="","",IF(ISNUMBER(MATCH(TRUE,ISNUMBER(SEARCH($Q$2:$Q$51, $A280)),0))=TRUE,"United States of America",INDEX($S$2:$S$199,MATCH(TRUE,ISNUMBER(SEARCH($S$2:$S$199, $A280)),0)))),"United States of America")</f>
        <v/>
      </c>
      <c r="D280" s="108" t="str">
        <f t="array" ref="D280">IF(A280="","",IF(ISNUMBER(MATCH(TRUE,ISNUMBER(SEARCH($Q$2:$Q$51, $A280)),0))=TRUE,"",IF(ISNUMBER(MATCH(TRUE,ISNUMBER(SEARCH($S$2:$S$199, $A280)),0))=TRUE,"","미국 확인 필요")))</f>
        <v/>
      </c>
    </row>
    <row r="281" spans="3:4">
      <c r="C281" s="108" t="str">
        <f t="array" ref="C281">IFERROR(IF(A281="","",IF(ISNUMBER(MATCH(TRUE,ISNUMBER(SEARCH($Q$2:$Q$51, $A281)),0))=TRUE,"United States of America",INDEX($S$2:$S$199,MATCH(TRUE,ISNUMBER(SEARCH($S$2:$S$199, $A281)),0)))),"United States of America")</f>
        <v/>
      </c>
      <c r="D281" s="108" t="str">
        <f t="array" ref="D281">IF(A281="","",IF(ISNUMBER(MATCH(TRUE,ISNUMBER(SEARCH($Q$2:$Q$51, $A281)),0))=TRUE,"",IF(ISNUMBER(MATCH(TRUE,ISNUMBER(SEARCH($S$2:$S$199, $A281)),0))=TRUE,"","미국 확인 필요")))</f>
        <v/>
      </c>
    </row>
    <row r="282" spans="3:4">
      <c r="C282" s="108" t="str">
        <f t="array" ref="C282">IFERROR(IF(A282="","",IF(ISNUMBER(MATCH(TRUE,ISNUMBER(SEARCH($Q$2:$Q$51, $A282)),0))=TRUE,"United States of America",INDEX($S$2:$S$199,MATCH(TRUE,ISNUMBER(SEARCH($S$2:$S$199, $A282)),0)))),"United States of America")</f>
        <v/>
      </c>
      <c r="D282" s="108" t="str">
        <f t="array" ref="D282">IF(A282="","",IF(ISNUMBER(MATCH(TRUE,ISNUMBER(SEARCH($Q$2:$Q$51, $A282)),0))=TRUE,"",IF(ISNUMBER(MATCH(TRUE,ISNUMBER(SEARCH($S$2:$S$199, $A282)),0))=TRUE,"","미국 확인 필요")))</f>
        <v/>
      </c>
    </row>
    <row r="283" spans="3:4">
      <c r="C283" s="108" t="str">
        <f t="array" ref="C283">IFERROR(IF(A283="","",IF(ISNUMBER(MATCH(TRUE,ISNUMBER(SEARCH($Q$2:$Q$51, $A283)),0))=TRUE,"United States of America",INDEX($S$2:$S$199,MATCH(TRUE,ISNUMBER(SEARCH($S$2:$S$199, $A283)),0)))),"United States of America")</f>
        <v/>
      </c>
      <c r="D283" s="108" t="str">
        <f t="array" ref="D283">IF(A283="","",IF(ISNUMBER(MATCH(TRUE,ISNUMBER(SEARCH($Q$2:$Q$51, $A283)),0))=TRUE,"",IF(ISNUMBER(MATCH(TRUE,ISNUMBER(SEARCH($S$2:$S$199, $A283)),0))=TRUE,"","미국 확인 필요")))</f>
        <v/>
      </c>
    </row>
    <row r="284" spans="3:4">
      <c r="C284" s="108" t="str">
        <f t="array" ref="C284">IFERROR(IF(A284="","",IF(ISNUMBER(MATCH(TRUE,ISNUMBER(SEARCH($Q$2:$Q$51, $A284)),0))=TRUE,"United States of America",INDEX($S$2:$S$199,MATCH(TRUE,ISNUMBER(SEARCH($S$2:$S$199, $A284)),0)))),"United States of America")</f>
        <v/>
      </c>
      <c r="D284" s="108" t="str">
        <f t="array" ref="D284">IF(A284="","",IF(ISNUMBER(MATCH(TRUE,ISNUMBER(SEARCH($Q$2:$Q$51, $A284)),0))=TRUE,"",IF(ISNUMBER(MATCH(TRUE,ISNUMBER(SEARCH($S$2:$S$199, $A284)),0))=TRUE,"","미국 확인 필요")))</f>
        <v/>
      </c>
    </row>
    <row r="285" spans="3:4">
      <c r="C285" s="108" t="str">
        <f t="array" ref="C285">IFERROR(IF(A285="","",IF(ISNUMBER(MATCH(TRUE,ISNUMBER(SEARCH($Q$2:$Q$51, $A285)),0))=TRUE,"United States of America",INDEX($S$2:$S$199,MATCH(TRUE,ISNUMBER(SEARCH($S$2:$S$199, $A285)),0)))),"United States of America")</f>
        <v/>
      </c>
      <c r="D285" s="108" t="str">
        <f t="array" ref="D285">IF(A285="","",IF(ISNUMBER(MATCH(TRUE,ISNUMBER(SEARCH($Q$2:$Q$51, $A285)),0))=TRUE,"",IF(ISNUMBER(MATCH(TRUE,ISNUMBER(SEARCH($S$2:$S$199, $A285)),0))=TRUE,"","미국 확인 필요")))</f>
        <v/>
      </c>
    </row>
    <row r="286" spans="3:4">
      <c r="C286" s="108" t="str">
        <f t="array" ref="C286">IFERROR(IF(A286="","",IF(ISNUMBER(MATCH(TRUE,ISNUMBER(SEARCH($Q$2:$Q$51, $A286)),0))=TRUE,"United States of America",INDEX($S$2:$S$199,MATCH(TRUE,ISNUMBER(SEARCH($S$2:$S$199, $A286)),0)))),"United States of America")</f>
        <v/>
      </c>
      <c r="D286" s="108" t="str">
        <f t="array" ref="D286">IF(A286="","",IF(ISNUMBER(MATCH(TRUE,ISNUMBER(SEARCH($Q$2:$Q$51, $A286)),0))=TRUE,"",IF(ISNUMBER(MATCH(TRUE,ISNUMBER(SEARCH($S$2:$S$199, $A286)),0))=TRUE,"","미국 확인 필요")))</f>
        <v/>
      </c>
    </row>
    <row r="287" spans="3:4">
      <c r="C287" s="108" t="str">
        <f t="array" ref="C287">IFERROR(IF(A287="","",IF(ISNUMBER(MATCH(TRUE,ISNUMBER(SEARCH($Q$2:$Q$51, $A287)),0))=TRUE,"United States of America",INDEX($S$2:$S$199,MATCH(TRUE,ISNUMBER(SEARCH($S$2:$S$199, $A287)),0)))),"United States of America")</f>
        <v/>
      </c>
      <c r="D287" s="108" t="str">
        <f t="array" ref="D287">IF(A287="","",IF(ISNUMBER(MATCH(TRUE,ISNUMBER(SEARCH($Q$2:$Q$51, $A287)),0))=TRUE,"",IF(ISNUMBER(MATCH(TRUE,ISNUMBER(SEARCH($S$2:$S$199, $A287)),0))=TRUE,"","미국 확인 필요")))</f>
        <v/>
      </c>
    </row>
    <row r="288" spans="3:4">
      <c r="C288" s="108" t="str">
        <f t="array" ref="C288">IFERROR(IF(A288="","",IF(ISNUMBER(MATCH(TRUE,ISNUMBER(SEARCH($Q$2:$Q$51, $A288)),0))=TRUE,"United States of America",INDEX($S$2:$S$199,MATCH(TRUE,ISNUMBER(SEARCH($S$2:$S$199, $A288)),0)))),"United States of America")</f>
        <v/>
      </c>
      <c r="D288" s="108" t="str">
        <f t="array" ref="D288">IF(A288="","",IF(ISNUMBER(MATCH(TRUE,ISNUMBER(SEARCH($Q$2:$Q$51, $A288)),0))=TRUE,"",IF(ISNUMBER(MATCH(TRUE,ISNUMBER(SEARCH($S$2:$S$199, $A288)),0))=TRUE,"","미국 확인 필요")))</f>
        <v/>
      </c>
    </row>
    <row r="289" spans="3:4">
      <c r="C289" s="108" t="str">
        <f t="array" ref="C289">IFERROR(IF(A289="","",IF(ISNUMBER(MATCH(TRUE,ISNUMBER(SEARCH($Q$2:$Q$51, $A289)),0))=TRUE,"United States of America",INDEX($S$2:$S$199,MATCH(TRUE,ISNUMBER(SEARCH($S$2:$S$199, $A289)),0)))),"United States of America")</f>
        <v/>
      </c>
      <c r="D289" s="108" t="str">
        <f t="array" ref="D289">IF(A289="","",IF(ISNUMBER(MATCH(TRUE,ISNUMBER(SEARCH($Q$2:$Q$51, $A289)),0))=TRUE,"",IF(ISNUMBER(MATCH(TRUE,ISNUMBER(SEARCH($S$2:$S$199, $A289)),0))=TRUE,"","미국 확인 필요")))</f>
        <v/>
      </c>
    </row>
    <row r="290" spans="3:4">
      <c r="C290" s="108" t="str">
        <f t="array" ref="C290">IFERROR(IF(A290="","",IF(ISNUMBER(MATCH(TRUE,ISNUMBER(SEARCH($Q$2:$Q$51, $A290)),0))=TRUE,"United States of America",INDEX($S$2:$S$199,MATCH(TRUE,ISNUMBER(SEARCH($S$2:$S$199, $A290)),0)))),"United States of America")</f>
        <v/>
      </c>
      <c r="D290" s="108" t="str">
        <f t="array" ref="D290">IF(A290="","",IF(ISNUMBER(MATCH(TRUE,ISNUMBER(SEARCH($Q$2:$Q$51, $A290)),0))=TRUE,"",IF(ISNUMBER(MATCH(TRUE,ISNUMBER(SEARCH($S$2:$S$199, $A290)),0))=TRUE,"","미국 확인 필요")))</f>
        <v/>
      </c>
    </row>
    <row r="291" spans="3:4">
      <c r="C291" s="108" t="str">
        <f t="array" ref="C291">IFERROR(IF(A291="","",IF(ISNUMBER(MATCH(TRUE,ISNUMBER(SEARCH($Q$2:$Q$51, $A291)),0))=TRUE,"United States of America",INDEX($S$2:$S$199,MATCH(TRUE,ISNUMBER(SEARCH($S$2:$S$199, $A291)),0)))),"United States of America")</f>
        <v/>
      </c>
      <c r="D291" s="108" t="str">
        <f t="array" ref="D291">IF(A291="","",IF(ISNUMBER(MATCH(TRUE,ISNUMBER(SEARCH($Q$2:$Q$51, $A291)),0))=TRUE,"",IF(ISNUMBER(MATCH(TRUE,ISNUMBER(SEARCH($S$2:$S$199, $A291)),0))=TRUE,"","미국 확인 필요")))</f>
        <v/>
      </c>
    </row>
    <row r="292" spans="3:4">
      <c r="C292" s="108" t="str">
        <f t="array" ref="C292">IFERROR(IF(A292="","",IF(ISNUMBER(MATCH(TRUE,ISNUMBER(SEARCH($Q$2:$Q$51, $A292)),0))=TRUE,"United States of America",INDEX($S$2:$S$199,MATCH(TRUE,ISNUMBER(SEARCH($S$2:$S$199, $A292)),0)))),"United States of America")</f>
        <v/>
      </c>
      <c r="D292" s="108" t="str">
        <f t="array" ref="D292">IF(A292="","",IF(ISNUMBER(MATCH(TRUE,ISNUMBER(SEARCH($Q$2:$Q$51, $A292)),0))=TRUE,"",IF(ISNUMBER(MATCH(TRUE,ISNUMBER(SEARCH($S$2:$S$199, $A292)),0))=TRUE,"","미국 확인 필요")))</f>
        <v/>
      </c>
    </row>
    <row r="293" spans="3:4">
      <c r="C293" s="108" t="str">
        <f t="array" ref="C293">IFERROR(IF(A293="","",IF(ISNUMBER(MATCH(TRUE,ISNUMBER(SEARCH($Q$2:$Q$51, $A293)),0))=TRUE,"United States of America",INDEX($S$2:$S$199,MATCH(TRUE,ISNUMBER(SEARCH($S$2:$S$199, $A293)),0)))),"United States of America")</f>
        <v/>
      </c>
      <c r="D293" s="108" t="str">
        <f t="array" ref="D293">IF(A293="","",IF(ISNUMBER(MATCH(TRUE,ISNUMBER(SEARCH($Q$2:$Q$51, $A293)),0))=TRUE,"",IF(ISNUMBER(MATCH(TRUE,ISNUMBER(SEARCH($S$2:$S$199, $A293)),0))=TRUE,"","미국 확인 필요")))</f>
        <v/>
      </c>
    </row>
    <row r="294" spans="3:4">
      <c r="C294" s="108" t="str">
        <f t="array" ref="C294">IFERROR(IF(A294="","",IF(ISNUMBER(MATCH(TRUE,ISNUMBER(SEARCH($Q$2:$Q$51, $A294)),0))=TRUE,"United States of America",INDEX($S$2:$S$199,MATCH(TRUE,ISNUMBER(SEARCH($S$2:$S$199, $A294)),0)))),"United States of America")</f>
        <v/>
      </c>
      <c r="D294" s="108" t="str">
        <f t="array" ref="D294">IF(A294="","",IF(ISNUMBER(MATCH(TRUE,ISNUMBER(SEARCH($Q$2:$Q$51, $A294)),0))=TRUE,"",IF(ISNUMBER(MATCH(TRUE,ISNUMBER(SEARCH($S$2:$S$199, $A294)),0))=TRUE,"","미국 확인 필요")))</f>
        <v/>
      </c>
    </row>
    <row r="295" spans="3:4">
      <c r="C295" s="108" t="str">
        <f t="array" ref="C295">IFERROR(IF(A295="","",IF(ISNUMBER(MATCH(TRUE,ISNUMBER(SEARCH($Q$2:$Q$51, $A295)),0))=TRUE,"United States of America",INDEX($S$2:$S$199,MATCH(TRUE,ISNUMBER(SEARCH($S$2:$S$199, $A295)),0)))),"United States of America")</f>
        <v/>
      </c>
      <c r="D295" s="108" t="str">
        <f t="array" ref="D295">IF(A295="","",IF(ISNUMBER(MATCH(TRUE,ISNUMBER(SEARCH($Q$2:$Q$51, $A295)),0))=TRUE,"",IF(ISNUMBER(MATCH(TRUE,ISNUMBER(SEARCH($S$2:$S$199, $A295)),0))=TRUE,"","미국 확인 필요")))</f>
        <v/>
      </c>
    </row>
    <row r="296" spans="3:4">
      <c r="C296" s="108" t="str">
        <f t="array" ref="C296">IFERROR(IF(A296="","",IF(ISNUMBER(MATCH(TRUE,ISNUMBER(SEARCH($Q$2:$Q$51, $A296)),0))=TRUE,"United States of America",INDEX($S$2:$S$199,MATCH(TRUE,ISNUMBER(SEARCH($S$2:$S$199, $A296)),0)))),"United States of America")</f>
        <v/>
      </c>
      <c r="D296" s="108" t="str">
        <f t="array" ref="D296">IF(A296="","",IF(ISNUMBER(MATCH(TRUE,ISNUMBER(SEARCH($Q$2:$Q$51, $A296)),0))=TRUE,"",IF(ISNUMBER(MATCH(TRUE,ISNUMBER(SEARCH($S$2:$S$199, $A296)),0))=TRUE,"","미국 확인 필요")))</f>
        <v/>
      </c>
    </row>
    <row r="297" spans="3:4">
      <c r="C297" s="108" t="str">
        <f t="array" ref="C297">IFERROR(IF(A297="","",IF(ISNUMBER(MATCH(TRUE,ISNUMBER(SEARCH($Q$2:$Q$51, $A297)),0))=TRUE,"United States of America",INDEX($S$2:$S$199,MATCH(TRUE,ISNUMBER(SEARCH($S$2:$S$199, $A297)),0)))),"United States of America")</f>
        <v/>
      </c>
      <c r="D297" s="108" t="str">
        <f t="array" ref="D297">IF(A297="","",IF(ISNUMBER(MATCH(TRUE,ISNUMBER(SEARCH($Q$2:$Q$51, $A297)),0))=TRUE,"",IF(ISNUMBER(MATCH(TRUE,ISNUMBER(SEARCH($S$2:$S$199, $A297)),0))=TRUE,"","미국 확인 필요")))</f>
        <v/>
      </c>
    </row>
    <row r="298" spans="3:4">
      <c r="C298" s="108" t="str">
        <f t="array" ref="C298">IFERROR(IF(A298="","",IF(ISNUMBER(MATCH(TRUE,ISNUMBER(SEARCH($Q$2:$Q$51, $A298)),0))=TRUE,"United States of America",INDEX($S$2:$S$199,MATCH(TRUE,ISNUMBER(SEARCH($S$2:$S$199, $A298)),0)))),"United States of America")</f>
        <v/>
      </c>
      <c r="D298" s="108" t="str">
        <f t="array" ref="D298">IF(A298="","",IF(ISNUMBER(MATCH(TRUE,ISNUMBER(SEARCH($Q$2:$Q$51, $A298)),0))=TRUE,"",IF(ISNUMBER(MATCH(TRUE,ISNUMBER(SEARCH($S$2:$S$199, $A298)),0))=TRUE,"","미국 확인 필요")))</f>
        <v/>
      </c>
    </row>
    <row r="299" spans="3:4">
      <c r="C299" s="108" t="str">
        <f t="array" ref="C299">IFERROR(IF(A299="","",IF(ISNUMBER(MATCH(TRUE,ISNUMBER(SEARCH($Q$2:$Q$51, $A299)),0))=TRUE,"United States of America",INDEX($S$2:$S$199,MATCH(TRUE,ISNUMBER(SEARCH($S$2:$S$199, $A299)),0)))),"United States of America")</f>
        <v/>
      </c>
      <c r="D299" s="108" t="str">
        <f t="array" ref="D299">IF(A299="","",IF(ISNUMBER(MATCH(TRUE,ISNUMBER(SEARCH($Q$2:$Q$51, $A299)),0))=TRUE,"",IF(ISNUMBER(MATCH(TRUE,ISNUMBER(SEARCH($S$2:$S$199, $A299)),0))=TRUE,"","미국 확인 필요")))</f>
        <v/>
      </c>
    </row>
    <row r="300" spans="3:4">
      <c r="C300" s="108" t="str">
        <f t="array" ref="C300">IFERROR(IF(A300="","",IF(ISNUMBER(MATCH(TRUE,ISNUMBER(SEARCH($Q$2:$Q$51, $A300)),0))=TRUE,"United States of America",INDEX($S$2:$S$199,MATCH(TRUE,ISNUMBER(SEARCH($S$2:$S$199, $A300)),0)))),"United States of America")</f>
        <v/>
      </c>
      <c r="D300" s="108" t="str">
        <f t="array" ref="D300">IF(A300="","",IF(ISNUMBER(MATCH(TRUE,ISNUMBER(SEARCH($Q$2:$Q$51, $A300)),0))=TRUE,"",IF(ISNUMBER(MATCH(TRUE,ISNUMBER(SEARCH($S$2:$S$199, $A300)),0))=TRUE,"","미국 확인 필요")))</f>
        <v/>
      </c>
    </row>
    <row r="301" spans="3:4">
      <c r="C301" s="108" t="str">
        <f t="array" ref="C301">IFERROR(IF(A301="","",IF(ISNUMBER(MATCH(TRUE,ISNUMBER(SEARCH($Q$2:$Q$51, $A301)),0))=TRUE,"United States of America",INDEX($S$2:$S$199,MATCH(TRUE,ISNUMBER(SEARCH($S$2:$S$199, $A301)),0)))),"United States of America")</f>
        <v/>
      </c>
      <c r="D301" s="108" t="str">
        <f t="array" ref="D301">IF(A301="","",IF(ISNUMBER(MATCH(TRUE,ISNUMBER(SEARCH($Q$2:$Q$51, $A301)),0))=TRUE,"",IF(ISNUMBER(MATCH(TRUE,ISNUMBER(SEARCH($S$2:$S$199, $A301)),0))=TRUE,"","미국 확인 필요")))</f>
        <v/>
      </c>
    </row>
    <row r="302" spans="3:4">
      <c r="C302" s="108" t="str">
        <f t="array" ref="C302">IFERROR(IF(A302="","",IF(ISNUMBER(MATCH(TRUE,ISNUMBER(SEARCH($Q$2:$Q$51, $A302)),0))=TRUE,"United States of America",INDEX($S$2:$S$199,MATCH(TRUE,ISNUMBER(SEARCH($S$2:$S$199, $A302)),0)))),"United States of America")</f>
        <v/>
      </c>
      <c r="D302" s="108" t="str">
        <f t="array" ref="D302">IF(A302="","",IF(ISNUMBER(MATCH(TRUE,ISNUMBER(SEARCH($Q$2:$Q$51, $A302)),0))=TRUE,"",IF(ISNUMBER(MATCH(TRUE,ISNUMBER(SEARCH($S$2:$S$199, $A302)),0))=TRUE,"","미국 확인 필요")))</f>
        <v/>
      </c>
    </row>
    <row r="303" spans="3:4">
      <c r="C303" s="108" t="str">
        <f t="array" ref="C303">IFERROR(IF(A303="","",IF(ISNUMBER(MATCH(TRUE,ISNUMBER(SEARCH($Q$2:$Q$51, $A303)),0))=TRUE,"United States of America",INDEX($S$2:$S$199,MATCH(TRUE,ISNUMBER(SEARCH($S$2:$S$199, $A303)),0)))),"United States of America")</f>
        <v/>
      </c>
      <c r="D303" s="108" t="str">
        <f t="array" ref="D303">IF(A303="","",IF(ISNUMBER(MATCH(TRUE,ISNUMBER(SEARCH($Q$2:$Q$51, $A303)),0))=TRUE,"",IF(ISNUMBER(MATCH(TRUE,ISNUMBER(SEARCH($S$2:$S$199, $A303)),0))=TRUE,"","미국 확인 필요")))</f>
        <v/>
      </c>
    </row>
    <row r="304" spans="3:4">
      <c r="C304" s="108" t="str">
        <f t="array" ref="C304">IFERROR(IF(A304="","",IF(ISNUMBER(MATCH(TRUE,ISNUMBER(SEARCH($Q$2:$Q$51, $A304)),0))=TRUE,"United States of America",INDEX($S$2:$S$199,MATCH(TRUE,ISNUMBER(SEARCH($S$2:$S$199, $A304)),0)))),"United States of America")</f>
        <v/>
      </c>
      <c r="D304" s="108" t="str">
        <f t="array" ref="D304">IF(A304="","",IF(ISNUMBER(MATCH(TRUE,ISNUMBER(SEARCH($Q$2:$Q$51, $A304)),0))=TRUE,"",IF(ISNUMBER(MATCH(TRUE,ISNUMBER(SEARCH($S$2:$S$199, $A304)),0))=TRUE,"","미국 확인 필요")))</f>
        <v/>
      </c>
    </row>
    <row r="305" spans="3:4">
      <c r="C305" s="108" t="str">
        <f t="array" ref="C305">IFERROR(IF(A305="","",IF(ISNUMBER(MATCH(TRUE,ISNUMBER(SEARCH($Q$2:$Q$51, $A305)),0))=TRUE,"United States of America",INDEX($S$2:$S$199,MATCH(TRUE,ISNUMBER(SEARCH($S$2:$S$199, $A305)),0)))),"United States of America")</f>
        <v/>
      </c>
      <c r="D305" s="108" t="str">
        <f t="array" ref="D305">IF(A305="","",IF(ISNUMBER(MATCH(TRUE,ISNUMBER(SEARCH($Q$2:$Q$51, $A305)),0))=TRUE,"",IF(ISNUMBER(MATCH(TRUE,ISNUMBER(SEARCH($S$2:$S$199, $A305)),0))=TRUE,"","미국 확인 필요")))</f>
        <v/>
      </c>
    </row>
    <row r="306" spans="3:4">
      <c r="C306" s="108" t="str">
        <f t="array" ref="C306">IFERROR(IF(A306="","",IF(ISNUMBER(MATCH(TRUE,ISNUMBER(SEARCH($Q$2:$Q$51, $A306)),0))=TRUE,"United States of America",INDEX($S$2:$S$199,MATCH(TRUE,ISNUMBER(SEARCH($S$2:$S$199, $A306)),0)))),"United States of America")</f>
        <v/>
      </c>
      <c r="D306" s="108" t="str">
        <f t="array" ref="D306">IF(A306="","",IF(ISNUMBER(MATCH(TRUE,ISNUMBER(SEARCH($Q$2:$Q$51, $A306)),0))=TRUE,"",IF(ISNUMBER(MATCH(TRUE,ISNUMBER(SEARCH($S$2:$S$199, $A306)),0))=TRUE,"","미국 확인 필요")))</f>
        <v/>
      </c>
    </row>
    <row r="307" spans="3:4">
      <c r="C307" s="108" t="str">
        <f t="array" ref="C307">IFERROR(IF(A307="","",IF(ISNUMBER(MATCH(TRUE,ISNUMBER(SEARCH($Q$2:$Q$51, $A307)),0))=TRUE,"United States of America",INDEX($S$2:$S$199,MATCH(TRUE,ISNUMBER(SEARCH($S$2:$S$199, $A307)),0)))),"United States of America")</f>
        <v/>
      </c>
      <c r="D307" s="108" t="str">
        <f t="array" ref="D307">IF(A307="","",IF(ISNUMBER(MATCH(TRUE,ISNUMBER(SEARCH($Q$2:$Q$51, $A307)),0))=TRUE,"",IF(ISNUMBER(MATCH(TRUE,ISNUMBER(SEARCH($S$2:$S$199, $A307)),0))=TRUE,"","미국 확인 필요")))</f>
        <v/>
      </c>
    </row>
    <row r="308" spans="3:4">
      <c r="C308" s="108" t="str">
        <f t="array" ref="C308">IFERROR(IF(A308="","",IF(ISNUMBER(MATCH(TRUE,ISNUMBER(SEARCH($Q$2:$Q$51, $A308)),0))=TRUE,"United States of America",INDEX($S$2:$S$199,MATCH(TRUE,ISNUMBER(SEARCH($S$2:$S$199, $A308)),0)))),"United States of America")</f>
        <v/>
      </c>
      <c r="D308" s="108" t="str">
        <f t="array" ref="D308">IF(A308="","",IF(ISNUMBER(MATCH(TRUE,ISNUMBER(SEARCH($Q$2:$Q$51, $A308)),0))=TRUE,"",IF(ISNUMBER(MATCH(TRUE,ISNUMBER(SEARCH($S$2:$S$199, $A308)),0))=TRUE,"","미국 확인 필요")))</f>
        <v/>
      </c>
    </row>
    <row r="309" spans="3:4">
      <c r="C309" s="108" t="str">
        <f t="array" ref="C309">IFERROR(IF(A309="","",IF(ISNUMBER(MATCH(TRUE,ISNUMBER(SEARCH($Q$2:$Q$51, $A309)),0))=TRUE,"United States of America",INDEX($S$2:$S$199,MATCH(TRUE,ISNUMBER(SEARCH($S$2:$S$199, $A309)),0)))),"United States of America")</f>
        <v/>
      </c>
      <c r="D309" s="108" t="str">
        <f t="array" ref="D309">IF(A309="","",IF(ISNUMBER(MATCH(TRUE,ISNUMBER(SEARCH($Q$2:$Q$51, $A309)),0))=TRUE,"",IF(ISNUMBER(MATCH(TRUE,ISNUMBER(SEARCH($S$2:$S$199, $A309)),0))=TRUE,"","미국 확인 필요")))</f>
        <v/>
      </c>
    </row>
    <row r="310" spans="3:4">
      <c r="C310" s="108" t="str">
        <f t="array" ref="C310">IFERROR(IF(A310="","",IF(ISNUMBER(MATCH(TRUE,ISNUMBER(SEARCH($Q$2:$Q$51, $A310)),0))=TRUE,"United States of America",INDEX($S$2:$S$199,MATCH(TRUE,ISNUMBER(SEARCH($S$2:$S$199, $A310)),0)))),"United States of America")</f>
        <v/>
      </c>
      <c r="D310" s="108" t="str">
        <f t="array" ref="D310">IF(A310="","",IF(ISNUMBER(MATCH(TRUE,ISNUMBER(SEARCH($Q$2:$Q$51, $A310)),0))=TRUE,"",IF(ISNUMBER(MATCH(TRUE,ISNUMBER(SEARCH($S$2:$S$199, $A310)),0))=TRUE,"","미국 확인 필요")))</f>
        <v/>
      </c>
    </row>
    <row r="311" spans="3:4">
      <c r="C311" s="108" t="str">
        <f t="array" ref="C311">IFERROR(IF(A311="","",IF(ISNUMBER(MATCH(TRUE,ISNUMBER(SEARCH($Q$2:$Q$51, $A311)),0))=TRUE,"United States of America",INDEX($S$2:$S$199,MATCH(TRUE,ISNUMBER(SEARCH($S$2:$S$199, $A311)),0)))),"United States of America")</f>
        <v/>
      </c>
      <c r="D311" s="108" t="str">
        <f t="array" ref="D311">IF(A311="","",IF(ISNUMBER(MATCH(TRUE,ISNUMBER(SEARCH($Q$2:$Q$51, $A311)),0))=TRUE,"",IF(ISNUMBER(MATCH(TRUE,ISNUMBER(SEARCH($S$2:$S$199, $A311)),0))=TRUE,"","미국 확인 필요")))</f>
        <v/>
      </c>
    </row>
    <row r="312" spans="3:4">
      <c r="C312" s="108" t="str">
        <f t="array" ref="C312">IFERROR(IF(A312="","",IF(ISNUMBER(MATCH(TRUE,ISNUMBER(SEARCH($Q$2:$Q$51, $A312)),0))=TRUE,"United States of America",INDEX($S$2:$S$199,MATCH(TRUE,ISNUMBER(SEARCH($S$2:$S$199, $A312)),0)))),"United States of America")</f>
        <v/>
      </c>
      <c r="D312" s="108" t="str">
        <f t="array" ref="D312">IF(A312="","",IF(ISNUMBER(MATCH(TRUE,ISNUMBER(SEARCH($Q$2:$Q$51, $A312)),0))=TRUE,"",IF(ISNUMBER(MATCH(TRUE,ISNUMBER(SEARCH($S$2:$S$199, $A312)),0))=TRUE,"","미국 확인 필요")))</f>
        <v/>
      </c>
    </row>
    <row r="313" spans="3:4">
      <c r="C313" s="108" t="str">
        <f t="array" ref="C313">IFERROR(IF(A313="","",IF(ISNUMBER(MATCH(TRUE,ISNUMBER(SEARCH($Q$2:$Q$51, $A313)),0))=TRUE,"United States of America",INDEX($S$2:$S$199,MATCH(TRUE,ISNUMBER(SEARCH($S$2:$S$199, $A313)),0)))),"United States of America")</f>
        <v/>
      </c>
      <c r="D313" s="108" t="str">
        <f t="array" ref="D313">IF(A313="","",IF(ISNUMBER(MATCH(TRUE,ISNUMBER(SEARCH($Q$2:$Q$51, $A313)),0))=TRUE,"",IF(ISNUMBER(MATCH(TRUE,ISNUMBER(SEARCH($S$2:$S$199, $A313)),0))=TRUE,"","미국 확인 필요")))</f>
        <v/>
      </c>
    </row>
    <row r="314" spans="3:4">
      <c r="C314" s="108" t="str">
        <f t="array" ref="C314">IFERROR(IF(A314="","",IF(ISNUMBER(MATCH(TRUE,ISNUMBER(SEARCH($Q$2:$Q$51, $A314)),0))=TRUE,"United States of America",INDEX($S$2:$S$199,MATCH(TRUE,ISNUMBER(SEARCH($S$2:$S$199, $A314)),0)))),"United States of America")</f>
        <v/>
      </c>
      <c r="D314" s="108" t="str">
        <f t="array" ref="D314">IF(A314="","",IF(ISNUMBER(MATCH(TRUE,ISNUMBER(SEARCH($Q$2:$Q$51, $A314)),0))=TRUE,"",IF(ISNUMBER(MATCH(TRUE,ISNUMBER(SEARCH($S$2:$S$199, $A314)),0))=TRUE,"","미국 확인 필요")))</f>
        <v/>
      </c>
    </row>
    <row r="315" spans="3:4">
      <c r="C315" s="108" t="str">
        <f t="array" ref="C315">IFERROR(IF(A315="","",IF(ISNUMBER(MATCH(TRUE,ISNUMBER(SEARCH($Q$2:$Q$51, $A315)),0))=TRUE,"United States of America",INDEX($S$2:$S$199,MATCH(TRUE,ISNUMBER(SEARCH($S$2:$S$199, $A315)),0)))),"United States of America")</f>
        <v/>
      </c>
      <c r="D315" s="108" t="str">
        <f t="array" ref="D315">IF(A315="","",IF(ISNUMBER(MATCH(TRUE,ISNUMBER(SEARCH($Q$2:$Q$51, $A315)),0))=TRUE,"",IF(ISNUMBER(MATCH(TRUE,ISNUMBER(SEARCH($S$2:$S$199, $A315)),0))=TRUE,"","미국 확인 필요")))</f>
        <v/>
      </c>
    </row>
    <row r="316" spans="3:4">
      <c r="C316" s="108" t="str">
        <f t="array" ref="C316">IFERROR(IF(A316="","",IF(ISNUMBER(MATCH(TRUE,ISNUMBER(SEARCH($Q$2:$Q$51, $A316)),0))=TRUE,"United States of America",INDEX($S$2:$S$199,MATCH(TRUE,ISNUMBER(SEARCH($S$2:$S$199, $A316)),0)))),"United States of America")</f>
        <v/>
      </c>
      <c r="D316" s="108" t="str">
        <f t="array" ref="D316">IF(A316="","",IF(ISNUMBER(MATCH(TRUE,ISNUMBER(SEARCH($Q$2:$Q$51, $A316)),0))=TRUE,"",IF(ISNUMBER(MATCH(TRUE,ISNUMBER(SEARCH($S$2:$S$199, $A316)),0))=TRUE,"","미국 확인 필요")))</f>
        <v/>
      </c>
    </row>
    <row r="317" spans="3:4">
      <c r="C317" s="108" t="str">
        <f t="array" ref="C317">IFERROR(IF(A317="","",IF(ISNUMBER(MATCH(TRUE,ISNUMBER(SEARCH($Q$2:$Q$51, $A317)),0))=TRUE,"United States of America",INDEX($S$2:$S$199,MATCH(TRUE,ISNUMBER(SEARCH($S$2:$S$199, $A317)),0)))),"United States of America")</f>
        <v/>
      </c>
      <c r="D317" s="108" t="str">
        <f t="array" ref="D317">IF(A317="","",IF(ISNUMBER(MATCH(TRUE,ISNUMBER(SEARCH($Q$2:$Q$51, $A317)),0))=TRUE,"",IF(ISNUMBER(MATCH(TRUE,ISNUMBER(SEARCH($S$2:$S$199, $A317)),0))=TRUE,"","미국 확인 필요")))</f>
        <v/>
      </c>
    </row>
    <row r="318" spans="3:4">
      <c r="C318" s="108" t="str">
        <f t="array" ref="C318">IFERROR(IF(A318="","",IF(ISNUMBER(MATCH(TRUE,ISNUMBER(SEARCH($Q$2:$Q$51, $A318)),0))=TRUE,"United States of America",INDEX($S$2:$S$199,MATCH(TRUE,ISNUMBER(SEARCH($S$2:$S$199, $A318)),0)))),"United States of America")</f>
        <v/>
      </c>
      <c r="D318" s="108" t="str">
        <f t="array" ref="D318">IF(A318="","",IF(ISNUMBER(MATCH(TRUE,ISNUMBER(SEARCH($Q$2:$Q$51, $A318)),0))=TRUE,"",IF(ISNUMBER(MATCH(TRUE,ISNUMBER(SEARCH($S$2:$S$199, $A318)),0))=TRUE,"","미국 확인 필요")))</f>
        <v/>
      </c>
    </row>
    <row r="319" spans="3:4">
      <c r="C319" s="108" t="str">
        <f t="array" ref="C319">IFERROR(IF(A319="","",IF(ISNUMBER(MATCH(TRUE,ISNUMBER(SEARCH($Q$2:$Q$51, $A319)),0))=TRUE,"United States of America",INDEX($S$2:$S$199,MATCH(TRUE,ISNUMBER(SEARCH($S$2:$S$199, $A319)),0)))),"United States of America")</f>
        <v/>
      </c>
      <c r="D319" s="108" t="str">
        <f t="array" ref="D319">IF(A319="","",IF(ISNUMBER(MATCH(TRUE,ISNUMBER(SEARCH($Q$2:$Q$51, $A319)),0))=TRUE,"",IF(ISNUMBER(MATCH(TRUE,ISNUMBER(SEARCH($S$2:$S$199, $A319)),0))=TRUE,"","미국 확인 필요")))</f>
        <v/>
      </c>
    </row>
    <row r="320" spans="3:4">
      <c r="C320" s="108" t="str">
        <f t="array" ref="C320">IFERROR(IF(A320="","",IF(ISNUMBER(MATCH(TRUE,ISNUMBER(SEARCH($Q$2:$Q$51, $A320)),0))=TRUE,"United States of America",INDEX($S$2:$S$199,MATCH(TRUE,ISNUMBER(SEARCH($S$2:$S$199, $A320)),0)))),"United States of America")</f>
        <v/>
      </c>
      <c r="D320" s="108" t="str">
        <f t="array" ref="D320">IF(A320="","",IF(ISNUMBER(MATCH(TRUE,ISNUMBER(SEARCH($Q$2:$Q$51, $A320)),0))=TRUE,"",IF(ISNUMBER(MATCH(TRUE,ISNUMBER(SEARCH($S$2:$S$199, $A320)),0))=TRUE,"","미국 확인 필요")))</f>
        <v/>
      </c>
    </row>
    <row r="321" spans="3:4">
      <c r="C321" s="108" t="str">
        <f t="array" ref="C321">IFERROR(IF(A321="","",IF(ISNUMBER(MATCH(TRUE,ISNUMBER(SEARCH($Q$2:$Q$51, $A321)),0))=TRUE,"United States of America",INDEX($S$2:$S$199,MATCH(TRUE,ISNUMBER(SEARCH($S$2:$S$199, $A321)),0)))),"United States of America")</f>
        <v/>
      </c>
      <c r="D321" s="108" t="str">
        <f t="array" ref="D321">IF(A321="","",IF(ISNUMBER(MATCH(TRUE,ISNUMBER(SEARCH($Q$2:$Q$51, $A321)),0))=TRUE,"",IF(ISNUMBER(MATCH(TRUE,ISNUMBER(SEARCH($S$2:$S$199, $A321)),0))=TRUE,"","미국 확인 필요")))</f>
        <v/>
      </c>
    </row>
    <row r="322" spans="3:4">
      <c r="C322" s="108" t="str">
        <f t="array" ref="C322">IFERROR(IF(A322="","",IF(ISNUMBER(MATCH(TRUE,ISNUMBER(SEARCH($Q$2:$Q$51, $A322)),0))=TRUE,"United States of America",INDEX($S$2:$S$199,MATCH(TRUE,ISNUMBER(SEARCH($S$2:$S$199, $A322)),0)))),"United States of America")</f>
        <v/>
      </c>
      <c r="D322" s="108" t="str">
        <f t="array" ref="D322">IF(A322="","",IF(ISNUMBER(MATCH(TRUE,ISNUMBER(SEARCH($Q$2:$Q$51, $A322)),0))=TRUE,"",IF(ISNUMBER(MATCH(TRUE,ISNUMBER(SEARCH($S$2:$S$199, $A322)),0))=TRUE,"","미국 확인 필요")))</f>
        <v/>
      </c>
    </row>
    <row r="323" spans="3:4">
      <c r="C323" s="108" t="str">
        <f t="array" ref="C323">IFERROR(IF(A323="","",IF(ISNUMBER(MATCH(TRUE,ISNUMBER(SEARCH($Q$2:$Q$51, $A323)),0))=TRUE,"United States of America",INDEX($S$2:$S$199,MATCH(TRUE,ISNUMBER(SEARCH($S$2:$S$199, $A323)),0)))),"United States of America")</f>
        <v/>
      </c>
      <c r="D323" s="108" t="str">
        <f t="array" ref="D323">IF(A323="","",IF(ISNUMBER(MATCH(TRUE,ISNUMBER(SEARCH($Q$2:$Q$51, $A323)),0))=TRUE,"",IF(ISNUMBER(MATCH(TRUE,ISNUMBER(SEARCH($S$2:$S$199, $A323)),0))=TRUE,"","미국 확인 필요")))</f>
        <v/>
      </c>
    </row>
    <row r="324" spans="3:4">
      <c r="C324" s="108" t="str">
        <f t="array" ref="C324">IFERROR(IF(A324="","",IF(ISNUMBER(MATCH(TRUE,ISNUMBER(SEARCH($Q$2:$Q$51, $A324)),0))=TRUE,"United States of America",INDEX($S$2:$S$199,MATCH(TRUE,ISNUMBER(SEARCH($S$2:$S$199, $A324)),0)))),"United States of America")</f>
        <v/>
      </c>
      <c r="D324" s="108" t="str">
        <f t="array" ref="D324">IF(A324="","",IF(ISNUMBER(MATCH(TRUE,ISNUMBER(SEARCH($Q$2:$Q$51, $A324)),0))=TRUE,"",IF(ISNUMBER(MATCH(TRUE,ISNUMBER(SEARCH($S$2:$S$199, $A324)),0))=TRUE,"","미국 확인 필요")))</f>
        <v/>
      </c>
    </row>
    <row r="325" spans="3:4">
      <c r="C325" s="108" t="str">
        <f t="array" ref="C325">IFERROR(IF(A325="","",IF(ISNUMBER(MATCH(TRUE,ISNUMBER(SEARCH($Q$2:$Q$51, $A325)),0))=TRUE,"United States of America",INDEX($S$2:$S$199,MATCH(TRUE,ISNUMBER(SEARCH($S$2:$S$199, $A325)),0)))),"United States of America")</f>
        <v/>
      </c>
      <c r="D325" s="108" t="str">
        <f t="array" ref="D325">IF(A325="","",IF(ISNUMBER(MATCH(TRUE,ISNUMBER(SEARCH($Q$2:$Q$51, $A325)),0))=TRUE,"",IF(ISNUMBER(MATCH(TRUE,ISNUMBER(SEARCH($S$2:$S$199, $A325)),0))=TRUE,"","미국 확인 필요")))</f>
        <v/>
      </c>
    </row>
    <row r="326" spans="3:4">
      <c r="C326" s="108" t="str">
        <f t="array" ref="C326">IFERROR(IF(A326="","",IF(ISNUMBER(MATCH(TRUE,ISNUMBER(SEARCH($Q$2:$Q$51, $A326)),0))=TRUE,"United States of America",INDEX($S$2:$S$199,MATCH(TRUE,ISNUMBER(SEARCH($S$2:$S$199, $A326)),0)))),"United States of America")</f>
        <v/>
      </c>
      <c r="D326" s="108" t="str">
        <f t="array" ref="D326">IF(A326="","",IF(ISNUMBER(MATCH(TRUE,ISNUMBER(SEARCH($Q$2:$Q$51, $A326)),0))=TRUE,"",IF(ISNUMBER(MATCH(TRUE,ISNUMBER(SEARCH($S$2:$S$199, $A326)),0))=TRUE,"","미국 확인 필요")))</f>
        <v/>
      </c>
    </row>
    <row r="327" spans="3:4">
      <c r="C327" s="108" t="str">
        <f t="array" ref="C327">IFERROR(IF(A327="","",IF(ISNUMBER(MATCH(TRUE,ISNUMBER(SEARCH($Q$2:$Q$51, $A327)),0))=TRUE,"United States of America",INDEX($S$2:$S$199,MATCH(TRUE,ISNUMBER(SEARCH($S$2:$S$199, $A327)),0)))),"United States of America")</f>
        <v/>
      </c>
      <c r="D327" s="108" t="str">
        <f t="array" ref="D327">IF(A327="","",IF(ISNUMBER(MATCH(TRUE,ISNUMBER(SEARCH($Q$2:$Q$51, $A327)),0))=TRUE,"",IF(ISNUMBER(MATCH(TRUE,ISNUMBER(SEARCH($S$2:$S$199, $A327)),0))=TRUE,"","미국 확인 필요")))</f>
        <v/>
      </c>
    </row>
    <row r="328" spans="3:4">
      <c r="C328" s="108" t="str">
        <f t="array" ref="C328">IFERROR(IF(A328="","",IF(ISNUMBER(MATCH(TRUE,ISNUMBER(SEARCH($Q$2:$Q$51, $A328)),0))=TRUE,"United States of America",INDEX($S$2:$S$199,MATCH(TRUE,ISNUMBER(SEARCH($S$2:$S$199, $A328)),0)))),"United States of America")</f>
        <v/>
      </c>
      <c r="D328" s="108" t="str">
        <f t="array" ref="D328">IF(A328="","",IF(ISNUMBER(MATCH(TRUE,ISNUMBER(SEARCH($Q$2:$Q$51, $A328)),0))=TRUE,"",IF(ISNUMBER(MATCH(TRUE,ISNUMBER(SEARCH($S$2:$S$199, $A328)),0))=TRUE,"","미국 확인 필요")))</f>
        <v/>
      </c>
    </row>
    <row r="329" spans="3:4">
      <c r="C329" s="108" t="str">
        <f t="array" ref="C329">IFERROR(IF(A329="","",IF(ISNUMBER(MATCH(TRUE,ISNUMBER(SEARCH($Q$2:$Q$51, $A329)),0))=TRUE,"United States of America",INDEX($S$2:$S$199,MATCH(TRUE,ISNUMBER(SEARCH($S$2:$S$199, $A329)),0)))),"United States of America")</f>
        <v/>
      </c>
      <c r="D329" s="108" t="str">
        <f t="array" ref="D329">IF(A329="","",IF(ISNUMBER(MATCH(TRUE,ISNUMBER(SEARCH($Q$2:$Q$51, $A329)),0))=TRUE,"",IF(ISNUMBER(MATCH(TRUE,ISNUMBER(SEARCH($S$2:$S$199, $A329)),0))=TRUE,"","미국 확인 필요")))</f>
        <v/>
      </c>
    </row>
    <row r="330" spans="3:4">
      <c r="C330" s="108" t="str">
        <f t="array" ref="C330">IFERROR(IF(A330="","",IF(ISNUMBER(MATCH(TRUE,ISNUMBER(SEARCH($Q$2:$Q$51, $A330)),0))=TRUE,"United States of America",INDEX($S$2:$S$199,MATCH(TRUE,ISNUMBER(SEARCH($S$2:$S$199, $A330)),0)))),"United States of America")</f>
        <v/>
      </c>
      <c r="D330" s="108" t="str">
        <f t="array" ref="D330">IF(A330="","",IF(ISNUMBER(MATCH(TRUE,ISNUMBER(SEARCH($Q$2:$Q$51, $A330)),0))=TRUE,"",IF(ISNUMBER(MATCH(TRUE,ISNUMBER(SEARCH($S$2:$S$199, $A330)),0))=TRUE,"","미국 확인 필요")))</f>
        <v/>
      </c>
    </row>
    <row r="331" spans="3:4">
      <c r="C331" s="108" t="str">
        <f t="array" ref="C331">IFERROR(IF(A331="","",IF(ISNUMBER(MATCH(TRUE,ISNUMBER(SEARCH($Q$2:$Q$51, $A331)),0))=TRUE,"United States of America",INDEX($S$2:$S$199,MATCH(TRUE,ISNUMBER(SEARCH($S$2:$S$199, $A331)),0)))),"United States of America")</f>
        <v/>
      </c>
      <c r="D331" s="108" t="str">
        <f t="array" ref="D331">IF(A331="","",IF(ISNUMBER(MATCH(TRUE,ISNUMBER(SEARCH($Q$2:$Q$51, $A331)),0))=TRUE,"",IF(ISNUMBER(MATCH(TRUE,ISNUMBER(SEARCH($S$2:$S$199, $A331)),0))=TRUE,"","미국 확인 필요")))</f>
        <v/>
      </c>
    </row>
    <row r="332" spans="3:4">
      <c r="C332" s="108" t="str">
        <f t="array" ref="C332">IFERROR(IF(A332="","",IF(ISNUMBER(MATCH(TRUE,ISNUMBER(SEARCH($Q$2:$Q$51, $A332)),0))=TRUE,"United States of America",INDEX($S$2:$S$199,MATCH(TRUE,ISNUMBER(SEARCH($S$2:$S$199, $A332)),0)))),"United States of America")</f>
        <v/>
      </c>
      <c r="D332" s="108" t="str">
        <f t="array" ref="D332">IF(A332="","",IF(ISNUMBER(MATCH(TRUE,ISNUMBER(SEARCH($Q$2:$Q$51, $A332)),0))=TRUE,"",IF(ISNUMBER(MATCH(TRUE,ISNUMBER(SEARCH($S$2:$S$199, $A332)),0))=TRUE,"","미국 확인 필요")))</f>
        <v/>
      </c>
    </row>
    <row r="333" spans="3:4">
      <c r="C333" s="108" t="str">
        <f t="array" ref="C333">IFERROR(IF(A333="","",IF(ISNUMBER(MATCH(TRUE,ISNUMBER(SEARCH($Q$2:$Q$51, $A333)),0))=TRUE,"United States of America",INDEX($S$2:$S$199,MATCH(TRUE,ISNUMBER(SEARCH($S$2:$S$199, $A333)),0)))),"United States of America")</f>
        <v/>
      </c>
      <c r="D333" s="108" t="str">
        <f t="array" ref="D333">IF(A333="","",IF(ISNUMBER(MATCH(TRUE,ISNUMBER(SEARCH($Q$2:$Q$51, $A333)),0))=TRUE,"",IF(ISNUMBER(MATCH(TRUE,ISNUMBER(SEARCH($S$2:$S$199, $A333)),0))=TRUE,"","미국 확인 필요")))</f>
        <v/>
      </c>
    </row>
    <row r="334" spans="3:4">
      <c r="C334" s="108" t="str">
        <f t="array" ref="C334">IFERROR(IF(A334="","",IF(ISNUMBER(MATCH(TRUE,ISNUMBER(SEARCH($Q$2:$Q$51, $A334)),0))=TRUE,"United States of America",INDEX($S$2:$S$199,MATCH(TRUE,ISNUMBER(SEARCH($S$2:$S$199, $A334)),0)))),"United States of America")</f>
        <v/>
      </c>
      <c r="D334" s="108" t="str">
        <f t="array" ref="D334">IF(A334="","",IF(ISNUMBER(MATCH(TRUE,ISNUMBER(SEARCH($Q$2:$Q$51, $A334)),0))=TRUE,"",IF(ISNUMBER(MATCH(TRUE,ISNUMBER(SEARCH($S$2:$S$199, $A334)),0))=TRUE,"","미국 확인 필요")))</f>
        <v/>
      </c>
    </row>
    <row r="335" spans="3:4">
      <c r="C335" s="108" t="str">
        <f t="array" ref="C335">IFERROR(IF(A335="","",IF(ISNUMBER(MATCH(TRUE,ISNUMBER(SEARCH($Q$2:$Q$51, $A335)),0))=TRUE,"United States of America",INDEX($S$2:$S$199,MATCH(TRUE,ISNUMBER(SEARCH($S$2:$S$199, $A335)),0)))),"United States of America")</f>
        <v/>
      </c>
      <c r="D335" s="108" t="str">
        <f t="array" ref="D335">IF(A335="","",IF(ISNUMBER(MATCH(TRUE,ISNUMBER(SEARCH($Q$2:$Q$51, $A335)),0))=TRUE,"",IF(ISNUMBER(MATCH(TRUE,ISNUMBER(SEARCH($S$2:$S$199, $A335)),0))=TRUE,"","미국 확인 필요")))</f>
        <v/>
      </c>
    </row>
    <row r="336" spans="3:4">
      <c r="C336" s="108" t="str">
        <f t="array" ref="C336">IFERROR(IF(A336="","",IF(ISNUMBER(MATCH(TRUE,ISNUMBER(SEARCH($Q$2:$Q$51, $A336)),0))=TRUE,"United States of America",INDEX($S$2:$S$199,MATCH(TRUE,ISNUMBER(SEARCH($S$2:$S$199, $A336)),0)))),"United States of America")</f>
        <v/>
      </c>
      <c r="D336" s="108" t="str">
        <f t="array" ref="D336">IF(A336="","",IF(ISNUMBER(MATCH(TRUE,ISNUMBER(SEARCH($Q$2:$Q$51, $A336)),0))=TRUE,"",IF(ISNUMBER(MATCH(TRUE,ISNUMBER(SEARCH($S$2:$S$199, $A336)),0))=TRUE,"","미국 확인 필요")))</f>
        <v/>
      </c>
    </row>
    <row r="337" spans="3:4">
      <c r="C337" s="108" t="str">
        <f t="array" ref="C337">IFERROR(IF(A337="","",IF(ISNUMBER(MATCH(TRUE,ISNUMBER(SEARCH($Q$2:$Q$51, $A337)),0))=TRUE,"United States of America",INDEX($S$2:$S$199,MATCH(TRUE,ISNUMBER(SEARCH($S$2:$S$199, $A337)),0)))),"United States of America")</f>
        <v/>
      </c>
      <c r="D337" s="108" t="str">
        <f t="array" ref="D337">IF(A337="","",IF(ISNUMBER(MATCH(TRUE,ISNUMBER(SEARCH($Q$2:$Q$51, $A337)),0))=TRUE,"",IF(ISNUMBER(MATCH(TRUE,ISNUMBER(SEARCH($S$2:$S$199, $A337)),0))=TRUE,"","미국 확인 필요")))</f>
        <v/>
      </c>
    </row>
    <row r="338" spans="3:4">
      <c r="C338" s="108" t="str">
        <f t="array" ref="C338">IFERROR(IF(A338="","",IF(ISNUMBER(MATCH(TRUE,ISNUMBER(SEARCH($Q$2:$Q$51, $A338)),0))=TRUE,"United States of America",INDEX($S$2:$S$199,MATCH(TRUE,ISNUMBER(SEARCH($S$2:$S$199, $A338)),0)))),"United States of America")</f>
        <v/>
      </c>
      <c r="D338" s="108" t="str">
        <f t="array" ref="D338">IF(A338="","",IF(ISNUMBER(MATCH(TRUE,ISNUMBER(SEARCH($Q$2:$Q$51, $A338)),0))=TRUE,"",IF(ISNUMBER(MATCH(TRUE,ISNUMBER(SEARCH($S$2:$S$199, $A338)),0))=TRUE,"","미국 확인 필요")))</f>
        <v/>
      </c>
    </row>
    <row r="339" spans="3:4">
      <c r="C339" s="108" t="str">
        <f t="array" ref="C339">IFERROR(IF(A339="","",IF(ISNUMBER(MATCH(TRUE,ISNUMBER(SEARCH($Q$2:$Q$51, $A339)),0))=TRUE,"United States of America",INDEX($S$2:$S$199,MATCH(TRUE,ISNUMBER(SEARCH($S$2:$S$199, $A339)),0)))),"United States of America")</f>
        <v/>
      </c>
      <c r="D339" s="108" t="str">
        <f t="array" ref="D339">IF(A339="","",IF(ISNUMBER(MATCH(TRUE,ISNUMBER(SEARCH($Q$2:$Q$51, $A339)),0))=TRUE,"",IF(ISNUMBER(MATCH(TRUE,ISNUMBER(SEARCH($S$2:$S$199, $A339)),0))=TRUE,"","미국 확인 필요")))</f>
        <v/>
      </c>
    </row>
    <row r="340" spans="3:4">
      <c r="C340" s="108" t="str">
        <f t="array" ref="C340">IFERROR(IF(A340="","",IF(ISNUMBER(MATCH(TRUE,ISNUMBER(SEARCH($Q$2:$Q$51, $A340)),0))=TRUE,"United States of America",INDEX($S$2:$S$199,MATCH(TRUE,ISNUMBER(SEARCH($S$2:$S$199, $A340)),0)))),"United States of America")</f>
        <v/>
      </c>
      <c r="D340" s="108" t="str">
        <f t="array" ref="D340">IF(A340="","",IF(ISNUMBER(MATCH(TRUE,ISNUMBER(SEARCH($Q$2:$Q$51, $A340)),0))=TRUE,"",IF(ISNUMBER(MATCH(TRUE,ISNUMBER(SEARCH($S$2:$S$199, $A340)),0))=TRUE,"","미국 확인 필요")))</f>
        <v/>
      </c>
    </row>
    <row r="341" spans="3:4">
      <c r="C341" s="108" t="str">
        <f t="array" ref="C341">IFERROR(IF(A341="","",IF(ISNUMBER(MATCH(TRUE,ISNUMBER(SEARCH($Q$2:$Q$51, $A341)),0))=TRUE,"United States of America",INDEX($S$2:$S$199,MATCH(TRUE,ISNUMBER(SEARCH($S$2:$S$199, $A341)),0)))),"United States of America")</f>
        <v/>
      </c>
      <c r="D341" s="108" t="str">
        <f t="array" ref="D341">IF(A341="","",IF(ISNUMBER(MATCH(TRUE,ISNUMBER(SEARCH($Q$2:$Q$51, $A341)),0))=TRUE,"",IF(ISNUMBER(MATCH(TRUE,ISNUMBER(SEARCH($S$2:$S$199, $A341)),0))=TRUE,"","미국 확인 필요")))</f>
        <v/>
      </c>
    </row>
    <row r="342" spans="3:4">
      <c r="C342" s="108" t="str">
        <f t="array" ref="C342">IFERROR(IF(A342="","",IF(ISNUMBER(MATCH(TRUE,ISNUMBER(SEARCH($Q$2:$Q$51, $A342)),0))=TRUE,"United States of America",INDEX($S$2:$S$199,MATCH(TRUE,ISNUMBER(SEARCH($S$2:$S$199, $A342)),0)))),"United States of America")</f>
        <v/>
      </c>
      <c r="D342" s="108" t="str">
        <f t="array" ref="D342">IF(A342="","",IF(ISNUMBER(MATCH(TRUE,ISNUMBER(SEARCH($Q$2:$Q$51, $A342)),0))=TRUE,"",IF(ISNUMBER(MATCH(TRUE,ISNUMBER(SEARCH($S$2:$S$199, $A342)),0))=TRUE,"","미국 확인 필요")))</f>
        <v/>
      </c>
    </row>
    <row r="343" spans="3:4">
      <c r="C343" s="108" t="str">
        <f t="array" ref="C343">IFERROR(IF(A343="","",IF(ISNUMBER(MATCH(TRUE,ISNUMBER(SEARCH($Q$2:$Q$51, $A343)),0))=TRUE,"United States of America",INDEX($S$2:$S$199,MATCH(TRUE,ISNUMBER(SEARCH($S$2:$S$199, $A343)),0)))),"United States of America")</f>
        <v/>
      </c>
      <c r="D343" s="108" t="str">
        <f t="array" ref="D343">IF(A343="","",IF(ISNUMBER(MATCH(TRUE,ISNUMBER(SEARCH($Q$2:$Q$51, $A343)),0))=TRUE,"",IF(ISNUMBER(MATCH(TRUE,ISNUMBER(SEARCH($S$2:$S$199, $A343)),0))=TRUE,"","미국 확인 필요")))</f>
        <v/>
      </c>
    </row>
    <row r="344" spans="3:4">
      <c r="C344" s="108" t="str">
        <f t="array" ref="C344">IFERROR(IF(A344="","",IF(ISNUMBER(MATCH(TRUE,ISNUMBER(SEARCH($Q$2:$Q$51, $A344)),0))=TRUE,"United States of America",INDEX($S$2:$S$199,MATCH(TRUE,ISNUMBER(SEARCH($S$2:$S$199, $A344)),0)))),"United States of America")</f>
        <v/>
      </c>
      <c r="D344" s="108" t="str">
        <f t="array" ref="D344">IF(A344="","",IF(ISNUMBER(MATCH(TRUE,ISNUMBER(SEARCH($Q$2:$Q$51, $A344)),0))=TRUE,"",IF(ISNUMBER(MATCH(TRUE,ISNUMBER(SEARCH($S$2:$S$199, $A344)),0))=TRUE,"","미국 확인 필요")))</f>
        <v/>
      </c>
    </row>
    <row r="345" spans="3:4">
      <c r="C345" s="108" t="str">
        <f t="array" ref="C345">IFERROR(IF(A345="","",IF(ISNUMBER(MATCH(TRUE,ISNUMBER(SEARCH($Q$2:$Q$51, $A345)),0))=TRUE,"United States of America",INDEX($S$2:$S$199,MATCH(TRUE,ISNUMBER(SEARCH($S$2:$S$199, $A345)),0)))),"United States of America")</f>
        <v/>
      </c>
      <c r="D345" s="108" t="str">
        <f t="array" ref="D345">IF(A345="","",IF(ISNUMBER(MATCH(TRUE,ISNUMBER(SEARCH($Q$2:$Q$51, $A345)),0))=TRUE,"",IF(ISNUMBER(MATCH(TRUE,ISNUMBER(SEARCH($S$2:$S$199, $A345)),0))=TRUE,"","미국 확인 필요")))</f>
        <v/>
      </c>
    </row>
    <row r="346" spans="3:4">
      <c r="C346" s="108" t="str">
        <f t="array" ref="C346">IFERROR(IF(A346="","",IF(ISNUMBER(MATCH(TRUE,ISNUMBER(SEARCH($Q$2:$Q$51, $A346)),0))=TRUE,"United States of America",INDEX($S$2:$S$199,MATCH(TRUE,ISNUMBER(SEARCH($S$2:$S$199, $A346)),0)))),"United States of America")</f>
        <v/>
      </c>
      <c r="D346" s="108" t="str">
        <f t="array" ref="D346">IF(A346="","",IF(ISNUMBER(MATCH(TRUE,ISNUMBER(SEARCH($Q$2:$Q$51, $A346)),0))=TRUE,"",IF(ISNUMBER(MATCH(TRUE,ISNUMBER(SEARCH($S$2:$S$199, $A346)),0))=TRUE,"","미국 확인 필요")))</f>
        <v/>
      </c>
    </row>
    <row r="347" spans="3:4">
      <c r="C347" s="108" t="str">
        <f t="array" ref="C347">IFERROR(IF(A347="","",IF(ISNUMBER(MATCH(TRUE,ISNUMBER(SEARCH($Q$2:$Q$51, $A347)),0))=TRUE,"United States of America",INDEX($S$2:$S$199,MATCH(TRUE,ISNUMBER(SEARCH($S$2:$S$199, $A347)),0)))),"United States of America")</f>
        <v/>
      </c>
      <c r="D347" s="108" t="str">
        <f t="array" ref="D347">IF(A347="","",IF(ISNUMBER(MATCH(TRUE,ISNUMBER(SEARCH($Q$2:$Q$51, $A347)),0))=TRUE,"",IF(ISNUMBER(MATCH(TRUE,ISNUMBER(SEARCH($S$2:$S$199, $A347)),0))=TRUE,"","미국 확인 필요")))</f>
        <v/>
      </c>
    </row>
    <row r="348" spans="3:4">
      <c r="C348" s="108" t="str">
        <f t="array" ref="C348">IFERROR(IF(A348="","",IF(ISNUMBER(MATCH(TRUE,ISNUMBER(SEARCH($Q$2:$Q$51, $A348)),0))=TRUE,"United States of America",INDEX($S$2:$S$199,MATCH(TRUE,ISNUMBER(SEARCH($S$2:$S$199, $A348)),0)))),"United States of America")</f>
        <v/>
      </c>
      <c r="D348" s="108" t="str">
        <f t="array" ref="D348">IF(A348="","",IF(ISNUMBER(MATCH(TRUE,ISNUMBER(SEARCH($Q$2:$Q$51, $A348)),0))=TRUE,"",IF(ISNUMBER(MATCH(TRUE,ISNUMBER(SEARCH($S$2:$S$199, $A348)),0))=TRUE,"","미국 확인 필요")))</f>
        <v/>
      </c>
    </row>
    <row r="349" spans="3:4">
      <c r="C349" s="108" t="str">
        <f t="array" ref="C349">IFERROR(IF(A349="","",IF(ISNUMBER(MATCH(TRUE,ISNUMBER(SEARCH($Q$2:$Q$51, $A349)),0))=TRUE,"United States of America",INDEX($S$2:$S$199,MATCH(TRUE,ISNUMBER(SEARCH($S$2:$S$199, $A349)),0)))),"United States of America")</f>
        <v/>
      </c>
      <c r="D349" s="108" t="str">
        <f t="array" ref="D349">IF(A349="","",IF(ISNUMBER(MATCH(TRUE,ISNUMBER(SEARCH($Q$2:$Q$51, $A349)),0))=TRUE,"",IF(ISNUMBER(MATCH(TRUE,ISNUMBER(SEARCH($S$2:$S$199, $A349)),0))=TRUE,"","미국 확인 필요")))</f>
        <v/>
      </c>
    </row>
    <row r="350" spans="3:4">
      <c r="C350" s="108" t="str">
        <f t="array" ref="C350">IFERROR(IF(A350="","",IF(ISNUMBER(MATCH(TRUE,ISNUMBER(SEARCH($Q$2:$Q$51, $A350)),0))=TRUE,"United States of America",INDEX($S$2:$S$199,MATCH(TRUE,ISNUMBER(SEARCH($S$2:$S$199, $A350)),0)))),"United States of America")</f>
        <v/>
      </c>
      <c r="D350" s="108" t="str">
        <f t="array" ref="D350">IF(A350="","",IF(ISNUMBER(MATCH(TRUE,ISNUMBER(SEARCH($Q$2:$Q$51, $A350)),0))=TRUE,"",IF(ISNUMBER(MATCH(TRUE,ISNUMBER(SEARCH($S$2:$S$199, $A350)),0))=TRUE,"","미국 확인 필요")))</f>
        <v/>
      </c>
    </row>
    <row r="351" spans="3:4">
      <c r="C351" s="108" t="str">
        <f t="array" ref="C351">IFERROR(IF(A351="","",IF(ISNUMBER(MATCH(TRUE,ISNUMBER(SEARCH($Q$2:$Q$51, $A351)),0))=TRUE,"United States of America",INDEX($S$2:$S$199,MATCH(TRUE,ISNUMBER(SEARCH($S$2:$S$199, $A351)),0)))),"United States of America")</f>
        <v/>
      </c>
      <c r="D351" s="108" t="str">
        <f t="array" ref="D351">IF(A351="","",IF(ISNUMBER(MATCH(TRUE,ISNUMBER(SEARCH($Q$2:$Q$51, $A351)),0))=TRUE,"",IF(ISNUMBER(MATCH(TRUE,ISNUMBER(SEARCH($S$2:$S$199, $A351)),0))=TRUE,"","미국 확인 필요")))</f>
        <v/>
      </c>
    </row>
    <row r="352" spans="3:4">
      <c r="C352" s="108" t="str">
        <f t="array" ref="C352">IFERROR(IF(A352="","",IF(ISNUMBER(MATCH(TRUE,ISNUMBER(SEARCH($Q$2:$Q$51, $A352)),0))=TRUE,"United States of America",INDEX($S$2:$S$199,MATCH(TRUE,ISNUMBER(SEARCH($S$2:$S$199, $A352)),0)))),"United States of America")</f>
        <v/>
      </c>
      <c r="D352" s="108" t="str">
        <f t="array" ref="D352">IF(A352="","",IF(ISNUMBER(MATCH(TRUE,ISNUMBER(SEARCH($Q$2:$Q$51, $A352)),0))=TRUE,"",IF(ISNUMBER(MATCH(TRUE,ISNUMBER(SEARCH($S$2:$S$199, $A352)),0))=TRUE,"","미국 확인 필요")))</f>
        <v/>
      </c>
    </row>
    <row r="353" spans="3:4">
      <c r="C353" s="108" t="str">
        <f t="array" ref="C353">IFERROR(IF(A353="","",IF(ISNUMBER(MATCH(TRUE,ISNUMBER(SEARCH($Q$2:$Q$51, $A353)),0))=TRUE,"United States of America",INDEX($S$2:$S$199,MATCH(TRUE,ISNUMBER(SEARCH($S$2:$S$199, $A353)),0)))),"United States of America")</f>
        <v/>
      </c>
      <c r="D353" s="108" t="str">
        <f t="array" ref="D353">IF(A353="","",IF(ISNUMBER(MATCH(TRUE,ISNUMBER(SEARCH($Q$2:$Q$51, $A353)),0))=TRUE,"",IF(ISNUMBER(MATCH(TRUE,ISNUMBER(SEARCH($S$2:$S$199, $A353)),0))=TRUE,"","미국 확인 필요")))</f>
        <v/>
      </c>
    </row>
    <row r="354" spans="3:4">
      <c r="C354" s="108" t="str">
        <f t="array" ref="C354">IFERROR(IF(A354="","",IF(ISNUMBER(MATCH(TRUE,ISNUMBER(SEARCH($Q$2:$Q$51, $A354)),0))=TRUE,"United States of America",INDEX($S$2:$S$199,MATCH(TRUE,ISNUMBER(SEARCH($S$2:$S$199, $A354)),0)))),"United States of America")</f>
        <v/>
      </c>
      <c r="D354" s="108" t="str">
        <f t="array" ref="D354">IF(A354="","",IF(ISNUMBER(MATCH(TRUE,ISNUMBER(SEARCH($Q$2:$Q$51, $A354)),0))=TRUE,"",IF(ISNUMBER(MATCH(TRUE,ISNUMBER(SEARCH($S$2:$S$199, $A354)),0))=TRUE,"","미국 확인 필요")))</f>
        <v/>
      </c>
    </row>
    <row r="355" spans="3:4">
      <c r="C355" s="108" t="str">
        <f t="array" ref="C355">IFERROR(IF(A355="","",IF(ISNUMBER(MATCH(TRUE,ISNUMBER(SEARCH($Q$2:$Q$51, $A355)),0))=TRUE,"United States of America",INDEX($S$2:$S$199,MATCH(TRUE,ISNUMBER(SEARCH($S$2:$S$199, $A355)),0)))),"United States of America")</f>
        <v/>
      </c>
      <c r="D355" s="108" t="str">
        <f t="array" ref="D355">IF(A355="","",IF(ISNUMBER(MATCH(TRUE,ISNUMBER(SEARCH($Q$2:$Q$51, $A355)),0))=TRUE,"",IF(ISNUMBER(MATCH(TRUE,ISNUMBER(SEARCH($S$2:$S$199, $A355)),0))=TRUE,"","미국 확인 필요")))</f>
        <v/>
      </c>
    </row>
    <row r="356" spans="3:4">
      <c r="C356" s="108" t="str">
        <f t="array" ref="C356">IFERROR(IF(A356="","",IF(ISNUMBER(MATCH(TRUE,ISNUMBER(SEARCH($Q$2:$Q$51, $A356)),0))=TRUE,"United States of America",INDEX($S$2:$S$199,MATCH(TRUE,ISNUMBER(SEARCH($S$2:$S$199, $A356)),0)))),"United States of America")</f>
        <v/>
      </c>
      <c r="D356" s="108" t="str">
        <f t="array" ref="D356">IF(A356="","",IF(ISNUMBER(MATCH(TRUE,ISNUMBER(SEARCH($Q$2:$Q$51, $A356)),0))=TRUE,"",IF(ISNUMBER(MATCH(TRUE,ISNUMBER(SEARCH($S$2:$S$199, $A356)),0))=TRUE,"","미국 확인 필요")))</f>
        <v/>
      </c>
    </row>
    <row r="357" spans="3:4">
      <c r="C357" s="108" t="str">
        <f t="array" ref="C357">IFERROR(IF(A357="","",IF(ISNUMBER(MATCH(TRUE,ISNUMBER(SEARCH($Q$2:$Q$51, $A357)),0))=TRUE,"United States of America",INDEX($S$2:$S$199,MATCH(TRUE,ISNUMBER(SEARCH($S$2:$S$199, $A357)),0)))),"United States of America")</f>
        <v/>
      </c>
      <c r="D357" s="108" t="str">
        <f t="array" ref="D357">IF(A357="","",IF(ISNUMBER(MATCH(TRUE,ISNUMBER(SEARCH($Q$2:$Q$51, $A357)),0))=TRUE,"",IF(ISNUMBER(MATCH(TRUE,ISNUMBER(SEARCH($S$2:$S$199, $A357)),0))=TRUE,"","미국 확인 필요")))</f>
        <v/>
      </c>
    </row>
    <row r="358" spans="3:4">
      <c r="C358" s="108" t="str">
        <f t="array" ref="C358">IFERROR(IF(A358="","",IF(ISNUMBER(MATCH(TRUE,ISNUMBER(SEARCH($Q$2:$Q$51, $A358)),0))=TRUE,"United States of America",INDEX($S$2:$S$199,MATCH(TRUE,ISNUMBER(SEARCH($S$2:$S$199, $A358)),0)))),"United States of America")</f>
        <v/>
      </c>
      <c r="D358" s="108" t="str">
        <f t="array" ref="D358">IF(A358="","",IF(ISNUMBER(MATCH(TRUE,ISNUMBER(SEARCH($Q$2:$Q$51, $A358)),0))=TRUE,"",IF(ISNUMBER(MATCH(TRUE,ISNUMBER(SEARCH($S$2:$S$199, $A358)),0))=TRUE,"","미국 확인 필요")))</f>
        <v/>
      </c>
    </row>
    <row r="359" spans="3:4">
      <c r="C359" s="108" t="str">
        <f t="array" ref="C359">IFERROR(IF(A359="","",IF(ISNUMBER(MATCH(TRUE,ISNUMBER(SEARCH($Q$2:$Q$51, $A359)),0))=TRUE,"United States of America",INDEX($S$2:$S$199,MATCH(TRUE,ISNUMBER(SEARCH($S$2:$S$199, $A359)),0)))),"United States of America")</f>
        <v/>
      </c>
      <c r="D359" s="108" t="str">
        <f t="array" ref="D359">IF(A359="","",IF(ISNUMBER(MATCH(TRUE,ISNUMBER(SEARCH($Q$2:$Q$51, $A359)),0))=TRUE,"",IF(ISNUMBER(MATCH(TRUE,ISNUMBER(SEARCH($S$2:$S$199, $A359)),0))=TRUE,"","미국 확인 필요")))</f>
        <v/>
      </c>
    </row>
    <row r="360" spans="3:4">
      <c r="C360" s="108" t="str">
        <f t="array" ref="C360">IFERROR(IF(A360="","",IF(ISNUMBER(MATCH(TRUE,ISNUMBER(SEARCH($Q$2:$Q$51, $A360)),0))=TRUE,"United States of America",INDEX($S$2:$S$199,MATCH(TRUE,ISNUMBER(SEARCH($S$2:$S$199, $A360)),0)))),"United States of America")</f>
        <v/>
      </c>
      <c r="D360" s="108" t="str">
        <f t="array" ref="D360">IF(A360="","",IF(ISNUMBER(MATCH(TRUE,ISNUMBER(SEARCH($Q$2:$Q$51, $A360)),0))=TRUE,"",IF(ISNUMBER(MATCH(TRUE,ISNUMBER(SEARCH($S$2:$S$199, $A360)),0))=TRUE,"","미국 확인 필요")))</f>
        <v/>
      </c>
    </row>
    <row r="361" spans="3:4">
      <c r="C361" s="108" t="str">
        <f t="array" ref="C361">IFERROR(IF(A361="","",IF(ISNUMBER(MATCH(TRUE,ISNUMBER(SEARCH($Q$2:$Q$51, $A361)),0))=TRUE,"United States of America",INDEX($S$2:$S$199,MATCH(TRUE,ISNUMBER(SEARCH($S$2:$S$199, $A361)),0)))),"United States of America")</f>
        <v/>
      </c>
      <c r="D361" s="108" t="str">
        <f t="array" ref="D361">IF(A361="","",IF(ISNUMBER(MATCH(TRUE,ISNUMBER(SEARCH($Q$2:$Q$51, $A361)),0))=TRUE,"",IF(ISNUMBER(MATCH(TRUE,ISNUMBER(SEARCH($S$2:$S$199, $A361)),0))=TRUE,"","미국 확인 필요")))</f>
        <v/>
      </c>
    </row>
    <row r="362" spans="3:4">
      <c r="C362" s="108" t="str">
        <f t="array" ref="C362">IFERROR(IF(A362="","",IF(ISNUMBER(MATCH(TRUE,ISNUMBER(SEARCH($Q$2:$Q$51, $A362)),0))=TRUE,"United States of America",INDEX($S$2:$S$199,MATCH(TRUE,ISNUMBER(SEARCH($S$2:$S$199, $A362)),0)))),"United States of America")</f>
        <v/>
      </c>
      <c r="D362" s="108" t="str">
        <f t="array" ref="D362">IF(A362="","",IF(ISNUMBER(MATCH(TRUE,ISNUMBER(SEARCH($Q$2:$Q$51, $A362)),0))=TRUE,"",IF(ISNUMBER(MATCH(TRUE,ISNUMBER(SEARCH($S$2:$S$199, $A362)),0))=TRUE,"","미국 확인 필요")))</f>
        <v/>
      </c>
    </row>
    <row r="363" spans="3:4">
      <c r="C363" s="108" t="str">
        <f t="array" ref="C363">IFERROR(IF(A363="","",IF(ISNUMBER(MATCH(TRUE,ISNUMBER(SEARCH($Q$2:$Q$51, $A363)),0))=TRUE,"United States of America",INDEX($S$2:$S$199,MATCH(TRUE,ISNUMBER(SEARCH($S$2:$S$199, $A363)),0)))),"United States of America")</f>
        <v/>
      </c>
      <c r="D363" s="108" t="str">
        <f t="array" ref="D363">IF(A363="","",IF(ISNUMBER(MATCH(TRUE,ISNUMBER(SEARCH($Q$2:$Q$51, $A363)),0))=TRUE,"",IF(ISNUMBER(MATCH(TRUE,ISNUMBER(SEARCH($S$2:$S$199, $A363)),0))=TRUE,"","미국 확인 필요")))</f>
        <v/>
      </c>
    </row>
    <row r="364" spans="3:4">
      <c r="C364" s="108" t="str">
        <f t="array" ref="C364">IFERROR(IF(A364="","",IF(ISNUMBER(MATCH(TRUE,ISNUMBER(SEARCH($Q$2:$Q$51, $A364)),0))=TRUE,"United States of America",INDEX($S$2:$S$199,MATCH(TRUE,ISNUMBER(SEARCH($S$2:$S$199, $A364)),0)))),"United States of America")</f>
        <v/>
      </c>
      <c r="D364" s="108" t="str">
        <f t="array" ref="D364">IF(A364="","",IF(ISNUMBER(MATCH(TRUE,ISNUMBER(SEARCH($Q$2:$Q$51, $A364)),0))=TRUE,"",IF(ISNUMBER(MATCH(TRUE,ISNUMBER(SEARCH($S$2:$S$199, $A364)),0))=TRUE,"","미국 확인 필요")))</f>
        <v/>
      </c>
    </row>
    <row r="365" spans="3:4">
      <c r="C365" s="108" t="str">
        <f t="array" ref="C365">IFERROR(IF(A365="","",IF(ISNUMBER(MATCH(TRUE,ISNUMBER(SEARCH($Q$2:$Q$51, $A365)),0))=TRUE,"United States of America",INDEX($S$2:$S$199,MATCH(TRUE,ISNUMBER(SEARCH($S$2:$S$199, $A365)),0)))),"United States of America")</f>
        <v/>
      </c>
      <c r="D365" s="108" t="str">
        <f t="array" ref="D365">IF(A365="","",IF(ISNUMBER(MATCH(TRUE,ISNUMBER(SEARCH($Q$2:$Q$51, $A365)),0))=TRUE,"",IF(ISNUMBER(MATCH(TRUE,ISNUMBER(SEARCH($S$2:$S$199, $A365)),0))=TRUE,"","미국 확인 필요")))</f>
        <v/>
      </c>
    </row>
    <row r="366" spans="3:4">
      <c r="C366" s="108" t="str">
        <f t="array" ref="C366">IFERROR(IF(A366="","",IF(ISNUMBER(MATCH(TRUE,ISNUMBER(SEARCH($Q$2:$Q$51, $A366)),0))=TRUE,"United States of America",INDEX($S$2:$S$199,MATCH(TRUE,ISNUMBER(SEARCH($S$2:$S$199, $A366)),0)))),"United States of America")</f>
        <v/>
      </c>
      <c r="D366" s="108" t="str">
        <f t="array" ref="D366">IF(A366="","",IF(ISNUMBER(MATCH(TRUE,ISNUMBER(SEARCH($Q$2:$Q$51, $A366)),0))=TRUE,"",IF(ISNUMBER(MATCH(TRUE,ISNUMBER(SEARCH($S$2:$S$199, $A366)),0))=TRUE,"","미국 확인 필요")))</f>
        <v/>
      </c>
    </row>
    <row r="367" spans="3:4">
      <c r="C367" s="108" t="str">
        <f t="array" ref="C367">IFERROR(IF(A367="","",IF(ISNUMBER(MATCH(TRUE,ISNUMBER(SEARCH($Q$2:$Q$51, $A367)),0))=TRUE,"United States of America",INDEX($S$2:$S$199,MATCH(TRUE,ISNUMBER(SEARCH($S$2:$S$199, $A367)),0)))),"United States of America")</f>
        <v/>
      </c>
      <c r="D367" s="108" t="str">
        <f t="array" ref="D367">IF(A367="","",IF(ISNUMBER(MATCH(TRUE,ISNUMBER(SEARCH($Q$2:$Q$51, $A367)),0))=TRUE,"",IF(ISNUMBER(MATCH(TRUE,ISNUMBER(SEARCH($S$2:$S$199, $A367)),0))=TRUE,"","미국 확인 필요")))</f>
        <v/>
      </c>
    </row>
    <row r="368" spans="3:4">
      <c r="C368" s="108" t="str">
        <f t="array" ref="C368">IFERROR(IF(A368="","",IF(ISNUMBER(MATCH(TRUE,ISNUMBER(SEARCH($Q$2:$Q$51, $A368)),0))=TRUE,"United States of America",INDEX($S$2:$S$199,MATCH(TRUE,ISNUMBER(SEARCH($S$2:$S$199, $A368)),0)))),"United States of America")</f>
        <v/>
      </c>
      <c r="D368" s="108" t="str">
        <f t="array" ref="D368">IF(A368="","",IF(ISNUMBER(MATCH(TRUE,ISNUMBER(SEARCH($Q$2:$Q$51, $A368)),0))=TRUE,"",IF(ISNUMBER(MATCH(TRUE,ISNUMBER(SEARCH($S$2:$S$199, $A368)),0))=TRUE,"","미국 확인 필요")))</f>
        <v/>
      </c>
    </row>
    <row r="369" spans="3:4">
      <c r="C369" s="108" t="str">
        <f t="array" ref="C369">IFERROR(IF(A369="","",IF(ISNUMBER(MATCH(TRUE,ISNUMBER(SEARCH($Q$2:$Q$51, $A369)),0))=TRUE,"United States of America",INDEX($S$2:$S$199,MATCH(TRUE,ISNUMBER(SEARCH($S$2:$S$199, $A369)),0)))),"United States of America")</f>
        <v/>
      </c>
      <c r="D369" s="108" t="str">
        <f t="array" ref="D369">IF(A369="","",IF(ISNUMBER(MATCH(TRUE,ISNUMBER(SEARCH($Q$2:$Q$51, $A369)),0))=TRUE,"",IF(ISNUMBER(MATCH(TRUE,ISNUMBER(SEARCH($S$2:$S$199, $A369)),0))=TRUE,"","미국 확인 필요")))</f>
        <v/>
      </c>
    </row>
    <row r="370" spans="3:4">
      <c r="C370" s="108" t="str">
        <f t="array" ref="C370">IFERROR(IF(A370="","",IF(ISNUMBER(MATCH(TRUE,ISNUMBER(SEARCH($Q$2:$Q$51, $A370)),0))=TRUE,"United States of America",INDEX($S$2:$S$199,MATCH(TRUE,ISNUMBER(SEARCH($S$2:$S$199, $A370)),0)))),"United States of America")</f>
        <v/>
      </c>
      <c r="D370" s="108" t="str">
        <f t="array" ref="D370">IF(A370="","",IF(ISNUMBER(MATCH(TRUE,ISNUMBER(SEARCH($Q$2:$Q$51, $A370)),0))=TRUE,"",IF(ISNUMBER(MATCH(TRUE,ISNUMBER(SEARCH($S$2:$S$199, $A370)),0))=TRUE,"","미국 확인 필요")))</f>
        <v/>
      </c>
    </row>
    <row r="371" spans="3:4">
      <c r="C371" s="108" t="str">
        <f t="array" ref="C371">IFERROR(IF(A371="","",IF(ISNUMBER(MATCH(TRUE,ISNUMBER(SEARCH($Q$2:$Q$51, $A371)),0))=TRUE,"United States of America",INDEX($S$2:$S$199,MATCH(TRUE,ISNUMBER(SEARCH($S$2:$S$199, $A371)),0)))),"United States of America")</f>
        <v/>
      </c>
      <c r="D371" s="108" t="str">
        <f t="array" ref="D371">IF(A371="","",IF(ISNUMBER(MATCH(TRUE,ISNUMBER(SEARCH($Q$2:$Q$51, $A371)),0))=TRUE,"",IF(ISNUMBER(MATCH(TRUE,ISNUMBER(SEARCH($S$2:$S$199, $A371)),0))=TRUE,"","미국 확인 필요")))</f>
        <v/>
      </c>
    </row>
    <row r="372" spans="3:4">
      <c r="C372" s="108" t="str">
        <f t="array" ref="C372">IFERROR(IF(A372="","",IF(ISNUMBER(MATCH(TRUE,ISNUMBER(SEARCH($Q$2:$Q$51, $A372)),0))=TRUE,"United States of America",INDEX($S$2:$S$199,MATCH(TRUE,ISNUMBER(SEARCH($S$2:$S$199, $A372)),0)))),"United States of America")</f>
        <v/>
      </c>
      <c r="D372" s="108" t="str">
        <f t="array" ref="D372">IF(A372="","",IF(ISNUMBER(MATCH(TRUE,ISNUMBER(SEARCH($Q$2:$Q$51, $A372)),0))=TRUE,"",IF(ISNUMBER(MATCH(TRUE,ISNUMBER(SEARCH($S$2:$S$199, $A372)),0))=TRUE,"","미국 확인 필요")))</f>
        <v/>
      </c>
    </row>
    <row r="373" spans="3:4">
      <c r="C373" s="108" t="str">
        <f t="array" ref="C373">IFERROR(IF(A373="","",IF(ISNUMBER(MATCH(TRUE,ISNUMBER(SEARCH($Q$2:$Q$51, $A373)),0))=TRUE,"United States of America",INDEX($S$2:$S$199,MATCH(TRUE,ISNUMBER(SEARCH($S$2:$S$199, $A373)),0)))),"United States of America")</f>
        <v/>
      </c>
      <c r="D373" s="108" t="str">
        <f t="array" ref="D373">IF(A373="","",IF(ISNUMBER(MATCH(TRUE,ISNUMBER(SEARCH($Q$2:$Q$51, $A373)),0))=TRUE,"",IF(ISNUMBER(MATCH(TRUE,ISNUMBER(SEARCH($S$2:$S$199, $A373)),0))=TRUE,"","미국 확인 필요")))</f>
        <v/>
      </c>
    </row>
    <row r="374" spans="3:4">
      <c r="C374" s="108" t="str">
        <f t="array" ref="C374">IFERROR(IF(A374="","",IF(ISNUMBER(MATCH(TRUE,ISNUMBER(SEARCH($Q$2:$Q$51, $A374)),0))=TRUE,"United States of America",INDEX($S$2:$S$199,MATCH(TRUE,ISNUMBER(SEARCH($S$2:$S$199, $A374)),0)))),"United States of America")</f>
        <v/>
      </c>
      <c r="D374" s="108" t="str">
        <f t="array" ref="D374">IF(A374="","",IF(ISNUMBER(MATCH(TRUE,ISNUMBER(SEARCH($Q$2:$Q$51, $A374)),0))=TRUE,"",IF(ISNUMBER(MATCH(TRUE,ISNUMBER(SEARCH($S$2:$S$199, $A374)),0))=TRUE,"","미국 확인 필요")))</f>
        <v/>
      </c>
    </row>
    <row r="375" spans="3:4">
      <c r="C375" s="108" t="str">
        <f t="array" ref="C375">IFERROR(IF(A375="","",IF(ISNUMBER(MATCH(TRUE,ISNUMBER(SEARCH($Q$2:$Q$51, $A375)),0))=TRUE,"United States of America",INDEX($S$2:$S$199,MATCH(TRUE,ISNUMBER(SEARCH($S$2:$S$199, $A375)),0)))),"United States of America")</f>
        <v/>
      </c>
      <c r="D375" s="108" t="str">
        <f t="array" ref="D375">IF(A375="","",IF(ISNUMBER(MATCH(TRUE,ISNUMBER(SEARCH($Q$2:$Q$51, $A375)),0))=TRUE,"",IF(ISNUMBER(MATCH(TRUE,ISNUMBER(SEARCH($S$2:$S$199, $A375)),0))=TRUE,"","미국 확인 필요")))</f>
        <v/>
      </c>
    </row>
    <row r="376" spans="3:4">
      <c r="C376" s="108" t="str">
        <f t="array" ref="C376">IFERROR(IF(A376="","",IF(ISNUMBER(MATCH(TRUE,ISNUMBER(SEARCH($Q$2:$Q$51, $A376)),0))=TRUE,"United States of America",INDEX($S$2:$S$199,MATCH(TRUE,ISNUMBER(SEARCH($S$2:$S$199, $A376)),0)))),"United States of America")</f>
        <v/>
      </c>
      <c r="D376" s="108" t="str">
        <f t="array" ref="D376">IF(A376="","",IF(ISNUMBER(MATCH(TRUE,ISNUMBER(SEARCH($Q$2:$Q$51, $A376)),0))=TRUE,"",IF(ISNUMBER(MATCH(TRUE,ISNUMBER(SEARCH($S$2:$S$199, $A376)),0))=TRUE,"","미국 확인 필요")))</f>
        <v/>
      </c>
    </row>
    <row r="377" spans="3:4">
      <c r="C377" s="108" t="str">
        <f t="array" ref="C377">IFERROR(IF(A377="","",IF(ISNUMBER(MATCH(TRUE,ISNUMBER(SEARCH($Q$2:$Q$51, $A377)),0))=TRUE,"United States of America",INDEX($S$2:$S$199,MATCH(TRUE,ISNUMBER(SEARCH($S$2:$S$199, $A377)),0)))),"United States of America")</f>
        <v/>
      </c>
      <c r="D377" s="108" t="str">
        <f t="array" ref="D377">IF(A377="","",IF(ISNUMBER(MATCH(TRUE,ISNUMBER(SEARCH($Q$2:$Q$51, $A377)),0))=TRUE,"",IF(ISNUMBER(MATCH(TRUE,ISNUMBER(SEARCH($S$2:$S$199, $A377)),0))=TRUE,"","미국 확인 필요")))</f>
        <v/>
      </c>
    </row>
    <row r="378" spans="3:4">
      <c r="C378" s="108" t="str">
        <f t="array" ref="C378">IFERROR(IF(A378="","",IF(ISNUMBER(MATCH(TRUE,ISNUMBER(SEARCH($Q$2:$Q$51, $A378)),0))=TRUE,"United States of America",INDEX($S$2:$S$199,MATCH(TRUE,ISNUMBER(SEARCH($S$2:$S$199, $A378)),0)))),"United States of America")</f>
        <v/>
      </c>
      <c r="D378" s="108" t="str">
        <f t="array" ref="D378">IF(A378="","",IF(ISNUMBER(MATCH(TRUE,ISNUMBER(SEARCH($Q$2:$Q$51, $A378)),0))=TRUE,"",IF(ISNUMBER(MATCH(TRUE,ISNUMBER(SEARCH($S$2:$S$199, $A378)),0))=TRUE,"","미국 확인 필요")))</f>
        <v/>
      </c>
    </row>
    <row r="379" spans="3:4">
      <c r="C379" s="108" t="str">
        <f t="array" ref="C379">IFERROR(IF(A379="","",IF(ISNUMBER(MATCH(TRUE,ISNUMBER(SEARCH($Q$2:$Q$51, $A379)),0))=TRUE,"United States of America",INDEX($S$2:$S$199,MATCH(TRUE,ISNUMBER(SEARCH($S$2:$S$199, $A379)),0)))),"United States of America")</f>
        <v/>
      </c>
      <c r="D379" s="108" t="str">
        <f t="array" ref="D379">IF(A379="","",IF(ISNUMBER(MATCH(TRUE,ISNUMBER(SEARCH($Q$2:$Q$51, $A379)),0))=TRUE,"",IF(ISNUMBER(MATCH(TRUE,ISNUMBER(SEARCH($S$2:$S$199, $A379)),0))=TRUE,"","미국 확인 필요")))</f>
        <v/>
      </c>
    </row>
    <row r="380" spans="3:4">
      <c r="C380" s="108" t="str">
        <f t="array" ref="C380">IFERROR(IF(A380="","",IF(ISNUMBER(MATCH(TRUE,ISNUMBER(SEARCH($Q$2:$Q$51, $A380)),0))=TRUE,"United States of America",INDEX($S$2:$S$199,MATCH(TRUE,ISNUMBER(SEARCH($S$2:$S$199, $A380)),0)))),"United States of America")</f>
        <v/>
      </c>
      <c r="D380" s="108" t="str">
        <f t="array" ref="D380">IF(A380="","",IF(ISNUMBER(MATCH(TRUE,ISNUMBER(SEARCH($Q$2:$Q$51, $A380)),0))=TRUE,"",IF(ISNUMBER(MATCH(TRUE,ISNUMBER(SEARCH($S$2:$S$199, $A380)),0))=TRUE,"","미국 확인 필요")))</f>
        <v/>
      </c>
    </row>
    <row r="381" spans="3:4">
      <c r="C381" s="108" t="str">
        <f t="array" ref="C381">IFERROR(IF(A381="","",IF(ISNUMBER(MATCH(TRUE,ISNUMBER(SEARCH($Q$2:$Q$51, $A381)),0))=TRUE,"United States of America",INDEX($S$2:$S$199,MATCH(TRUE,ISNUMBER(SEARCH($S$2:$S$199, $A381)),0)))),"United States of America")</f>
        <v/>
      </c>
      <c r="D381" s="108" t="str">
        <f t="array" ref="D381">IF(A381="","",IF(ISNUMBER(MATCH(TRUE,ISNUMBER(SEARCH($Q$2:$Q$51, $A381)),0))=TRUE,"",IF(ISNUMBER(MATCH(TRUE,ISNUMBER(SEARCH($S$2:$S$199, $A381)),0))=TRUE,"","미국 확인 필요")))</f>
        <v/>
      </c>
    </row>
    <row r="382" spans="3:4">
      <c r="C382" s="108" t="str">
        <f t="array" ref="C382">IFERROR(IF(A382="","",IF(ISNUMBER(MATCH(TRUE,ISNUMBER(SEARCH($Q$2:$Q$51, $A382)),0))=TRUE,"United States of America",INDEX($S$2:$S$199,MATCH(TRUE,ISNUMBER(SEARCH($S$2:$S$199, $A382)),0)))),"United States of America")</f>
        <v/>
      </c>
      <c r="D382" s="108" t="str">
        <f t="array" ref="D382">IF(A382="","",IF(ISNUMBER(MATCH(TRUE,ISNUMBER(SEARCH($Q$2:$Q$51, $A382)),0))=TRUE,"",IF(ISNUMBER(MATCH(TRUE,ISNUMBER(SEARCH($S$2:$S$199, $A382)),0))=TRUE,"","미국 확인 필요")))</f>
        <v/>
      </c>
    </row>
    <row r="383" spans="3:4">
      <c r="C383" s="108" t="str">
        <f t="array" ref="C383">IFERROR(IF(A383="","",IF(ISNUMBER(MATCH(TRUE,ISNUMBER(SEARCH($Q$2:$Q$51, $A383)),0))=TRUE,"United States of America",INDEX($S$2:$S$199,MATCH(TRUE,ISNUMBER(SEARCH($S$2:$S$199, $A383)),0)))),"United States of America")</f>
        <v/>
      </c>
      <c r="D383" s="108" t="str">
        <f t="array" ref="D383">IF(A383="","",IF(ISNUMBER(MATCH(TRUE,ISNUMBER(SEARCH($Q$2:$Q$51, $A383)),0))=TRUE,"",IF(ISNUMBER(MATCH(TRUE,ISNUMBER(SEARCH($S$2:$S$199, $A383)),0))=TRUE,"","미국 확인 필요")))</f>
        <v/>
      </c>
    </row>
    <row r="384" spans="3:4">
      <c r="C384" s="108" t="str">
        <f t="array" ref="C384">IFERROR(IF(A384="","",IF(ISNUMBER(MATCH(TRUE,ISNUMBER(SEARCH($Q$2:$Q$51, $A384)),0))=TRUE,"United States of America",INDEX($S$2:$S$199,MATCH(TRUE,ISNUMBER(SEARCH($S$2:$S$199, $A384)),0)))),"United States of America")</f>
        <v/>
      </c>
      <c r="D384" s="108" t="str">
        <f t="array" ref="D384">IF(A384="","",IF(ISNUMBER(MATCH(TRUE,ISNUMBER(SEARCH($Q$2:$Q$51, $A384)),0))=TRUE,"",IF(ISNUMBER(MATCH(TRUE,ISNUMBER(SEARCH($S$2:$S$199, $A384)),0))=TRUE,"","미국 확인 필요")))</f>
        <v/>
      </c>
    </row>
    <row r="385" spans="3:4">
      <c r="C385" s="108" t="str">
        <f t="array" ref="C385">IFERROR(IF(A385="","",IF(ISNUMBER(MATCH(TRUE,ISNUMBER(SEARCH($Q$2:$Q$51, $A385)),0))=TRUE,"United States of America",INDEX($S$2:$S$199,MATCH(TRUE,ISNUMBER(SEARCH($S$2:$S$199, $A385)),0)))),"United States of America")</f>
        <v/>
      </c>
      <c r="D385" s="108" t="str">
        <f t="array" ref="D385">IF(A385="","",IF(ISNUMBER(MATCH(TRUE,ISNUMBER(SEARCH($Q$2:$Q$51, $A385)),0))=TRUE,"",IF(ISNUMBER(MATCH(TRUE,ISNUMBER(SEARCH($S$2:$S$199, $A385)),0))=TRUE,"","미국 확인 필요")))</f>
        <v/>
      </c>
    </row>
    <row r="386" spans="3:4">
      <c r="C386" s="108" t="str">
        <f t="array" ref="C386">IFERROR(IF(A386="","",IF(ISNUMBER(MATCH(TRUE,ISNUMBER(SEARCH($Q$2:$Q$51, $A386)),0))=TRUE,"United States of America",INDEX($S$2:$S$199,MATCH(TRUE,ISNUMBER(SEARCH($S$2:$S$199, $A386)),0)))),"United States of America")</f>
        <v/>
      </c>
      <c r="D386" s="108" t="str">
        <f t="array" ref="D386">IF(A386="","",IF(ISNUMBER(MATCH(TRUE,ISNUMBER(SEARCH($Q$2:$Q$51, $A386)),0))=TRUE,"",IF(ISNUMBER(MATCH(TRUE,ISNUMBER(SEARCH($S$2:$S$199, $A386)),0))=TRUE,"","미국 확인 필요")))</f>
        <v/>
      </c>
    </row>
    <row r="387" spans="3:4">
      <c r="C387" s="108" t="str">
        <f t="array" ref="C387">IFERROR(IF(A387="","",IF(ISNUMBER(MATCH(TRUE,ISNUMBER(SEARCH($Q$2:$Q$51, $A387)),0))=TRUE,"United States of America",INDEX($S$2:$S$199,MATCH(TRUE,ISNUMBER(SEARCH($S$2:$S$199, $A387)),0)))),"United States of America")</f>
        <v/>
      </c>
      <c r="D387" s="108" t="str">
        <f t="array" ref="D387">IF(A387="","",IF(ISNUMBER(MATCH(TRUE,ISNUMBER(SEARCH($Q$2:$Q$51, $A387)),0))=TRUE,"",IF(ISNUMBER(MATCH(TRUE,ISNUMBER(SEARCH($S$2:$S$199, $A387)),0))=TRUE,"","미국 확인 필요")))</f>
        <v/>
      </c>
    </row>
    <row r="388" spans="3:4">
      <c r="C388" s="108" t="str">
        <f t="array" ref="C388">IFERROR(IF(A388="","",IF(ISNUMBER(MATCH(TRUE,ISNUMBER(SEARCH($Q$2:$Q$51, $A388)),0))=TRUE,"United States of America",INDEX($S$2:$S$199,MATCH(TRUE,ISNUMBER(SEARCH($S$2:$S$199, $A388)),0)))),"United States of America")</f>
        <v/>
      </c>
      <c r="D388" s="108" t="str">
        <f t="array" ref="D388">IF(A388="","",IF(ISNUMBER(MATCH(TRUE,ISNUMBER(SEARCH($Q$2:$Q$51, $A388)),0))=TRUE,"",IF(ISNUMBER(MATCH(TRUE,ISNUMBER(SEARCH($S$2:$S$199, $A388)),0))=TRUE,"","미국 확인 필요")))</f>
        <v/>
      </c>
    </row>
    <row r="389" spans="3:4">
      <c r="C389" s="108" t="str">
        <f t="array" ref="C389">IFERROR(IF(A389="","",IF(ISNUMBER(MATCH(TRUE,ISNUMBER(SEARCH($Q$2:$Q$51, $A389)),0))=TRUE,"United States of America",INDEX($S$2:$S$199,MATCH(TRUE,ISNUMBER(SEARCH($S$2:$S$199, $A389)),0)))),"United States of America")</f>
        <v/>
      </c>
      <c r="D389" s="108" t="str">
        <f t="array" ref="D389">IF(A389="","",IF(ISNUMBER(MATCH(TRUE,ISNUMBER(SEARCH($Q$2:$Q$51, $A389)),0))=TRUE,"",IF(ISNUMBER(MATCH(TRUE,ISNUMBER(SEARCH($S$2:$S$199, $A389)),0))=TRUE,"","미국 확인 필요")))</f>
        <v/>
      </c>
    </row>
    <row r="390" spans="3:4">
      <c r="C390" s="108" t="str">
        <f t="array" ref="C390">IFERROR(IF(A390="","",IF(ISNUMBER(MATCH(TRUE,ISNUMBER(SEARCH($Q$2:$Q$51, $A390)),0))=TRUE,"United States of America",INDEX($S$2:$S$199,MATCH(TRUE,ISNUMBER(SEARCH($S$2:$S$199, $A390)),0)))),"United States of America")</f>
        <v/>
      </c>
      <c r="D390" s="108" t="str">
        <f t="array" ref="D390">IF(A390="","",IF(ISNUMBER(MATCH(TRUE,ISNUMBER(SEARCH($Q$2:$Q$51, $A390)),0))=TRUE,"",IF(ISNUMBER(MATCH(TRUE,ISNUMBER(SEARCH($S$2:$S$199, $A390)),0))=TRUE,"","미국 확인 필요")))</f>
        <v/>
      </c>
    </row>
    <row r="391" spans="3:4">
      <c r="C391" s="108" t="str">
        <f t="array" ref="C391">IFERROR(IF(A391="","",IF(ISNUMBER(MATCH(TRUE,ISNUMBER(SEARCH($Q$2:$Q$51, $A391)),0))=TRUE,"United States of America",INDEX($S$2:$S$199,MATCH(TRUE,ISNUMBER(SEARCH($S$2:$S$199, $A391)),0)))),"United States of America")</f>
        <v/>
      </c>
      <c r="D391" s="108" t="str">
        <f t="array" ref="D391">IF(A391="","",IF(ISNUMBER(MATCH(TRUE,ISNUMBER(SEARCH($Q$2:$Q$51, $A391)),0))=TRUE,"",IF(ISNUMBER(MATCH(TRUE,ISNUMBER(SEARCH($S$2:$S$199, $A391)),0))=TRUE,"","미국 확인 필요")))</f>
        <v/>
      </c>
    </row>
    <row r="392" spans="3:4">
      <c r="C392" s="108" t="str">
        <f t="array" ref="C392">IFERROR(IF(A392="","",IF(ISNUMBER(MATCH(TRUE,ISNUMBER(SEARCH($Q$2:$Q$51, $A392)),0))=TRUE,"United States of America",INDEX($S$2:$S$199,MATCH(TRUE,ISNUMBER(SEARCH($S$2:$S$199, $A392)),0)))),"United States of America")</f>
        <v/>
      </c>
      <c r="D392" s="108" t="str">
        <f t="array" ref="D392">IF(A392="","",IF(ISNUMBER(MATCH(TRUE,ISNUMBER(SEARCH($Q$2:$Q$51, $A392)),0))=TRUE,"",IF(ISNUMBER(MATCH(TRUE,ISNUMBER(SEARCH($S$2:$S$199, $A392)),0))=TRUE,"","미국 확인 필요")))</f>
        <v/>
      </c>
    </row>
    <row r="393" spans="3:4">
      <c r="C393" s="108" t="str">
        <f t="array" ref="C393">IFERROR(IF(A393="","",IF(ISNUMBER(MATCH(TRUE,ISNUMBER(SEARCH($Q$2:$Q$51, $A393)),0))=TRUE,"United States of America",INDEX($S$2:$S$199,MATCH(TRUE,ISNUMBER(SEARCH($S$2:$S$199, $A393)),0)))),"United States of America")</f>
        <v/>
      </c>
      <c r="D393" s="108" t="str">
        <f t="array" ref="D393">IF(A393="","",IF(ISNUMBER(MATCH(TRUE,ISNUMBER(SEARCH($Q$2:$Q$51, $A393)),0))=TRUE,"",IF(ISNUMBER(MATCH(TRUE,ISNUMBER(SEARCH($S$2:$S$199, $A393)),0))=TRUE,"","미국 확인 필요")))</f>
        <v/>
      </c>
    </row>
    <row r="394" spans="3:4">
      <c r="C394" s="108" t="str">
        <f t="array" ref="C394">IFERROR(IF(A394="","",IF(ISNUMBER(MATCH(TRUE,ISNUMBER(SEARCH($Q$2:$Q$51, $A394)),0))=TRUE,"United States of America",INDEX($S$2:$S$199,MATCH(TRUE,ISNUMBER(SEARCH($S$2:$S$199, $A394)),0)))),"United States of America")</f>
        <v/>
      </c>
      <c r="D394" s="108" t="str">
        <f t="array" ref="D394">IF(A394="","",IF(ISNUMBER(MATCH(TRUE,ISNUMBER(SEARCH($Q$2:$Q$51, $A394)),0))=TRUE,"",IF(ISNUMBER(MATCH(TRUE,ISNUMBER(SEARCH($S$2:$S$199, $A394)),0))=TRUE,"","미국 확인 필요")))</f>
        <v/>
      </c>
    </row>
    <row r="395" spans="3:4">
      <c r="C395" s="108" t="str">
        <f t="array" ref="C395">IFERROR(IF(A395="","",IF(ISNUMBER(MATCH(TRUE,ISNUMBER(SEARCH($Q$2:$Q$51, $A395)),0))=TRUE,"United States of America",INDEX($S$2:$S$199,MATCH(TRUE,ISNUMBER(SEARCH($S$2:$S$199, $A395)),0)))),"United States of America")</f>
        <v/>
      </c>
      <c r="D395" s="108" t="str">
        <f t="array" ref="D395">IF(A395="","",IF(ISNUMBER(MATCH(TRUE,ISNUMBER(SEARCH($Q$2:$Q$51, $A395)),0))=TRUE,"",IF(ISNUMBER(MATCH(TRUE,ISNUMBER(SEARCH($S$2:$S$199, $A395)),0))=TRUE,"","미국 확인 필요")))</f>
        <v/>
      </c>
    </row>
    <row r="396" spans="3:4">
      <c r="C396" s="108" t="str">
        <f t="array" ref="C396">IFERROR(IF(A396="","",IF(ISNUMBER(MATCH(TRUE,ISNUMBER(SEARCH($Q$2:$Q$51, $A396)),0))=TRUE,"United States of America",INDEX($S$2:$S$199,MATCH(TRUE,ISNUMBER(SEARCH($S$2:$S$199, $A396)),0)))),"United States of America")</f>
        <v/>
      </c>
      <c r="D396" s="108" t="str">
        <f t="array" ref="D396">IF(A396="","",IF(ISNUMBER(MATCH(TRUE,ISNUMBER(SEARCH($Q$2:$Q$51, $A396)),0))=TRUE,"",IF(ISNUMBER(MATCH(TRUE,ISNUMBER(SEARCH($S$2:$S$199, $A396)),0))=TRUE,"","미국 확인 필요")))</f>
        <v/>
      </c>
    </row>
    <row r="397" spans="3:4">
      <c r="C397" s="108" t="str">
        <f t="array" ref="C397">IFERROR(IF(A397="","",IF(ISNUMBER(MATCH(TRUE,ISNUMBER(SEARCH($Q$2:$Q$51, $A397)),0))=TRUE,"United States of America",INDEX($S$2:$S$199,MATCH(TRUE,ISNUMBER(SEARCH($S$2:$S$199, $A397)),0)))),"United States of America")</f>
        <v/>
      </c>
      <c r="D397" s="108" t="str">
        <f t="array" ref="D397">IF(A397="","",IF(ISNUMBER(MATCH(TRUE,ISNUMBER(SEARCH($Q$2:$Q$51, $A397)),0))=TRUE,"",IF(ISNUMBER(MATCH(TRUE,ISNUMBER(SEARCH($S$2:$S$199, $A397)),0))=TRUE,"","미국 확인 필요")))</f>
        <v/>
      </c>
    </row>
    <row r="398" spans="3:4">
      <c r="C398" s="108" t="str">
        <f t="array" ref="C398">IFERROR(IF(A398="","",IF(ISNUMBER(MATCH(TRUE,ISNUMBER(SEARCH($Q$2:$Q$51, $A398)),0))=TRUE,"United States of America",INDEX($S$2:$S$199,MATCH(TRUE,ISNUMBER(SEARCH($S$2:$S$199, $A398)),0)))),"United States of America")</f>
        <v/>
      </c>
      <c r="D398" s="108" t="str">
        <f t="array" ref="D398">IF(A398="","",IF(ISNUMBER(MATCH(TRUE,ISNUMBER(SEARCH($Q$2:$Q$51, $A398)),0))=TRUE,"",IF(ISNUMBER(MATCH(TRUE,ISNUMBER(SEARCH($S$2:$S$199, $A398)),0))=TRUE,"","미국 확인 필요")))</f>
        <v/>
      </c>
    </row>
    <row r="399" spans="3:4">
      <c r="C399" s="108" t="str">
        <f t="array" ref="C399">IFERROR(IF(A399="","",IF(ISNUMBER(MATCH(TRUE,ISNUMBER(SEARCH($Q$2:$Q$51, $A399)),0))=TRUE,"United States of America",INDEX($S$2:$S$199,MATCH(TRUE,ISNUMBER(SEARCH($S$2:$S$199, $A399)),0)))),"United States of America")</f>
        <v/>
      </c>
      <c r="D399" s="108" t="str">
        <f t="array" ref="D399">IF(A399="","",IF(ISNUMBER(MATCH(TRUE,ISNUMBER(SEARCH($Q$2:$Q$51, $A399)),0))=TRUE,"",IF(ISNUMBER(MATCH(TRUE,ISNUMBER(SEARCH($S$2:$S$199, $A399)),0))=TRUE,"","미국 확인 필요")))</f>
        <v/>
      </c>
    </row>
    <row r="400" spans="3:4">
      <c r="C400" s="108" t="str">
        <f t="array" ref="C400">IFERROR(IF(A400="","",IF(ISNUMBER(MATCH(TRUE,ISNUMBER(SEARCH($Q$2:$Q$51, $A400)),0))=TRUE,"United States of America",INDEX($S$2:$S$199,MATCH(TRUE,ISNUMBER(SEARCH($S$2:$S$199, $A400)),0)))),"United States of America")</f>
        <v/>
      </c>
      <c r="D400" s="108" t="str">
        <f t="array" ref="D400">IF(A400="","",IF(ISNUMBER(MATCH(TRUE,ISNUMBER(SEARCH($Q$2:$Q$51, $A400)),0))=TRUE,"",IF(ISNUMBER(MATCH(TRUE,ISNUMBER(SEARCH($S$2:$S$199, $A400)),0))=TRUE,"","미국 확인 필요")))</f>
        <v/>
      </c>
    </row>
    <row r="401" spans="3:4">
      <c r="C401" s="108" t="str">
        <f t="array" ref="C401">IFERROR(IF(A401="","",IF(ISNUMBER(MATCH(TRUE,ISNUMBER(SEARCH($Q$2:$Q$51, $A401)),0))=TRUE,"United States of America",INDEX($S$2:$S$199,MATCH(TRUE,ISNUMBER(SEARCH($S$2:$S$199, $A401)),0)))),"United States of America")</f>
        <v/>
      </c>
      <c r="D401" s="108" t="str">
        <f t="array" ref="D401">IF(A401="","",IF(ISNUMBER(MATCH(TRUE,ISNUMBER(SEARCH($Q$2:$Q$51, $A401)),0))=TRUE,"",IF(ISNUMBER(MATCH(TRUE,ISNUMBER(SEARCH($S$2:$S$199, $A401)),0))=TRUE,"","미국 확인 필요")))</f>
        <v/>
      </c>
    </row>
    <row r="402" spans="3:4">
      <c r="C402" s="108" t="str">
        <f t="array" ref="C402">IFERROR(IF(A402="","",IF(ISNUMBER(MATCH(TRUE,ISNUMBER(SEARCH($Q$2:$Q$51, $A402)),0))=TRUE,"United States of America",INDEX($S$2:$S$199,MATCH(TRUE,ISNUMBER(SEARCH($S$2:$S$199, $A402)),0)))),"United States of America")</f>
        <v/>
      </c>
      <c r="D402" s="108" t="str">
        <f t="array" ref="D402">IF(A402="","",IF(ISNUMBER(MATCH(TRUE,ISNUMBER(SEARCH($Q$2:$Q$51, $A402)),0))=TRUE,"",IF(ISNUMBER(MATCH(TRUE,ISNUMBER(SEARCH($S$2:$S$199, $A402)),0))=TRUE,"","미국 확인 필요")))</f>
        <v/>
      </c>
    </row>
    <row r="403" spans="3:4">
      <c r="C403" s="108" t="str">
        <f t="array" ref="C403">IFERROR(IF(A403="","",IF(ISNUMBER(MATCH(TRUE,ISNUMBER(SEARCH($Q$2:$Q$51, $A403)),0))=TRUE,"United States of America",INDEX($S$2:$S$199,MATCH(TRUE,ISNUMBER(SEARCH($S$2:$S$199, $A403)),0)))),"United States of America")</f>
        <v/>
      </c>
      <c r="D403" s="108" t="str">
        <f t="array" ref="D403">IF(A403="","",IF(ISNUMBER(MATCH(TRUE,ISNUMBER(SEARCH($Q$2:$Q$51, $A403)),0))=TRUE,"",IF(ISNUMBER(MATCH(TRUE,ISNUMBER(SEARCH($S$2:$S$199, $A403)),0))=TRUE,"","미국 확인 필요")))</f>
        <v/>
      </c>
    </row>
    <row r="404" spans="3:4">
      <c r="C404" s="108" t="str">
        <f t="array" ref="C404">IFERROR(IF(A404="","",IF(ISNUMBER(MATCH(TRUE,ISNUMBER(SEARCH($Q$2:$Q$51, $A404)),0))=TRUE,"United States of America",INDEX($S$2:$S$199,MATCH(TRUE,ISNUMBER(SEARCH($S$2:$S$199, $A404)),0)))),"United States of America")</f>
        <v/>
      </c>
      <c r="D404" s="108" t="str">
        <f t="array" ref="D404">IF(A404="","",IF(ISNUMBER(MATCH(TRUE,ISNUMBER(SEARCH($Q$2:$Q$51, $A404)),0))=TRUE,"",IF(ISNUMBER(MATCH(TRUE,ISNUMBER(SEARCH($S$2:$S$199, $A404)),0))=TRUE,"","미국 확인 필요")))</f>
        <v/>
      </c>
    </row>
    <row r="405" spans="3:4">
      <c r="C405" s="108" t="str">
        <f t="array" ref="C405">IFERROR(IF(A405="","",IF(ISNUMBER(MATCH(TRUE,ISNUMBER(SEARCH($Q$2:$Q$51, $A405)),0))=TRUE,"United States of America",INDEX($S$2:$S$199,MATCH(TRUE,ISNUMBER(SEARCH($S$2:$S$199, $A405)),0)))),"United States of America")</f>
        <v/>
      </c>
      <c r="D405" s="108" t="str">
        <f t="array" ref="D405">IF(A405="","",IF(ISNUMBER(MATCH(TRUE,ISNUMBER(SEARCH($Q$2:$Q$51, $A405)),0))=TRUE,"",IF(ISNUMBER(MATCH(TRUE,ISNUMBER(SEARCH($S$2:$S$199, $A405)),0))=TRUE,"","미국 확인 필요")))</f>
        <v/>
      </c>
    </row>
    <row r="406" spans="3:4">
      <c r="C406" s="108" t="str">
        <f t="array" ref="C406">IFERROR(IF(A406="","",IF(ISNUMBER(MATCH(TRUE,ISNUMBER(SEARCH($Q$2:$Q$51, $A406)),0))=TRUE,"United States of America",INDEX($S$2:$S$199,MATCH(TRUE,ISNUMBER(SEARCH($S$2:$S$199, $A406)),0)))),"United States of America")</f>
        <v/>
      </c>
      <c r="D406" s="108" t="str">
        <f t="array" ref="D406">IF(A406="","",IF(ISNUMBER(MATCH(TRUE,ISNUMBER(SEARCH($Q$2:$Q$51, $A406)),0))=TRUE,"",IF(ISNUMBER(MATCH(TRUE,ISNUMBER(SEARCH($S$2:$S$199, $A406)),0))=TRUE,"","미국 확인 필요")))</f>
        <v/>
      </c>
    </row>
    <row r="407" spans="3:4">
      <c r="C407" s="108" t="str">
        <f t="array" ref="C407">IFERROR(IF(A407="","",IF(ISNUMBER(MATCH(TRUE,ISNUMBER(SEARCH($Q$2:$Q$51, $A407)),0))=TRUE,"United States of America",INDEX($S$2:$S$199,MATCH(TRUE,ISNUMBER(SEARCH($S$2:$S$199, $A407)),0)))),"United States of America")</f>
        <v/>
      </c>
      <c r="D407" s="108" t="str">
        <f t="array" ref="D407">IF(A407="","",IF(ISNUMBER(MATCH(TRUE,ISNUMBER(SEARCH($Q$2:$Q$51, $A407)),0))=TRUE,"",IF(ISNUMBER(MATCH(TRUE,ISNUMBER(SEARCH($S$2:$S$199, $A407)),0))=TRUE,"","미국 확인 필요")))</f>
        <v/>
      </c>
    </row>
    <row r="408" spans="3:4">
      <c r="C408" s="108" t="str">
        <f t="array" ref="C408">IFERROR(IF(A408="","",IF(ISNUMBER(MATCH(TRUE,ISNUMBER(SEARCH($Q$2:$Q$51, $A408)),0))=TRUE,"United States of America",INDEX($S$2:$S$199,MATCH(TRUE,ISNUMBER(SEARCH($S$2:$S$199, $A408)),0)))),"United States of America")</f>
        <v/>
      </c>
      <c r="D408" s="108" t="str">
        <f t="array" ref="D408">IF(A408="","",IF(ISNUMBER(MATCH(TRUE,ISNUMBER(SEARCH($Q$2:$Q$51, $A408)),0))=TRUE,"",IF(ISNUMBER(MATCH(TRUE,ISNUMBER(SEARCH($S$2:$S$199, $A408)),0))=TRUE,"","미국 확인 필요")))</f>
        <v/>
      </c>
    </row>
    <row r="409" spans="3:4">
      <c r="C409" s="108" t="str">
        <f t="array" ref="C409">IFERROR(IF(A409="","",IF(ISNUMBER(MATCH(TRUE,ISNUMBER(SEARCH($Q$2:$Q$51, $A409)),0))=TRUE,"United States of America",INDEX($S$2:$S$199,MATCH(TRUE,ISNUMBER(SEARCH($S$2:$S$199, $A409)),0)))),"United States of America")</f>
        <v/>
      </c>
      <c r="D409" s="108" t="str">
        <f t="array" ref="D409">IF(A409="","",IF(ISNUMBER(MATCH(TRUE,ISNUMBER(SEARCH($Q$2:$Q$51, $A409)),0))=TRUE,"",IF(ISNUMBER(MATCH(TRUE,ISNUMBER(SEARCH($S$2:$S$199, $A409)),0))=TRUE,"","미국 확인 필요")))</f>
        <v/>
      </c>
    </row>
    <row r="410" spans="3:4">
      <c r="C410" s="108" t="str">
        <f t="array" ref="C410">IFERROR(IF(A410="","",IF(ISNUMBER(MATCH(TRUE,ISNUMBER(SEARCH($Q$2:$Q$51, $A410)),0))=TRUE,"United States of America",INDEX($S$2:$S$199,MATCH(TRUE,ISNUMBER(SEARCH($S$2:$S$199, $A410)),0)))),"United States of America")</f>
        <v/>
      </c>
      <c r="D410" s="108" t="str">
        <f t="array" ref="D410">IF(A410="","",IF(ISNUMBER(MATCH(TRUE,ISNUMBER(SEARCH($Q$2:$Q$51, $A410)),0))=TRUE,"",IF(ISNUMBER(MATCH(TRUE,ISNUMBER(SEARCH($S$2:$S$199, $A410)),0))=TRUE,"","미국 확인 필요")))</f>
        <v/>
      </c>
    </row>
    <row r="411" spans="3:4">
      <c r="C411" s="108" t="str">
        <f t="array" ref="C411">IFERROR(IF(A411="","",IF(ISNUMBER(MATCH(TRUE,ISNUMBER(SEARCH($Q$2:$Q$51, $A411)),0))=TRUE,"United States of America",INDEX($S$2:$S$199,MATCH(TRUE,ISNUMBER(SEARCH($S$2:$S$199, $A411)),0)))),"United States of America")</f>
        <v/>
      </c>
      <c r="D411" s="108" t="str">
        <f t="array" ref="D411">IF(A411="","",IF(ISNUMBER(MATCH(TRUE,ISNUMBER(SEARCH($Q$2:$Q$51, $A411)),0))=TRUE,"",IF(ISNUMBER(MATCH(TRUE,ISNUMBER(SEARCH($S$2:$S$199, $A411)),0))=TRUE,"","미국 확인 필요")))</f>
        <v/>
      </c>
    </row>
    <row r="412" spans="3:4">
      <c r="C412" s="108" t="str">
        <f t="array" ref="C412">IFERROR(IF(A412="","",IF(ISNUMBER(MATCH(TRUE,ISNUMBER(SEARCH($Q$2:$Q$51, $A412)),0))=TRUE,"United States of America",INDEX($S$2:$S$199,MATCH(TRUE,ISNUMBER(SEARCH($S$2:$S$199, $A412)),0)))),"United States of America")</f>
        <v/>
      </c>
      <c r="D412" s="108" t="str">
        <f t="array" ref="D412">IF(A412="","",IF(ISNUMBER(MATCH(TRUE,ISNUMBER(SEARCH($Q$2:$Q$51, $A412)),0))=TRUE,"",IF(ISNUMBER(MATCH(TRUE,ISNUMBER(SEARCH($S$2:$S$199, $A412)),0))=TRUE,"","미국 확인 필요")))</f>
        <v/>
      </c>
    </row>
    <row r="413" spans="3:4">
      <c r="C413" s="108" t="str">
        <f t="array" ref="C413">IFERROR(IF(A413="","",IF(ISNUMBER(MATCH(TRUE,ISNUMBER(SEARCH($Q$2:$Q$51, $A413)),0))=TRUE,"United States of America",INDEX($S$2:$S$199,MATCH(TRUE,ISNUMBER(SEARCH($S$2:$S$199, $A413)),0)))),"United States of America")</f>
        <v/>
      </c>
      <c r="D413" s="108" t="str">
        <f t="array" ref="D413">IF(A413="","",IF(ISNUMBER(MATCH(TRUE,ISNUMBER(SEARCH($Q$2:$Q$51, $A413)),0))=TRUE,"",IF(ISNUMBER(MATCH(TRUE,ISNUMBER(SEARCH($S$2:$S$199, $A413)),0))=TRUE,"","미국 확인 필요")))</f>
        <v/>
      </c>
    </row>
    <row r="414" spans="3:4">
      <c r="C414" s="108" t="str">
        <f t="array" ref="C414">IFERROR(IF(A414="","",IF(ISNUMBER(MATCH(TRUE,ISNUMBER(SEARCH($Q$2:$Q$51, $A414)),0))=TRUE,"United States of America",INDEX($S$2:$S$199,MATCH(TRUE,ISNUMBER(SEARCH($S$2:$S$199, $A414)),0)))),"United States of America")</f>
        <v/>
      </c>
      <c r="D414" s="108" t="str">
        <f t="array" ref="D414">IF(A414="","",IF(ISNUMBER(MATCH(TRUE,ISNUMBER(SEARCH($Q$2:$Q$51, $A414)),0))=TRUE,"",IF(ISNUMBER(MATCH(TRUE,ISNUMBER(SEARCH($S$2:$S$199, $A414)),0))=TRUE,"","미국 확인 필요")))</f>
        <v/>
      </c>
    </row>
    <row r="415" spans="3:4">
      <c r="C415" s="108" t="str">
        <f t="array" ref="C415">IFERROR(IF(A415="","",IF(ISNUMBER(MATCH(TRUE,ISNUMBER(SEARCH($Q$2:$Q$51, $A415)),0))=TRUE,"United States of America",INDEX($S$2:$S$199,MATCH(TRUE,ISNUMBER(SEARCH($S$2:$S$199, $A415)),0)))),"United States of America")</f>
        <v/>
      </c>
      <c r="D415" s="108" t="str">
        <f t="array" ref="D415">IF(A415="","",IF(ISNUMBER(MATCH(TRUE,ISNUMBER(SEARCH($Q$2:$Q$51, $A415)),0))=TRUE,"",IF(ISNUMBER(MATCH(TRUE,ISNUMBER(SEARCH($S$2:$S$199, $A415)),0))=TRUE,"","미국 확인 필요")))</f>
        <v/>
      </c>
    </row>
    <row r="416" spans="3:4">
      <c r="C416" s="108" t="str">
        <f t="array" ref="C416">IFERROR(IF(A416="","",IF(ISNUMBER(MATCH(TRUE,ISNUMBER(SEARCH($Q$2:$Q$51, $A416)),0))=TRUE,"United States of America",INDEX($S$2:$S$199,MATCH(TRUE,ISNUMBER(SEARCH($S$2:$S$199, $A416)),0)))),"United States of America")</f>
        <v/>
      </c>
      <c r="D416" s="108" t="str">
        <f t="array" ref="D416">IF(A416="","",IF(ISNUMBER(MATCH(TRUE,ISNUMBER(SEARCH($Q$2:$Q$51, $A416)),0))=TRUE,"",IF(ISNUMBER(MATCH(TRUE,ISNUMBER(SEARCH($S$2:$S$199, $A416)),0))=TRUE,"","미국 확인 필요")))</f>
        <v/>
      </c>
    </row>
    <row r="417" spans="3:4">
      <c r="C417" s="108" t="str">
        <f t="array" ref="C417">IFERROR(IF(A417="","",IF(ISNUMBER(MATCH(TRUE,ISNUMBER(SEARCH($Q$2:$Q$51, $A417)),0))=TRUE,"United States of America",INDEX($S$2:$S$199,MATCH(TRUE,ISNUMBER(SEARCH($S$2:$S$199, $A417)),0)))),"United States of America")</f>
        <v/>
      </c>
      <c r="D417" s="108" t="str">
        <f t="array" ref="D417">IF(A417="","",IF(ISNUMBER(MATCH(TRUE,ISNUMBER(SEARCH($Q$2:$Q$51, $A417)),0))=TRUE,"",IF(ISNUMBER(MATCH(TRUE,ISNUMBER(SEARCH($S$2:$S$199, $A417)),0))=TRUE,"","미국 확인 필요")))</f>
        <v/>
      </c>
    </row>
    <row r="418" spans="3:4">
      <c r="C418" s="108" t="str">
        <f t="array" ref="C418">IFERROR(IF(A418="","",IF(ISNUMBER(MATCH(TRUE,ISNUMBER(SEARCH($Q$2:$Q$51, $A418)),0))=TRUE,"United States of America",INDEX($S$2:$S$199,MATCH(TRUE,ISNUMBER(SEARCH($S$2:$S$199, $A418)),0)))),"United States of America")</f>
        <v/>
      </c>
      <c r="D418" s="108" t="str">
        <f t="array" ref="D418">IF(A418="","",IF(ISNUMBER(MATCH(TRUE,ISNUMBER(SEARCH($Q$2:$Q$51, $A418)),0))=TRUE,"",IF(ISNUMBER(MATCH(TRUE,ISNUMBER(SEARCH($S$2:$S$199, $A418)),0))=TRUE,"","미국 확인 필요")))</f>
        <v/>
      </c>
    </row>
    <row r="419" spans="3:4">
      <c r="C419" s="108" t="str">
        <f t="array" ref="C419">IFERROR(IF(A419="","",IF(ISNUMBER(MATCH(TRUE,ISNUMBER(SEARCH($Q$2:$Q$51, $A419)),0))=TRUE,"United States of America",INDEX($S$2:$S$199,MATCH(TRUE,ISNUMBER(SEARCH($S$2:$S$199, $A419)),0)))),"United States of America")</f>
        <v/>
      </c>
      <c r="D419" s="108" t="str">
        <f t="array" ref="D419">IF(A419="","",IF(ISNUMBER(MATCH(TRUE,ISNUMBER(SEARCH($Q$2:$Q$51, $A419)),0))=TRUE,"",IF(ISNUMBER(MATCH(TRUE,ISNUMBER(SEARCH($S$2:$S$199, $A419)),0))=TRUE,"","미국 확인 필요")))</f>
        <v/>
      </c>
    </row>
    <row r="420" spans="3:4">
      <c r="C420" s="108" t="str">
        <f t="array" ref="C420">IFERROR(IF(A420="","",IF(ISNUMBER(MATCH(TRUE,ISNUMBER(SEARCH($Q$2:$Q$51, $A420)),0))=TRUE,"United States of America",INDEX($S$2:$S$199,MATCH(TRUE,ISNUMBER(SEARCH($S$2:$S$199, $A420)),0)))),"United States of America")</f>
        <v/>
      </c>
      <c r="D420" s="108" t="str">
        <f t="array" ref="D420">IF(A420="","",IF(ISNUMBER(MATCH(TRUE,ISNUMBER(SEARCH($Q$2:$Q$51, $A420)),0))=TRUE,"",IF(ISNUMBER(MATCH(TRUE,ISNUMBER(SEARCH($S$2:$S$199, $A420)),0))=TRUE,"","미국 확인 필요")))</f>
        <v/>
      </c>
    </row>
    <row r="421" spans="3:4">
      <c r="C421" s="108" t="str">
        <f t="array" ref="C421">IFERROR(IF(A421="","",IF(ISNUMBER(MATCH(TRUE,ISNUMBER(SEARCH($Q$2:$Q$51, $A421)),0))=TRUE,"United States of America",INDEX($S$2:$S$199,MATCH(TRUE,ISNUMBER(SEARCH($S$2:$S$199, $A421)),0)))),"United States of America")</f>
        <v/>
      </c>
      <c r="D421" s="108" t="str">
        <f t="array" ref="D421">IF(A421="","",IF(ISNUMBER(MATCH(TRUE,ISNUMBER(SEARCH($Q$2:$Q$51, $A421)),0))=TRUE,"",IF(ISNUMBER(MATCH(TRUE,ISNUMBER(SEARCH($S$2:$S$199, $A421)),0))=TRUE,"","미국 확인 필요")))</f>
        <v/>
      </c>
    </row>
    <row r="422" spans="3:4">
      <c r="C422" s="108" t="str">
        <f t="array" ref="C422">IFERROR(IF(A422="","",IF(ISNUMBER(MATCH(TRUE,ISNUMBER(SEARCH($Q$2:$Q$51, $A422)),0))=TRUE,"United States of America",INDEX($S$2:$S$199,MATCH(TRUE,ISNUMBER(SEARCH($S$2:$S$199, $A422)),0)))),"United States of America")</f>
        <v/>
      </c>
      <c r="D422" s="108" t="str">
        <f t="array" ref="D422">IF(A422="","",IF(ISNUMBER(MATCH(TRUE,ISNUMBER(SEARCH($Q$2:$Q$51, $A422)),0))=TRUE,"",IF(ISNUMBER(MATCH(TRUE,ISNUMBER(SEARCH($S$2:$S$199, $A422)),0))=TRUE,"","미국 확인 필요")))</f>
        <v/>
      </c>
    </row>
    <row r="423" spans="3:4">
      <c r="C423" s="108" t="str">
        <f t="array" ref="C423">IFERROR(IF(A423="","",IF(ISNUMBER(MATCH(TRUE,ISNUMBER(SEARCH($Q$2:$Q$51, $A423)),0))=TRUE,"United States of America",INDEX($S$2:$S$199,MATCH(TRUE,ISNUMBER(SEARCH($S$2:$S$199, $A423)),0)))),"United States of America")</f>
        <v/>
      </c>
      <c r="D423" s="108" t="str">
        <f t="array" ref="D423">IF(A423="","",IF(ISNUMBER(MATCH(TRUE,ISNUMBER(SEARCH($Q$2:$Q$51, $A423)),0))=TRUE,"",IF(ISNUMBER(MATCH(TRUE,ISNUMBER(SEARCH($S$2:$S$199, $A423)),0))=TRUE,"","미국 확인 필요")))</f>
        <v/>
      </c>
    </row>
    <row r="424" spans="3:4">
      <c r="C424" s="108" t="str">
        <f t="array" ref="C424">IFERROR(IF(A424="","",IF(ISNUMBER(MATCH(TRUE,ISNUMBER(SEARCH($Q$2:$Q$51, $A424)),0))=TRUE,"United States of America",INDEX($S$2:$S$199,MATCH(TRUE,ISNUMBER(SEARCH($S$2:$S$199, $A424)),0)))),"United States of America")</f>
        <v/>
      </c>
      <c r="D424" s="108" t="str">
        <f t="array" ref="D424">IF(A424="","",IF(ISNUMBER(MATCH(TRUE,ISNUMBER(SEARCH($Q$2:$Q$51, $A424)),0))=TRUE,"",IF(ISNUMBER(MATCH(TRUE,ISNUMBER(SEARCH($S$2:$S$199, $A424)),0))=TRUE,"","미국 확인 필요")))</f>
        <v/>
      </c>
    </row>
    <row r="425" spans="3:4">
      <c r="C425" s="108" t="str">
        <f t="array" ref="C425">IFERROR(IF(A425="","",IF(ISNUMBER(MATCH(TRUE,ISNUMBER(SEARCH($Q$2:$Q$51, $A425)),0))=TRUE,"United States of America",INDEX($S$2:$S$199,MATCH(TRUE,ISNUMBER(SEARCH($S$2:$S$199, $A425)),0)))),"United States of America")</f>
        <v/>
      </c>
      <c r="D425" s="108" t="str">
        <f t="array" ref="D425">IF(A425="","",IF(ISNUMBER(MATCH(TRUE,ISNUMBER(SEARCH($Q$2:$Q$51, $A425)),0))=TRUE,"",IF(ISNUMBER(MATCH(TRUE,ISNUMBER(SEARCH($S$2:$S$199, $A425)),0))=TRUE,"","미국 확인 필요")))</f>
        <v/>
      </c>
    </row>
    <row r="426" spans="3:4">
      <c r="C426" s="108" t="str">
        <f t="array" ref="C426">IFERROR(IF(A426="","",IF(ISNUMBER(MATCH(TRUE,ISNUMBER(SEARCH($Q$2:$Q$51, $A426)),0))=TRUE,"United States of America",INDEX($S$2:$S$199,MATCH(TRUE,ISNUMBER(SEARCH($S$2:$S$199, $A426)),0)))),"United States of America")</f>
        <v/>
      </c>
      <c r="D426" s="108" t="str">
        <f t="array" ref="D426">IF(A426="","",IF(ISNUMBER(MATCH(TRUE,ISNUMBER(SEARCH($Q$2:$Q$51, $A426)),0))=TRUE,"",IF(ISNUMBER(MATCH(TRUE,ISNUMBER(SEARCH($S$2:$S$199, $A426)),0))=TRUE,"","미국 확인 필요")))</f>
        <v/>
      </c>
    </row>
    <row r="427" spans="3:4">
      <c r="C427" s="108" t="str">
        <f t="array" ref="C427">IFERROR(IF(A427="","",IF(ISNUMBER(MATCH(TRUE,ISNUMBER(SEARCH($Q$2:$Q$51, $A427)),0))=TRUE,"United States of America",INDEX($S$2:$S$199,MATCH(TRUE,ISNUMBER(SEARCH($S$2:$S$199, $A427)),0)))),"United States of America")</f>
        <v/>
      </c>
      <c r="D427" s="108" t="str">
        <f t="array" ref="D427">IF(A427="","",IF(ISNUMBER(MATCH(TRUE,ISNUMBER(SEARCH($Q$2:$Q$51, $A427)),0))=TRUE,"",IF(ISNUMBER(MATCH(TRUE,ISNUMBER(SEARCH($S$2:$S$199, $A427)),0))=TRUE,"","미국 확인 필요")))</f>
        <v/>
      </c>
    </row>
    <row r="428" spans="3:4">
      <c r="C428" s="108" t="str">
        <f t="array" ref="C428">IFERROR(IF(A428="","",IF(ISNUMBER(MATCH(TRUE,ISNUMBER(SEARCH($Q$2:$Q$51, $A428)),0))=TRUE,"United States of America",INDEX($S$2:$S$199,MATCH(TRUE,ISNUMBER(SEARCH($S$2:$S$199, $A428)),0)))),"United States of America")</f>
        <v/>
      </c>
      <c r="D428" s="108" t="str">
        <f t="array" ref="D428">IF(A428="","",IF(ISNUMBER(MATCH(TRUE,ISNUMBER(SEARCH($Q$2:$Q$51, $A428)),0))=TRUE,"",IF(ISNUMBER(MATCH(TRUE,ISNUMBER(SEARCH($S$2:$S$199, $A428)),0))=TRUE,"","미국 확인 필요")))</f>
        <v/>
      </c>
    </row>
    <row r="429" spans="3:4">
      <c r="C429" s="108" t="str">
        <f t="array" ref="C429">IFERROR(IF(A429="","",IF(ISNUMBER(MATCH(TRUE,ISNUMBER(SEARCH($Q$2:$Q$51, $A429)),0))=TRUE,"United States of America",INDEX($S$2:$S$199,MATCH(TRUE,ISNUMBER(SEARCH($S$2:$S$199, $A429)),0)))),"United States of America")</f>
        <v/>
      </c>
      <c r="D429" s="108" t="str">
        <f t="array" ref="D429">IF(A429="","",IF(ISNUMBER(MATCH(TRUE,ISNUMBER(SEARCH($Q$2:$Q$51, $A429)),0))=TRUE,"",IF(ISNUMBER(MATCH(TRUE,ISNUMBER(SEARCH($S$2:$S$199, $A429)),0))=TRUE,"","미국 확인 필요")))</f>
        <v/>
      </c>
    </row>
    <row r="430" spans="3:4">
      <c r="C430" s="108" t="str">
        <f t="array" ref="C430">IFERROR(IF(A430="","",IF(ISNUMBER(MATCH(TRUE,ISNUMBER(SEARCH($Q$2:$Q$51, $A430)),0))=TRUE,"United States of America",INDEX($S$2:$S$199,MATCH(TRUE,ISNUMBER(SEARCH($S$2:$S$199, $A430)),0)))),"United States of America")</f>
        <v/>
      </c>
      <c r="D430" s="108" t="str">
        <f t="array" ref="D430">IF(A430="","",IF(ISNUMBER(MATCH(TRUE,ISNUMBER(SEARCH($Q$2:$Q$51, $A430)),0))=TRUE,"",IF(ISNUMBER(MATCH(TRUE,ISNUMBER(SEARCH($S$2:$S$199, $A430)),0))=TRUE,"","미국 확인 필요")))</f>
        <v/>
      </c>
    </row>
    <row r="431" spans="3:4">
      <c r="C431" s="108" t="str">
        <f t="array" ref="C431">IFERROR(IF(A431="","",IF(ISNUMBER(MATCH(TRUE,ISNUMBER(SEARCH($Q$2:$Q$51, $A431)),0))=TRUE,"United States of America",INDEX($S$2:$S$199,MATCH(TRUE,ISNUMBER(SEARCH($S$2:$S$199, $A431)),0)))),"United States of America")</f>
        <v/>
      </c>
      <c r="D431" s="108" t="str">
        <f t="array" ref="D431">IF(A431="","",IF(ISNUMBER(MATCH(TRUE,ISNUMBER(SEARCH($Q$2:$Q$51, $A431)),0))=TRUE,"",IF(ISNUMBER(MATCH(TRUE,ISNUMBER(SEARCH($S$2:$S$199, $A431)),0))=TRUE,"","미국 확인 필요")))</f>
        <v/>
      </c>
    </row>
    <row r="432" spans="3:4">
      <c r="C432" s="108" t="str">
        <f t="array" ref="C432">IFERROR(IF(A432="","",IF(ISNUMBER(MATCH(TRUE,ISNUMBER(SEARCH($Q$2:$Q$51, $A432)),0))=TRUE,"United States of America",INDEX($S$2:$S$199,MATCH(TRUE,ISNUMBER(SEARCH($S$2:$S$199, $A432)),0)))),"United States of America")</f>
        <v/>
      </c>
      <c r="D432" s="108" t="str">
        <f t="array" ref="D432">IF(A432="","",IF(ISNUMBER(MATCH(TRUE,ISNUMBER(SEARCH($Q$2:$Q$51, $A432)),0))=TRUE,"",IF(ISNUMBER(MATCH(TRUE,ISNUMBER(SEARCH($S$2:$S$199, $A432)),0))=TRUE,"","미국 확인 필요")))</f>
        <v/>
      </c>
    </row>
    <row r="433" spans="3:4">
      <c r="C433" s="108" t="str">
        <f t="array" ref="C433">IFERROR(IF(A433="","",IF(ISNUMBER(MATCH(TRUE,ISNUMBER(SEARCH($Q$2:$Q$51, $A433)),0))=TRUE,"United States of America",INDEX($S$2:$S$199,MATCH(TRUE,ISNUMBER(SEARCH($S$2:$S$199, $A433)),0)))),"United States of America")</f>
        <v/>
      </c>
      <c r="D433" s="108" t="str">
        <f t="array" ref="D433">IF(A433="","",IF(ISNUMBER(MATCH(TRUE,ISNUMBER(SEARCH($Q$2:$Q$51, $A433)),0))=TRUE,"",IF(ISNUMBER(MATCH(TRUE,ISNUMBER(SEARCH($S$2:$S$199, $A433)),0))=TRUE,"","미국 확인 필요")))</f>
        <v/>
      </c>
    </row>
    <row r="434" spans="3:4">
      <c r="C434" s="108" t="str">
        <f t="array" ref="C434">IFERROR(IF(A434="","",IF(ISNUMBER(MATCH(TRUE,ISNUMBER(SEARCH($Q$2:$Q$51, $A434)),0))=TRUE,"United States of America",INDEX($S$2:$S$199,MATCH(TRUE,ISNUMBER(SEARCH($S$2:$S$199, $A434)),0)))),"United States of America")</f>
        <v/>
      </c>
      <c r="D434" s="108" t="str">
        <f t="array" ref="D434">IF(A434="","",IF(ISNUMBER(MATCH(TRUE,ISNUMBER(SEARCH($Q$2:$Q$51, $A434)),0))=TRUE,"",IF(ISNUMBER(MATCH(TRUE,ISNUMBER(SEARCH($S$2:$S$199, $A434)),0))=TRUE,"","미국 확인 필요")))</f>
        <v/>
      </c>
    </row>
    <row r="435" spans="3:4">
      <c r="C435" s="108" t="str">
        <f t="array" ref="C435">IFERROR(IF(A435="","",IF(ISNUMBER(MATCH(TRUE,ISNUMBER(SEARCH($Q$2:$Q$51, $A435)),0))=TRUE,"United States of America",INDEX($S$2:$S$199,MATCH(TRUE,ISNUMBER(SEARCH($S$2:$S$199, $A435)),0)))),"United States of America")</f>
        <v/>
      </c>
      <c r="D435" s="108" t="str">
        <f t="array" ref="D435">IF(A435="","",IF(ISNUMBER(MATCH(TRUE,ISNUMBER(SEARCH($Q$2:$Q$51, $A435)),0))=TRUE,"",IF(ISNUMBER(MATCH(TRUE,ISNUMBER(SEARCH($S$2:$S$199, $A435)),0))=TRUE,"","미국 확인 필요")))</f>
        <v/>
      </c>
    </row>
    <row r="436" spans="3:4">
      <c r="C436" s="108" t="str">
        <f t="array" ref="C436">IFERROR(IF(A436="","",IF(ISNUMBER(MATCH(TRUE,ISNUMBER(SEARCH($Q$2:$Q$51, $A436)),0))=TRUE,"United States of America",INDEX($S$2:$S$199,MATCH(TRUE,ISNUMBER(SEARCH($S$2:$S$199, $A436)),0)))),"United States of America")</f>
        <v/>
      </c>
      <c r="D436" s="108" t="str">
        <f t="array" ref="D436">IF(A436="","",IF(ISNUMBER(MATCH(TRUE,ISNUMBER(SEARCH($Q$2:$Q$51, $A436)),0))=TRUE,"",IF(ISNUMBER(MATCH(TRUE,ISNUMBER(SEARCH($S$2:$S$199, $A436)),0))=TRUE,"","미국 확인 필요")))</f>
        <v/>
      </c>
    </row>
    <row r="437" spans="3:4">
      <c r="C437" s="108" t="str">
        <f t="array" ref="C437">IFERROR(IF(A437="","",IF(ISNUMBER(MATCH(TRUE,ISNUMBER(SEARCH($Q$2:$Q$51, $A437)),0))=TRUE,"United States of America",INDEX($S$2:$S$199,MATCH(TRUE,ISNUMBER(SEARCH($S$2:$S$199, $A437)),0)))),"United States of America")</f>
        <v/>
      </c>
      <c r="D437" s="108" t="str">
        <f t="array" ref="D437">IF(A437="","",IF(ISNUMBER(MATCH(TRUE,ISNUMBER(SEARCH($Q$2:$Q$51, $A437)),0))=TRUE,"",IF(ISNUMBER(MATCH(TRUE,ISNUMBER(SEARCH($S$2:$S$199, $A437)),0))=TRUE,"","미국 확인 필요")))</f>
        <v/>
      </c>
    </row>
    <row r="438" spans="3:4">
      <c r="C438" s="108" t="str">
        <f t="array" ref="C438">IFERROR(IF(A438="","",IF(ISNUMBER(MATCH(TRUE,ISNUMBER(SEARCH($Q$2:$Q$51, $A438)),0))=TRUE,"United States of America",INDEX($S$2:$S$199,MATCH(TRUE,ISNUMBER(SEARCH($S$2:$S$199, $A438)),0)))),"United States of America")</f>
        <v/>
      </c>
      <c r="D438" s="108" t="str">
        <f t="array" ref="D438">IF(A438="","",IF(ISNUMBER(MATCH(TRUE,ISNUMBER(SEARCH($Q$2:$Q$51, $A438)),0))=TRUE,"",IF(ISNUMBER(MATCH(TRUE,ISNUMBER(SEARCH($S$2:$S$199, $A438)),0))=TRUE,"","미국 확인 필요")))</f>
        <v/>
      </c>
    </row>
    <row r="439" spans="3:4">
      <c r="C439" s="108" t="str">
        <f t="array" ref="C439">IFERROR(IF(A439="","",IF(ISNUMBER(MATCH(TRUE,ISNUMBER(SEARCH($Q$2:$Q$51, $A439)),0))=TRUE,"United States of America",INDEX($S$2:$S$199,MATCH(TRUE,ISNUMBER(SEARCH($S$2:$S$199, $A439)),0)))),"United States of America")</f>
        <v/>
      </c>
      <c r="D439" s="108" t="str">
        <f t="array" ref="D439">IF(A439="","",IF(ISNUMBER(MATCH(TRUE,ISNUMBER(SEARCH($Q$2:$Q$51, $A439)),0))=TRUE,"",IF(ISNUMBER(MATCH(TRUE,ISNUMBER(SEARCH($S$2:$S$199, $A439)),0))=TRUE,"","미국 확인 필요")))</f>
        <v/>
      </c>
    </row>
    <row r="440" spans="3:4">
      <c r="C440" s="108" t="str">
        <f t="array" ref="C440">IFERROR(IF(A440="","",IF(ISNUMBER(MATCH(TRUE,ISNUMBER(SEARCH($Q$2:$Q$51, $A440)),0))=TRUE,"United States of America",INDEX($S$2:$S$199,MATCH(TRUE,ISNUMBER(SEARCH($S$2:$S$199, $A440)),0)))),"United States of America")</f>
        <v/>
      </c>
      <c r="D440" s="108" t="str">
        <f t="array" ref="D440">IF(A440="","",IF(ISNUMBER(MATCH(TRUE,ISNUMBER(SEARCH($Q$2:$Q$51, $A440)),0))=TRUE,"",IF(ISNUMBER(MATCH(TRUE,ISNUMBER(SEARCH($S$2:$S$199, $A440)),0))=TRUE,"","미국 확인 필요")))</f>
        <v/>
      </c>
    </row>
    <row r="441" spans="3:4">
      <c r="C441" s="108" t="str">
        <f t="array" ref="C441">IFERROR(IF(A441="","",IF(ISNUMBER(MATCH(TRUE,ISNUMBER(SEARCH($Q$2:$Q$51, $A441)),0))=TRUE,"United States of America",INDEX($S$2:$S$199,MATCH(TRUE,ISNUMBER(SEARCH($S$2:$S$199, $A441)),0)))),"United States of America")</f>
        <v/>
      </c>
      <c r="D441" s="108" t="str">
        <f t="array" ref="D441">IF(A441="","",IF(ISNUMBER(MATCH(TRUE,ISNUMBER(SEARCH($Q$2:$Q$51, $A441)),0))=TRUE,"",IF(ISNUMBER(MATCH(TRUE,ISNUMBER(SEARCH($S$2:$S$199, $A441)),0))=TRUE,"","미국 확인 필요")))</f>
        <v/>
      </c>
    </row>
    <row r="442" spans="3:4">
      <c r="C442" s="108" t="str">
        <f t="array" ref="C442">IFERROR(IF(A442="","",IF(ISNUMBER(MATCH(TRUE,ISNUMBER(SEARCH($Q$2:$Q$51, $A442)),0))=TRUE,"United States of America",INDEX($S$2:$S$199,MATCH(TRUE,ISNUMBER(SEARCH($S$2:$S$199, $A442)),0)))),"United States of America")</f>
        <v/>
      </c>
      <c r="D442" s="108" t="str">
        <f t="array" ref="D442">IF(A442="","",IF(ISNUMBER(MATCH(TRUE,ISNUMBER(SEARCH($Q$2:$Q$51, $A442)),0))=TRUE,"",IF(ISNUMBER(MATCH(TRUE,ISNUMBER(SEARCH($S$2:$S$199, $A442)),0))=TRUE,"","미국 확인 필요")))</f>
        <v/>
      </c>
    </row>
    <row r="443" spans="3:4">
      <c r="C443" s="108" t="str">
        <f t="array" ref="C443">IFERROR(IF(A443="","",IF(ISNUMBER(MATCH(TRUE,ISNUMBER(SEARCH($Q$2:$Q$51, $A443)),0))=TRUE,"United States of America",INDEX($S$2:$S$199,MATCH(TRUE,ISNUMBER(SEARCH($S$2:$S$199, $A443)),0)))),"United States of America")</f>
        <v/>
      </c>
      <c r="D443" s="108" t="str">
        <f t="array" ref="D443">IF(A443="","",IF(ISNUMBER(MATCH(TRUE,ISNUMBER(SEARCH($Q$2:$Q$51, $A443)),0))=TRUE,"",IF(ISNUMBER(MATCH(TRUE,ISNUMBER(SEARCH($S$2:$S$199, $A443)),0))=TRUE,"","미국 확인 필요")))</f>
        <v/>
      </c>
    </row>
    <row r="444" spans="3:4">
      <c r="C444" s="108" t="str">
        <f t="array" ref="C444">IFERROR(IF(A444="","",IF(ISNUMBER(MATCH(TRUE,ISNUMBER(SEARCH($Q$2:$Q$51, $A444)),0))=TRUE,"United States of America",INDEX($S$2:$S$199,MATCH(TRUE,ISNUMBER(SEARCH($S$2:$S$199, $A444)),0)))),"United States of America")</f>
        <v/>
      </c>
      <c r="D444" s="108" t="str">
        <f t="array" ref="D444">IF(A444="","",IF(ISNUMBER(MATCH(TRUE,ISNUMBER(SEARCH($Q$2:$Q$51, $A444)),0))=TRUE,"",IF(ISNUMBER(MATCH(TRUE,ISNUMBER(SEARCH($S$2:$S$199, $A444)),0))=TRUE,"","미국 확인 필요")))</f>
        <v/>
      </c>
    </row>
    <row r="445" spans="3:4">
      <c r="C445" s="108" t="str">
        <f t="array" ref="C445">IFERROR(IF(A445="","",IF(ISNUMBER(MATCH(TRUE,ISNUMBER(SEARCH($Q$2:$Q$51, $A445)),0))=TRUE,"United States of America",INDEX($S$2:$S$199,MATCH(TRUE,ISNUMBER(SEARCH($S$2:$S$199, $A445)),0)))),"United States of America")</f>
        <v/>
      </c>
      <c r="D445" s="108" t="str">
        <f t="array" ref="D445">IF(A445="","",IF(ISNUMBER(MATCH(TRUE,ISNUMBER(SEARCH($Q$2:$Q$51, $A445)),0))=TRUE,"",IF(ISNUMBER(MATCH(TRUE,ISNUMBER(SEARCH($S$2:$S$199, $A445)),0))=TRUE,"","미국 확인 필요")))</f>
        <v/>
      </c>
    </row>
    <row r="446" spans="3:4">
      <c r="C446" s="108" t="str">
        <f t="array" ref="C446">IFERROR(IF(A446="","",IF(ISNUMBER(MATCH(TRUE,ISNUMBER(SEARCH($Q$2:$Q$51, $A446)),0))=TRUE,"United States of America",INDEX($S$2:$S$199,MATCH(TRUE,ISNUMBER(SEARCH($S$2:$S$199, $A446)),0)))),"United States of America")</f>
        <v/>
      </c>
      <c r="D446" s="108" t="str">
        <f t="array" ref="D446">IF(A446="","",IF(ISNUMBER(MATCH(TRUE,ISNUMBER(SEARCH($Q$2:$Q$51, $A446)),0))=TRUE,"",IF(ISNUMBER(MATCH(TRUE,ISNUMBER(SEARCH($S$2:$S$199, $A446)),0))=TRUE,"","미국 확인 필요")))</f>
        <v/>
      </c>
    </row>
    <row r="447" spans="3:4">
      <c r="C447" s="108" t="str">
        <f t="array" ref="C447">IFERROR(IF(A447="","",IF(ISNUMBER(MATCH(TRUE,ISNUMBER(SEARCH($Q$2:$Q$51, $A447)),0))=TRUE,"United States of America",INDEX($S$2:$S$199,MATCH(TRUE,ISNUMBER(SEARCH($S$2:$S$199, $A447)),0)))),"United States of America")</f>
        <v/>
      </c>
      <c r="D447" s="108" t="str">
        <f t="array" ref="D447">IF(A447="","",IF(ISNUMBER(MATCH(TRUE,ISNUMBER(SEARCH($Q$2:$Q$51, $A447)),0))=TRUE,"",IF(ISNUMBER(MATCH(TRUE,ISNUMBER(SEARCH($S$2:$S$199, $A447)),0))=TRUE,"","미국 확인 필요")))</f>
        <v/>
      </c>
    </row>
    <row r="448" spans="3:4">
      <c r="C448" s="108" t="str">
        <f t="array" ref="C448">IFERROR(IF(A448="","",IF(ISNUMBER(MATCH(TRUE,ISNUMBER(SEARCH($Q$2:$Q$51, $A448)),0))=TRUE,"United States of America",INDEX($S$2:$S$199,MATCH(TRUE,ISNUMBER(SEARCH($S$2:$S$199, $A448)),0)))),"United States of America")</f>
        <v/>
      </c>
      <c r="D448" s="108" t="str">
        <f t="array" ref="D448">IF(A448="","",IF(ISNUMBER(MATCH(TRUE,ISNUMBER(SEARCH($Q$2:$Q$51, $A448)),0))=TRUE,"",IF(ISNUMBER(MATCH(TRUE,ISNUMBER(SEARCH($S$2:$S$199, $A448)),0))=TRUE,"","미국 확인 필요")))</f>
        <v/>
      </c>
    </row>
    <row r="449" spans="3:4">
      <c r="C449" s="108" t="str">
        <f t="array" ref="C449">IFERROR(IF(A449="","",IF(ISNUMBER(MATCH(TRUE,ISNUMBER(SEARCH($Q$2:$Q$51, $A449)),0))=TRUE,"United States of America",INDEX($S$2:$S$199,MATCH(TRUE,ISNUMBER(SEARCH($S$2:$S$199, $A449)),0)))),"United States of America")</f>
        <v/>
      </c>
      <c r="D449" s="108" t="str">
        <f t="array" ref="D449">IF(A449="","",IF(ISNUMBER(MATCH(TRUE,ISNUMBER(SEARCH($Q$2:$Q$51, $A449)),0))=TRUE,"",IF(ISNUMBER(MATCH(TRUE,ISNUMBER(SEARCH($S$2:$S$199, $A449)),0))=TRUE,"","미국 확인 필요")))</f>
        <v/>
      </c>
    </row>
    <row r="450" spans="3:4">
      <c r="C450" s="108" t="str">
        <f t="array" ref="C450">IFERROR(IF(A450="","",IF(ISNUMBER(MATCH(TRUE,ISNUMBER(SEARCH($Q$2:$Q$51, $A450)),0))=TRUE,"United States of America",INDEX($S$2:$S$199,MATCH(TRUE,ISNUMBER(SEARCH($S$2:$S$199, $A450)),0)))),"United States of America")</f>
        <v/>
      </c>
      <c r="D450" s="108" t="str">
        <f t="array" ref="D450">IF(A450="","",IF(ISNUMBER(MATCH(TRUE,ISNUMBER(SEARCH($Q$2:$Q$51, $A450)),0))=TRUE,"",IF(ISNUMBER(MATCH(TRUE,ISNUMBER(SEARCH($S$2:$S$199, $A450)),0))=TRUE,"","미국 확인 필요")))</f>
        <v/>
      </c>
    </row>
    <row r="451" spans="3:4">
      <c r="C451" s="108" t="str">
        <f t="array" ref="C451">IFERROR(IF(A451="","",IF(ISNUMBER(MATCH(TRUE,ISNUMBER(SEARCH($Q$2:$Q$51, $A451)),0))=TRUE,"United States of America",INDEX($S$2:$S$199,MATCH(TRUE,ISNUMBER(SEARCH($S$2:$S$199, $A451)),0)))),"United States of America")</f>
        <v/>
      </c>
      <c r="D451" s="108" t="str">
        <f t="array" ref="D451">IF(A451="","",IF(ISNUMBER(MATCH(TRUE,ISNUMBER(SEARCH($Q$2:$Q$51, $A451)),0))=TRUE,"",IF(ISNUMBER(MATCH(TRUE,ISNUMBER(SEARCH($S$2:$S$199, $A451)),0))=TRUE,"","미국 확인 필요")))</f>
        <v/>
      </c>
    </row>
    <row r="452" spans="3:4">
      <c r="C452" s="108" t="str">
        <f t="array" ref="C452">IFERROR(IF(A452="","",IF(ISNUMBER(MATCH(TRUE,ISNUMBER(SEARCH($Q$2:$Q$51, $A452)),0))=TRUE,"United States of America",INDEX($S$2:$S$199,MATCH(TRUE,ISNUMBER(SEARCH($S$2:$S$199, $A452)),0)))),"United States of America")</f>
        <v/>
      </c>
      <c r="D452" s="108" t="str">
        <f t="array" ref="D452">IF(A452="","",IF(ISNUMBER(MATCH(TRUE,ISNUMBER(SEARCH($Q$2:$Q$51, $A452)),0))=TRUE,"",IF(ISNUMBER(MATCH(TRUE,ISNUMBER(SEARCH($S$2:$S$199, $A452)),0))=TRUE,"","미국 확인 필요")))</f>
        <v/>
      </c>
    </row>
    <row r="453" spans="3:4">
      <c r="C453" s="108" t="str">
        <f t="array" ref="C453">IFERROR(IF(A453="","",IF(ISNUMBER(MATCH(TRUE,ISNUMBER(SEARCH($Q$2:$Q$51, $A453)),0))=TRUE,"United States of America",INDEX($S$2:$S$199,MATCH(TRUE,ISNUMBER(SEARCH($S$2:$S$199, $A453)),0)))),"United States of America")</f>
        <v/>
      </c>
      <c r="D453" s="108" t="str">
        <f t="array" ref="D453">IF(A453="","",IF(ISNUMBER(MATCH(TRUE,ISNUMBER(SEARCH($Q$2:$Q$51, $A453)),0))=TRUE,"",IF(ISNUMBER(MATCH(TRUE,ISNUMBER(SEARCH($S$2:$S$199, $A453)),0))=TRUE,"","미국 확인 필요")))</f>
        <v/>
      </c>
    </row>
    <row r="454" spans="3:4">
      <c r="C454" s="108" t="str">
        <f t="array" ref="C454">IFERROR(IF(A454="","",IF(ISNUMBER(MATCH(TRUE,ISNUMBER(SEARCH($Q$2:$Q$51, $A454)),0))=TRUE,"United States of America",INDEX($S$2:$S$199,MATCH(TRUE,ISNUMBER(SEARCH($S$2:$S$199, $A454)),0)))),"United States of America")</f>
        <v/>
      </c>
      <c r="D454" s="108" t="str">
        <f t="array" ref="D454">IF(A454="","",IF(ISNUMBER(MATCH(TRUE,ISNUMBER(SEARCH($Q$2:$Q$51, $A454)),0))=TRUE,"",IF(ISNUMBER(MATCH(TRUE,ISNUMBER(SEARCH($S$2:$S$199, $A454)),0))=TRUE,"","미국 확인 필요")))</f>
        <v/>
      </c>
    </row>
    <row r="455" spans="3:4">
      <c r="C455" s="108" t="str">
        <f t="array" ref="C455">IFERROR(IF(A455="","",IF(ISNUMBER(MATCH(TRUE,ISNUMBER(SEARCH($Q$2:$Q$51, $A455)),0))=TRUE,"United States of America",INDEX($S$2:$S$199,MATCH(TRUE,ISNUMBER(SEARCH($S$2:$S$199, $A455)),0)))),"United States of America")</f>
        <v/>
      </c>
      <c r="D455" s="108" t="str">
        <f t="array" ref="D455">IF(A455="","",IF(ISNUMBER(MATCH(TRUE,ISNUMBER(SEARCH($Q$2:$Q$51, $A455)),0))=TRUE,"",IF(ISNUMBER(MATCH(TRUE,ISNUMBER(SEARCH($S$2:$S$199, $A455)),0))=TRUE,"","미국 확인 필요")))</f>
        <v/>
      </c>
    </row>
    <row r="456" spans="3:4">
      <c r="C456" s="108" t="str">
        <f t="array" ref="C456">IFERROR(IF(A456="","",IF(ISNUMBER(MATCH(TRUE,ISNUMBER(SEARCH($Q$2:$Q$51, $A456)),0))=TRUE,"United States of America",INDEX($S$2:$S$199,MATCH(TRUE,ISNUMBER(SEARCH($S$2:$S$199, $A456)),0)))),"United States of America")</f>
        <v/>
      </c>
      <c r="D456" s="108" t="str">
        <f t="array" ref="D456">IF(A456="","",IF(ISNUMBER(MATCH(TRUE,ISNUMBER(SEARCH($Q$2:$Q$51, $A456)),0))=TRUE,"",IF(ISNUMBER(MATCH(TRUE,ISNUMBER(SEARCH($S$2:$S$199, $A456)),0))=TRUE,"","미국 확인 필요")))</f>
        <v/>
      </c>
    </row>
    <row r="457" spans="3:4">
      <c r="C457" s="108" t="str">
        <f t="array" ref="C457">IFERROR(IF(A457="","",IF(ISNUMBER(MATCH(TRUE,ISNUMBER(SEARCH($Q$2:$Q$51, $A457)),0))=TRUE,"United States of America",INDEX($S$2:$S$199,MATCH(TRUE,ISNUMBER(SEARCH($S$2:$S$199, $A457)),0)))),"United States of America")</f>
        <v/>
      </c>
      <c r="D457" s="108" t="str">
        <f t="array" ref="D457">IF(A457="","",IF(ISNUMBER(MATCH(TRUE,ISNUMBER(SEARCH($Q$2:$Q$51, $A457)),0))=TRUE,"",IF(ISNUMBER(MATCH(TRUE,ISNUMBER(SEARCH($S$2:$S$199, $A457)),0))=TRUE,"","미국 확인 필요")))</f>
        <v/>
      </c>
    </row>
    <row r="458" spans="3:4">
      <c r="C458" s="108" t="str">
        <f t="array" ref="C458">IFERROR(IF(A458="","",IF(ISNUMBER(MATCH(TRUE,ISNUMBER(SEARCH($Q$2:$Q$51, $A458)),0))=TRUE,"United States of America",INDEX($S$2:$S$199,MATCH(TRUE,ISNUMBER(SEARCH($S$2:$S$199, $A458)),0)))),"United States of America")</f>
        <v/>
      </c>
      <c r="D458" s="108" t="str">
        <f t="array" ref="D458">IF(A458="","",IF(ISNUMBER(MATCH(TRUE,ISNUMBER(SEARCH($Q$2:$Q$51, $A458)),0))=TRUE,"",IF(ISNUMBER(MATCH(TRUE,ISNUMBER(SEARCH($S$2:$S$199, $A458)),0))=TRUE,"","미국 확인 필요")))</f>
        <v/>
      </c>
    </row>
    <row r="459" spans="3:4">
      <c r="C459" s="108" t="str">
        <f t="array" ref="C459">IFERROR(IF(A459="","",IF(ISNUMBER(MATCH(TRUE,ISNUMBER(SEARCH($Q$2:$Q$51, $A459)),0))=TRUE,"United States of America",INDEX($S$2:$S$199,MATCH(TRUE,ISNUMBER(SEARCH($S$2:$S$199, $A459)),0)))),"United States of America")</f>
        <v/>
      </c>
      <c r="D459" s="108" t="str">
        <f t="array" ref="D459">IF(A459="","",IF(ISNUMBER(MATCH(TRUE,ISNUMBER(SEARCH($Q$2:$Q$51, $A459)),0))=TRUE,"",IF(ISNUMBER(MATCH(TRUE,ISNUMBER(SEARCH($S$2:$S$199, $A459)),0))=TRUE,"","미국 확인 필요")))</f>
        <v/>
      </c>
    </row>
    <row r="460" spans="3:4">
      <c r="C460" s="108" t="str">
        <f t="array" ref="C460">IFERROR(IF(A460="","",IF(ISNUMBER(MATCH(TRUE,ISNUMBER(SEARCH($Q$2:$Q$51, $A460)),0))=TRUE,"United States of America",INDEX($S$2:$S$199,MATCH(TRUE,ISNUMBER(SEARCH($S$2:$S$199, $A460)),0)))),"United States of America")</f>
        <v/>
      </c>
      <c r="D460" s="108" t="str">
        <f t="array" ref="D460">IF(A460="","",IF(ISNUMBER(MATCH(TRUE,ISNUMBER(SEARCH($Q$2:$Q$51, $A460)),0))=TRUE,"",IF(ISNUMBER(MATCH(TRUE,ISNUMBER(SEARCH($S$2:$S$199, $A460)),0))=TRUE,"","미국 확인 필요")))</f>
        <v/>
      </c>
    </row>
    <row r="461" spans="3:4">
      <c r="C461" s="108" t="str">
        <f t="array" ref="C461">IFERROR(IF(A461="","",IF(ISNUMBER(MATCH(TRUE,ISNUMBER(SEARCH($Q$2:$Q$51, $A461)),0))=TRUE,"United States of America",INDEX($S$2:$S$199,MATCH(TRUE,ISNUMBER(SEARCH($S$2:$S$199, $A461)),0)))),"United States of America")</f>
        <v/>
      </c>
      <c r="D461" s="108" t="str">
        <f t="array" ref="D461">IF(A461="","",IF(ISNUMBER(MATCH(TRUE,ISNUMBER(SEARCH($Q$2:$Q$51, $A461)),0))=TRUE,"",IF(ISNUMBER(MATCH(TRUE,ISNUMBER(SEARCH($S$2:$S$199, $A461)),0))=TRUE,"","미국 확인 필요")))</f>
        <v/>
      </c>
    </row>
    <row r="462" spans="3:4">
      <c r="C462" s="108" t="str">
        <f t="array" ref="C462">IFERROR(IF(A462="","",IF(ISNUMBER(MATCH(TRUE,ISNUMBER(SEARCH($Q$2:$Q$51, $A462)),0))=TRUE,"United States of America",INDEX($S$2:$S$199,MATCH(TRUE,ISNUMBER(SEARCH($S$2:$S$199, $A462)),0)))),"United States of America")</f>
        <v/>
      </c>
      <c r="D462" s="108" t="str">
        <f t="array" ref="D462">IF(A462="","",IF(ISNUMBER(MATCH(TRUE,ISNUMBER(SEARCH($Q$2:$Q$51, $A462)),0))=TRUE,"",IF(ISNUMBER(MATCH(TRUE,ISNUMBER(SEARCH($S$2:$S$199, $A462)),0))=TRUE,"","미국 확인 필요")))</f>
        <v/>
      </c>
    </row>
    <row r="463" spans="3:4">
      <c r="C463" s="108" t="str">
        <f t="array" ref="C463">IFERROR(IF(A463="","",IF(ISNUMBER(MATCH(TRUE,ISNUMBER(SEARCH($Q$2:$Q$51, $A463)),0))=TRUE,"United States of America",INDEX($S$2:$S$199,MATCH(TRUE,ISNUMBER(SEARCH($S$2:$S$199, $A463)),0)))),"United States of America")</f>
        <v/>
      </c>
      <c r="D463" s="108" t="str">
        <f t="array" ref="D463">IF(A463="","",IF(ISNUMBER(MATCH(TRUE,ISNUMBER(SEARCH($Q$2:$Q$51, $A463)),0))=TRUE,"",IF(ISNUMBER(MATCH(TRUE,ISNUMBER(SEARCH($S$2:$S$199, $A463)),0))=TRUE,"","미국 확인 필요")))</f>
        <v/>
      </c>
    </row>
    <row r="464" spans="3:4">
      <c r="C464" s="108" t="str">
        <f t="array" ref="C464">IFERROR(IF(A464="","",IF(ISNUMBER(MATCH(TRUE,ISNUMBER(SEARCH($Q$2:$Q$51, $A464)),0))=TRUE,"United States of America",INDEX($S$2:$S$199,MATCH(TRUE,ISNUMBER(SEARCH($S$2:$S$199, $A464)),0)))),"United States of America")</f>
        <v/>
      </c>
      <c r="D464" s="108" t="str">
        <f t="array" ref="D464">IF(A464="","",IF(ISNUMBER(MATCH(TRUE,ISNUMBER(SEARCH($Q$2:$Q$51, $A464)),0))=TRUE,"",IF(ISNUMBER(MATCH(TRUE,ISNUMBER(SEARCH($S$2:$S$199, $A464)),0))=TRUE,"","미국 확인 필요")))</f>
        <v/>
      </c>
    </row>
    <row r="465" spans="3:4">
      <c r="C465" s="108" t="str">
        <f t="array" ref="C465">IFERROR(IF(A465="","",IF(ISNUMBER(MATCH(TRUE,ISNUMBER(SEARCH($Q$2:$Q$51, $A465)),0))=TRUE,"United States of America",INDEX($S$2:$S$199,MATCH(TRUE,ISNUMBER(SEARCH($S$2:$S$199, $A465)),0)))),"United States of America")</f>
        <v/>
      </c>
      <c r="D465" s="108" t="str">
        <f t="array" ref="D465">IF(A465="","",IF(ISNUMBER(MATCH(TRUE,ISNUMBER(SEARCH($Q$2:$Q$51, $A465)),0))=TRUE,"",IF(ISNUMBER(MATCH(TRUE,ISNUMBER(SEARCH($S$2:$S$199, $A465)),0))=TRUE,"","미국 확인 필요")))</f>
        <v/>
      </c>
    </row>
    <row r="466" spans="3:4">
      <c r="C466" s="108" t="str">
        <f t="array" ref="C466">IFERROR(IF(A466="","",IF(ISNUMBER(MATCH(TRUE,ISNUMBER(SEARCH($Q$2:$Q$51, $A466)),0))=TRUE,"United States of America",INDEX($S$2:$S$199,MATCH(TRUE,ISNUMBER(SEARCH($S$2:$S$199, $A466)),0)))),"United States of America")</f>
        <v/>
      </c>
      <c r="D466" s="108" t="str">
        <f t="array" ref="D466">IF(A466="","",IF(ISNUMBER(MATCH(TRUE,ISNUMBER(SEARCH($Q$2:$Q$51, $A466)),0))=TRUE,"",IF(ISNUMBER(MATCH(TRUE,ISNUMBER(SEARCH($S$2:$S$199, $A466)),0))=TRUE,"","미국 확인 필요")))</f>
        <v/>
      </c>
    </row>
    <row r="467" spans="3:4">
      <c r="C467" s="108" t="str">
        <f t="array" ref="C467">IFERROR(IF(A467="","",IF(ISNUMBER(MATCH(TRUE,ISNUMBER(SEARCH($Q$2:$Q$51, $A467)),0))=TRUE,"United States of America",INDEX($S$2:$S$199,MATCH(TRUE,ISNUMBER(SEARCH($S$2:$S$199, $A467)),0)))),"United States of America")</f>
        <v/>
      </c>
      <c r="D467" s="108" t="str">
        <f t="array" ref="D467">IF(A467="","",IF(ISNUMBER(MATCH(TRUE,ISNUMBER(SEARCH($Q$2:$Q$51, $A467)),0))=TRUE,"",IF(ISNUMBER(MATCH(TRUE,ISNUMBER(SEARCH($S$2:$S$199, $A467)),0))=TRUE,"","미국 확인 필요")))</f>
        <v/>
      </c>
    </row>
    <row r="468" spans="3:4">
      <c r="C468" s="108" t="str">
        <f t="array" ref="C468">IFERROR(IF(A468="","",IF(ISNUMBER(MATCH(TRUE,ISNUMBER(SEARCH($Q$2:$Q$51, $A468)),0))=TRUE,"United States of America",INDEX($S$2:$S$199,MATCH(TRUE,ISNUMBER(SEARCH($S$2:$S$199, $A468)),0)))),"United States of America")</f>
        <v/>
      </c>
      <c r="D468" s="108" t="str">
        <f t="array" ref="D468">IF(A468="","",IF(ISNUMBER(MATCH(TRUE,ISNUMBER(SEARCH($Q$2:$Q$51, $A468)),0))=TRUE,"",IF(ISNUMBER(MATCH(TRUE,ISNUMBER(SEARCH($S$2:$S$199, $A468)),0))=TRUE,"","미국 확인 필요")))</f>
        <v/>
      </c>
    </row>
    <row r="469" spans="3:4">
      <c r="C469" s="108" t="str">
        <f t="array" ref="C469">IFERROR(IF(A469="","",IF(ISNUMBER(MATCH(TRUE,ISNUMBER(SEARCH($Q$2:$Q$51, $A469)),0))=TRUE,"United States of America",INDEX($S$2:$S$199,MATCH(TRUE,ISNUMBER(SEARCH($S$2:$S$199, $A469)),0)))),"United States of America")</f>
        <v/>
      </c>
      <c r="D469" s="108" t="str">
        <f t="array" ref="D469">IF(A469="","",IF(ISNUMBER(MATCH(TRUE,ISNUMBER(SEARCH($Q$2:$Q$51, $A469)),0))=TRUE,"",IF(ISNUMBER(MATCH(TRUE,ISNUMBER(SEARCH($S$2:$S$199, $A469)),0))=TRUE,"","미국 확인 필요")))</f>
        <v/>
      </c>
    </row>
    <row r="470" spans="3:4">
      <c r="C470" s="108" t="str">
        <f t="array" ref="C470">IFERROR(IF(A470="","",IF(ISNUMBER(MATCH(TRUE,ISNUMBER(SEARCH($Q$2:$Q$51, $A470)),0))=TRUE,"United States of America",INDEX($S$2:$S$199,MATCH(TRUE,ISNUMBER(SEARCH($S$2:$S$199, $A470)),0)))),"United States of America")</f>
        <v/>
      </c>
      <c r="D470" s="108" t="str">
        <f t="array" ref="D470">IF(A470="","",IF(ISNUMBER(MATCH(TRUE,ISNUMBER(SEARCH($Q$2:$Q$51, $A470)),0))=TRUE,"",IF(ISNUMBER(MATCH(TRUE,ISNUMBER(SEARCH($S$2:$S$199, $A470)),0))=TRUE,"","미국 확인 필요")))</f>
        <v/>
      </c>
    </row>
    <row r="471" spans="3:4">
      <c r="C471" s="108" t="str">
        <f t="array" ref="C471">IFERROR(IF(A471="","",IF(ISNUMBER(MATCH(TRUE,ISNUMBER(SEARCH($Q$2:$Q$51, $A471)),0))=TRUE,"United States of America",INDEX($S$2:$S$199,MATCH(TRUE,ISNUMBER(SEARCH($S$2:$S$199, $A471)),0)))),"United States of America")</f>
        <v/>
      </c>
      <c r="D471" s="108" t="str">
        <f t="array" ref="D471">IF(A471="","",IF(ISNUMBER(MATCH(TRUE,ISNUMBER(SEARCH($Q$2:$Q$51, $A471)),0))=TRUE,"",IF(ISNUMBER(MATCH(TRUE,ISNUMBER(SEARCH($S$2:$S$199, $A471)),0))=TRUE,"","미국 확인 필요")))</f>
        <v/>
      </c>
    </row>
    <row r="472" spans="3:4">
      <c r="C472" s="108" t="str">
        <f t="array" ref="C472">IFERROR(IF(A472="","",IF(ISNUMBER(MATCH(TRUE,ISNUMBER(SEARCH($Q$2:$Q$51, $A472)),0))=TRUE,"United States of America",INDEX($S$2:$S$199,MATCH(TRUE,ISNUMBER(SEARCH($S$2:$S$199, $A472)),0)))),"United States of America")</f>
        <v/>
      </c>
      <c r="D472" s="108" t="str">
        <f t="array" ref="D472">IF(A472="","",IF(ISNUMBER(MATCH(TRUE,ISNUMBER(SEARCH($Q$2:$Q$51, $A472)),0))=TRUE,"",IF(ISNUMBER(MATCH(TRUE,ISNUMBER(SEARCH($S$2:$S$199, $A472)),0))=TRUE,"","미국 확인 필요")))</f>
        <v/>
      </c>
    </row>
    <row r="473" spans="3:4">
      <c r="C473" s="108" t="str">
        <f t="array" ref="C473">IFERROR(IF(A473="","",IF(ISNUMBER(MATCH(TRUE,ISNUMBER(SEARCH($Q$2:$Q$51, $A473)),0))=TRUE,"United States of America",INDEX($S$2:$S$199,MATCH(TRUE,ISNUMBER(SEARCH($S$2:$S$199, $A473)),0)))),"United States of America")</f>
        <v/>
      </c>
      <c r="D473" s="108" t="str">
        <f t="array" ref="D473">IF(A473="","",IF(ISNUMBER(MATCH(TRUE,ISNUMBER(SEARCH($Q$2:$Q$51, $A473)),0))=TRUE,"",IF(ISNUMBER(MATCH(TRUE,ISNUMBER(SEARCH($S$2:$S$199, $A473)),0))=TRUE,"","미국 확인 필요")))</f>
        <v/>
      </c>
    </row>
    <row r="474" spans="3:4">
      <c r="C474" s="108" t="str">
        <f t="array" ref="C474">IFERROR(IF(A474="","",IF(ISNUMBER(MATCH(TRUE,ISNUMBER(SEARCH($Q$2:$Q$51, $A474)),0))=TRUE,"United States of America",INDEX($S$2:$S$199,MATCH(TRUE,ISNUMBER(SEARCH($S$2:$S$199, $A474)),0)))),"United States of America")</f>
        <v/>
      </c>
      <c r="D474" s="108" t="str">
        <f t="array" ref="D474">IF(A474="","",IF(ISNUMBER(MATCH(TRUE,ISNUMBER(SEARCH($Q$2:$Q$51, $A474)),0))=TRUE,"",IF(ISNUMBER(MATCH(TRUE,ISNUMBER(SEARCH($S$2:$S$199, $A474)),0))=TRUE,"","미국 확인 필요")))</f>
        <v/>
      </c>
    </row>
    <row r="475" spans="3:4">
      <c r="C475" s="108" t="str">
        <f t="array" ref="C475">IFERROR(IF(A475="","",IF(ISNUMBER(MATCH(TRUE,ISNUMBER(SEARCH($Q$2:$Q$51, $A475)),0))=TRUE,"United States of America",INDEX($S$2:$S$199,MATCH(TRUE,ISNUMBER(SEARCH($S$2:$S$199, $A475)),0)))),"United States of America")</f>
        <v/>
      </c>
      <c r="D475" s="108" t="str">
        <f t="array" ref="D475">IF(A475="","",IF(ISNUMBER(MATCH(TRUE,ISNUMBER(SEARCH($Q$2:$Q$51, $A475)),0))=TRUE,"",IF(ISNUMBER(MATCH(TRUE,ISNUMBER(SEARCH($S$2:$S$199, $A475)),0))=TRUE,"","미국 확인 필요")))</f>
        <v/>
      </c>
    </row>
    <row r="476" spans="3:4">
      <c r="C476" s="108" t="str">
        <f t="array" ref="C476">IFERROR(IF(A476="","",IF(ISNUMBER(MATCH(TRUE,ISNUMBER(SEARCH($Q$2:$Q$51, $A476)),0))=TRUE,"United States of America",INDEX($S$2:$S$199,MATCH(TRUE,ISNUMBER(SEARCH($S$2:$S$199, $A476)),0)))),"United States of America")</f>
        <v/>
      </c>
      <c r="D476" s="108" t="str">
        <f t="array" ref="D476">IF(A476="","",IF(ISNUMBER(MATCH(TRUE,ISNUMBER(SEARCH($Q$2:$Q$51, $A476)),0))=TRUE,"",IF(ISNUMBER(MATCH(TRUE,ISNUMBER(SEARCH($S$2:$S$199, $A476)),0))=TRUE,"","미국 확인 필요")))</f>
        <v/>
      </c>
    </row>
    <row r="477" spans="3:4">
      <c r="C477" s="108" t="str">
        <f t="array" ref="C477">IFERROR(IF(A477="","",IF(ISNUMBER(MATCH(TRUE,ISNUMBER(SEARCH($Q$2:$Q$51, $A477)),0))=TRUE,"United States of America",INDEX($S$2:$S$199,MATCH(TRUE,ISNUMBER(SEARCH($S$2:$S$199, $A477)),0)))),"United States of America")</f>
        <v/>
      </c>
      <c r="D477" s="108" t="str">
        <f t="array" ref="D477">IF(A477="","",IF(ISNUMBER(MATCH(TRUE,ISNUMBER(SEARCH($Q$2:$Q$51, $A477)),0))=TRUE,"",IF(ISNUMBER(MATCH(TRUE,ISNUMBER(SEARCH($S$2:$S$199, $A477)),0))=TRUE,"","미국 확인 필요")))</f>
        <v/>
      </c>
    </row>
    <row r="478" spans="3:4">
      <c r="C478" s="108" t="str">
        <f t="array" ref="C478">IFERROR(IF(A478="","",IF(ISNUMBER(MATCH(TRUE,ISNUMBER(SEARCH($Q$2:$Q$51, $A478)),0))=TRUE,"United States of America",INDEX($S$2:$S$199,MATCH(TRUE,ISNUMBER(SEARCH($S$2:$S$199, $A478)),0)))),"United States of America")</f>
        <v/>
      </c>
      <c r="D478" s="108" t="str">
        <f t="array" ref="D478">IF(A478="","",IF(ISNUMBER(MATCH(TRUE,ISNUMBER(SEARCH($Q$2:$Q$51, $A478)),0))=TRUE,"",IF(ISNUMBER(MATCH(TRUE,ISNUMBER(SEARCH($S$2:$S$199, $A478)),0))=TRUE,"","미국 확인 필요")))</f>
        <v/>
      </c>
    </row>
    <row r="479" spans="3:4">
      <c r="C479" s="108" t="str">
        <f t="array" ref="C479">IFERROR(IF(A479="","",IF(ISNUMBER(MATCH(TRUE,ISNUMBER(SEARCH($Q$2:$Q$51, $A479)),0))=TRUE,"United States of America",INDEX($S$2:$S$199,MATCH(TRUE,ISNUMBER(SEARCH($S$2:$S$199, $A479)),0)))),"United States of America")</f>
        <v/>
      </c>
      <c r="D479" s="108" t="str">
        <f t="array" ref="D479">IF(A479="","",IF(ISNUMBER(MATCH(TRUE,ISNUMBER(SEARCH($Q$2:$Q$51, $A479)),0))=TRUE,"",IF(ISNUMBER(MATCH(TRUE,ISNUMBER(SEARCH($S$2:$S$199, $A479)),0))=TRUE,"","미국 확인 필요")))</f>
        <v/>
      </c>
    </row>
    <row r="480" spans="3:4">
      <c r="C480" s="108" t="str">
        <f t="array" ref="C480">IFERROR(IF(A480="","",IF(ISNUMBER(MATCH(TRUE,ISNUMBER(SEARCH($Q$2:$Q$51, $A480)),0))=TRUE,"United States of America",INDEX($S$2:$S$199,MATCH(TRUE,ISNUMBER(SEARCH($S$2:$S$199, $A480)),0)))),"United States of America")</f>
        <v/>
      </c>
      <c r="D480" s="108" t="str">
        <f t="array" ref="D480">IF(A480="","",IF(ISNUMBER(MATCH(TRUE,ISNUMBER(SEARCH($Q$2:$Q$51, $A480)),0))=TRUE,"",IF(ISNUMBER(MATCH(TRUE,ISNUMBER(SEARCH($S$2:$S$199, $A480)),0))=TRUE,"","미국 확인 필요")))</f>
        <v/>
      </c>
    </row>
    <row r="481" spans="3:4">
      <c r="C481" s="108" t="str">
        <f t="array" ref="C481">IFERROR(IF(A481="","",IF(ISNUMBER(MATCH(TRUE,ISNUMBER(SEARCH($Q$2:$Q$51, $A481)),0))=TRUE,"United States of America",INDEX($S$2:$S$199,MATCH(TRUE,ISNUMBER(SEARCH($S$2:$S$199, $A481)),0)))),"United States of America")</f>
        <v/>
      </c>
      <c r="D481" s="108" t="str">
        <f t="array" ref="D481">IF(A481="","",IF(ISNUMBER(MATCH(TRUE,ISNUMBER(SEARCH($Q$2:$Q$51, $A481)),0))=TRUE,"",IF(ISNUMBER(MATCH(TRUE,ISNUMBER(SEARCH($S$2:$S$199, $A481)),0))=TRUE,"","미국 확인 필요")))</f>
        <v/>
      </c>
    </row>
    <row r="482" spans="3:4">
      <c r="C482" s="108" t="str">
        <f t="array" ref="C482">IFERROR(IF(A482="","",IF(ISNUMBER(MATCH(TRUE,ISNUMBER(SEARCH($Q$2:$Q$51, $A482)),0))=TRUE,"United States of America",INDEX($S$2:$S$199,MATCH(TRUE,ISNUMBER(SEARCH($S$2:$S$199, $A482)),0)))),"United States of America")</f>
        <v/>
      </c>
      <c r="D482" s="108" t="str">
        <f t="array" ref="D482">IF(A482="","",IF(ISNUMBER(MATCH(TRUE,ISNUMBER(SEARCH($Q$2:$Q$51, $A482)),0))=TRUE,"",IF(ISNUMBER(MATCH(TRUE,ISNUMBER(SEARCH($S$2:$S$199, $A482)),0))=TRUE,"","미국 확인 필요")))</f>
        <v/>
      </c>
    </row>
    <row r="483" spans="3:4">
      <c r="C483" s="108" t="str">
        <f t="array" ref="C483">IFERROR(IF(A483="","",IF(ISNUMBER(MATCH(TRUE,ISNUMBER(SEARCH($Q$2:$Q$51, $A483)),0))=TRUE,"United States of America",INDEX($S$2:$S$199,MATCH(TRUE,ISNUMBER(SEARCH($S$2:$S$199, $A483)),0)))),"United States of America")</f>
        <v/>
      </c>
      <c r="D483" s="108" t="str">
        <f t="array" ref="D483">IF(A483="","",IF(ISNUMBER(MATCH(TRUE,ISNUMBER(SEARCH($Q$2:$Q$51, $A483)),0))=TRUE,"",IF(ISNUMBER(MATCH(TRUE,ISNUMBER(SEARCH($S$2:$S$199, $A483)),0))=TRUE,"","미국 확인 필요")))</f>
        <v/>
      </c>
    </row>
    <row r="484" spans="3:4">
      <c r="C484" s="108" t="str">
        <f t="array" ref="C484">IFERROR(IF(A484="","",IF(ISNUMBER(MATCH(TRUE,ISNUMBER(SEARCH($Q$2:$Q$51, $A484)),0))=TRUE,"United States of America",INDEX($S$2:$S$199,MATCH(TRUE,ISNUMBER(SEARCH($S$2:$S$199, $A484)),0)))),"United States of America")</f>
        <v/>
      </c>
      <c r="D484" s="108" t="str">
        <f t="array" ref="D484">IF(A484="","",IF(ISNUMBER(MATCH(TRUE,ISNUMBER(SEARCH($Q$2:$Q$51, $A484)),0))=TRUE,"",IF(ISNUMBER(MATCH(TRUE,ISNUMBER(SEARCH($S$2:$S$199, $A484)),0))=TRUE,"","미국 확인 필요")))</f>
        <v/>
      </c>
    </row>
    <row r="485" spans="3:4">
      <c r="C485" s="108" t="str">
        <f t="array" ref="C485">IFERROR(IF(A485="","",IF(ISNUMBER(MATCH(TRUE,ISNUMBER(SEARCH($Q$2:$Q$51, $A485)),0))=TRUE,"United States of America",INDEX($S$2:$S$199,MATCH(TRUE,ISNUMBER(SEARCH($S$2:$S$199, $A485)),0)))),"United States of America")</f>
        <v/>
      </c>
      <c r="D485" s="108" t="str">
        <f t="array" ref="D485">IF(A485="","",IF(ISNUMBER(MATCH(TRUE,ISNUMBER(SEARCH($Q$2:$Q$51, $A485)),0))=TRUE,"",IF(ISNUMBER(MATCH(TRUE,ISNUMBER(SEARCH($S$2:$S$199, $A485)),0))=TRUE,"","미국 확인 필요")))</f>
        <v/>
      </c>
    </row>
    <row r="486" spans="3:4">
      <c r="C486" s="108" t="str">
        <f t="array" ref="C486">IFERROR(IF(A486="","",IF(ISNUMBER(MATCH(TRUE,ISNUMBER(SEARCH($Q$2:$Q$51, $A486)),0))=TRUE,"United States of America",INDEX($S$2:$S$199,MATCH(TRUE,ISNUMBER(SEARCH($S$2:$S$199, $A486)),0)))),"United States of America")</f>
        <v/>
      </c>
      <c r="D486" s="108" t="str">
        <f t="array" ref="D486">IF(A486="","",IF(ISNUMBER(MATCH(TRUE,ISNUMBER(SEARCH($Q$2:$Q$51, $A486)),0))=TRUE,"",IF(ISNUMBER(MATCH(TRUE,ISNUMBER(SEARCH($S$2:$S$199, $A486)),0))=TRUE,"","미국 확인 필요")))</f>
        <v/>
      </c>
    </row>
    <row r="487" spans="3:4">
      <c r="C487" s="108" t="str">
        <f t="array" ref="C487">IFERROR(IF(A487="","",IF(ISNUMBER(MATCH(TRUE,ISNUMBER(SEARCH($Q$2:$Q$51, $A487)),0))=TRUE,"United States of America",INDEX($S$2:$S$199,MATCH(TRUE,ISNUMBER(SEARCH($S$2:$S$199, $A487)),0)))),"United States of America")</f>
        <v/>
      </c>
      <c r="D487" s="108" t="str">
        <f t="array" ref="D487">IF(A487="","",IF(ISNUMBER(MATCH(TRUE,ISNUMBER(SEARCH($Q$2:$Q$51, $A487)),0))=TRUE,"",IF(ISNUMBER(MATCH(TRUE,ISNUMBER(SEARCH($S$2:$S$199, $A487)),0))=TRUE,"","미국 확인 필요")))</f>
        <v/>
      </c>
    </row>
    <row r="488" spans="3:4">
      <c r="C488" s="108" t="str">
        <f t="array" ref="C488">IFERROR(IF(A488="","",IF(ISNUMBER(MATCH(TRUE,ISNUMBER(SEARCH($Q$2:$Q$51, $A488)),0))=TRUE,"United States of America",INDEX($S$2:$S$199,MATCH(TRUE,ISNUMBER(SEARCH($S$2:$S$199, $A488)),0)))),"United States of America")</f>
        <v/>
      </c>
      <c r="D488" s="108" t="str">
        <f t="array" ref="D488">IF(A488="","",IF(ISNUMBER(MATCH(TRUE,ISNUMBER(SEARCH($Q$2:$Q$51, $A488)),0))=TRUE,"",IF(ISNUMBER(MATCH(TRUE,ISNUMBER(SEARCH($S$2:$S$199, $A488)),0))=TRUE,"","미국 확인 필요")))</f>
        <v/>
      </c>
    </row>
    <row r="489" spans="3:4">
      <c r="C489" s="108" t="str">
        <f t="array" ref="C489">IFERROR(IF(A489="","",IF(ISNUMBER(MATCH(TRUE,ISNUMBER(SEARCH($Q$2:$Q$51, $A489)),0))=TRUE,"United States of America",INDEX($S$2:$S$199,MATCH(TRUE,ISNUMBER(SEARCH($S$2:$S$199, $A489)),0)))),"United States of America")</f>
        <v/>
      </c>
      <c r="D489" s="108" t="str">
        <f t="array" ref="D489">IF(A489="","",IF(ISNUMBER(MATCH(TRUE,ISNUMBER(SEARCH($Q$2:$Q$51, $A489)),0))=TRUE,"",IF(ISNUMBER(MATCH(TRUE,ISNUMBER(SEARCH($S$2:$S$199, $A489)),0))=TRUE,"","미국 확인 필요")))</f>
        <v/>
      </c>
    </row>
    <row r="490" spans="3:4">
      <c r="C490" s="108" t="str">
        <f t="array" ref="C490">IFERROR(IF(A490="","",IF(ISNUMBER(MATCH(TRUE,ISNUMBER(SEARCH($Q$2:$Q$51, $A490)),0))=TRUE,"United States of America",INDEX($S$2:$S$199,MATCH(TRUE,ISNUMBER(SEARCH($S$2:$S$199, $A490)),0)))),"United States of America")</f>
        <v/>
      </c>
      <c r="D490" s="108" t="str">
        <f t="array" ref="D490">IF(A490="","",IF(ISNUMBER(MATCH(TRUE,ISNUMBER(SEARCH($Q$2:$Q$51, $A490)),0))=TRUE,"",IF(ISNUMBER(MATCH(TRUE,ISNUMBER(SEARCH($S$2:$S$199, $A490)),0))=TRUE,"","미국 확인 필요")))</f>
        <v/>
      </c>
    </row>
    <row r="491" spans="3:4">
      <c r="C491" s="108" t="str">
        <f t="array" ref="C491">IFERROR(IF(A491="","",IF(ISNUMBER(MATCH(TRUE,ISNUMBER(SEARCH($Q$2:$Q$51, $A491)),0))=TRUE,"United States of America",INDEX($S$2:$S$199,MATCH(TRUE,ISNUMBER(SEARCH($S$2:$S$199, $A491)),0)))),"United States of America")</f>
        <v/>
      </c>
      <c r="D491" s="108" t="str">
        <f t="array" ref="D491">IF(A491="","",IF(ISNUMBER(MATCH(TRUE,ISNUMBER(SEARCH($Q$2:$Q$51, $A491)),0))=TRUE,"",IF(ISNUMBER(MATCH(TRUE,ISNUMBER(SEARCH($S$2:$S$199, $A491)),0))=TRUE,"","미국 확인 필요")))</f>
        <v/>
      </c>
    </row>
    <row r="492" spans="3:4">
      <c r="C492" s="108" t="str">
        <f t="array" ref="C492">IFERROR(IF(A492="","",IF(ISNUMBER(MATCH(TRUE,ISNUMBER(SEARCH($Q$2:$Q$51, $A492)),0))=TRUE,"United States of America",INDEX($S$2:$S$199,MATCH(TRUE,ISNUMBER(SEARCH($S$2:$S$199, $A492)),0)))),"United States of America")</f>
        <v/>
      </c>
      <c r="D492" s="108" t="str">
        <f t="array" ref="D492">IF(A492="","",IF(ISNUMBER(MATCH(TRUE,ISNUMBER(SEARCH($Q$2:$Q$51, $A492)),0))=TRUE,"",IF(ISNUMBER(MATCH(TRUE,ISNUMBER(SEARCH($S$2:$S$199, $A492)),0))=TRUE,"","미국 확인 필요")))</f>
        <v/>
      </c>
    </row>
    <row r="493" spans="3:4">
      <c r="C493" s="108" t="str">
        <f t="array" ref="C493">IFERROR(IF(A493="","",IF(ISNUMBER(MATCH(TRUE,ISNUMBER(SEARCH($Q$2:$Q$51, $A493)),0))=TRUE,"United States of America",INDEX($S$2:$S$199,MATCH(TRUE,ISNUMBER(SEARCH($S$2:$S$199, $A493)),0)))),"United States of America")</f>
        <v/>
      </c>
      <c r="D493" s="108" t="str">
        <f t="array" ref="D493">IF(A493="","",IF(ISNUMBER(MATCH(TRUE,ISNUMBER(SEARCH($Q$2:$Q$51, $A493)),0))=TRUE,"",IF(ISNUMBER(MATCH(TRUE,ISNUMBER(SEARCH($S$2:$S$199, $A493)),0))=TRUE,"","미국 확인 필요")))</f>
        <v/>
      </c>
    </row>
    <row r="494" spans="3:4">
      <c r="C494" s="108" t="str">
        <f t="array" ref="C494">IFERROR(IF(A494="","",IF(ISNUMBER(MATCH(TRUE,ISNUMBER(SEARCH($Q$2:$Q$51, $A494)),0))=TRUE,"United States of America",INDEX($S$2:$S$199,MATCH(TRUE,ISNUMBER(SEARCH($S$2:$S$199, $A494)),0)))),"United States of America")</f>
        <v/>
      </c>
      <c r="D494" s="108" t="str">
        <f t="array" ref="D494">IF(A494="","",IF(ISNUMBER(MATCH(TRUE,ISNUMBER(SEARCH($Q$2:$Q$51, $A494)),0))=TRUE,"",IF(ISNUMBER(MATCH(TRUE,ISNUMBER(SEARCH($S$2:$S$199, $A494)),0))=TRUE,"","미국 확인 필요")))</f>
        <v/>
      </c>
    </row>
    <row r="495" spans="3:4">
      <c r="C495" s="108" t="str">
        <f t="array" ref="C495">IFERROR(IF(A495="","",IF(ISNUMBER(MATCH(TRUE,ISNUMBER(SEARCH($Q$2:$Q$51, $A495)),0))=TRUE,"United States of America",INDEX($S$2:$S$199,MATCH(TRUE,ISNUMBER(SEARCH($S$2:$S$199, $A495)),0)))),"United States of America")</f>
        <v/>
      </c>
      <c r="D495" s="108" t="str">
        <f t="array" ref="D495">IF(A495="","",IF(ISNUMBER(MATCH(TRUE,ISNUMBER(SEARCH($Q$2:$Q$51, $A495)),0))=TRUE,"",IF(ISNUMBER(MATCH(TRUE,ISNUMBER(SEARCH($S$2:$S$199, $A495)),0))=TRUE,"","미국 확인 필요")))</f>
        <v/>
      </c>
    </row>
    <row r="496" spans="3:4">
      <c r="C496" s="108" t="str">
        <f t="array" ref="C496">IFERROR(IF(A496="","",IF(ISNUMBER(MATCH(TRUE,ISNUMBER(SEARCH($Q$2:$Q$51, $A496)),0))=TRUE,"United States of America",INDEX($S$2:$S$199,MATCH(TRUE,ISNUMBER(SEARCH($S$2:$S$199, $A496)),0)))),"United States of America")</f>
        <v/>
      </c>
      <c r="D496" s="108" t="str">
        <f t="array" ref="D496">IF(A496="","",IF(ISNUMBER(MATCH(TRUE,ISNUMBER(SEARCH($Q$2:$Q$51, $A496)),0))=TRUE,"",IF(ISNUMBER(MATCH(TRUE,ISNUMBER(SEARCH($S$2:$S$199, $A496)),0))=TRUE,"","미국 확인 필요")))</f>
        <v/>
      </c>
    </row>
    <row r="497" spans="3:4">
      <c r="C497" s="108" t="str">
        <f t="array" ref="C497">IFERROR(IF(A497="","",IF(ISNUMBER(MATCH(TRUE,ISNUMBER(SEARCH($Q$2:$Q$51, $A497)),0))=TRUE,"United States of America",INDEX($S$2:$S$199,MATCH(TRUE,ISNUMBER(SEARCH($S$2:$S$199, $A497)),0)))),"United States of America")</f>
        <v/>
      </c>
      <c r="D497" s="108" t="str">
        <f t="array" ref="D497">IF(A497="","",IF(ISNUMBER(MATCH(TRUE,ISNUMBER(SEARCH($Q$2:$Q$51, $A497)),0))=TRUE,"",IF(ISNUMBER(MATCH(TRUE,ISNUMBER(SEARCH($S$2:$S$199, $A497)),0))=TRUE,"","미국 확인 필요")))</f>
        <v/>
      </c>
    </row>
    <row r="498" spans="3:4">
      <c r="C498" s="108" t="str">
        <f t="array" ref="C498">IFERROR(IF(A498="","",IF(ISNUMBER(MATCH(TRUE,ISNUMBER(SEARCH($Q$2:$Q$51, $A498)),0))=TRUE,"United States of America",INDEX($S$2:$S$199,MATCH(TRUE,ISNUMBER(SEARCH($S$2:$S$199, $A498)),0)))),"United States of America")</f>
        <v/>
      </c>
      <c r="D498" s="108" t="str">
        <f t="array" ref="D498">IF(A498="","",IF(ISNUMBER(MATCH(TRUE,ISNUMBER(SEARCH($Q$2:$Q$51, $A498)),0))=TRUE,"",IF(ISNUMBER(MATCH(TRUE,ISNUMBER(SEARCH($S$2:$S$199, $A498)),0))=TRUE,"","미국 확인 필요")))</f>
        <v/>
      </c>
    </row>
    <row r="499" spans="3:4">
      <c r="C499" s="108" t="str">
        <f t="array" ref="C499">IFERROR(IF(A499="","",IF(ISNUMBER(MATCH(TRUE,ISNUMBER(SEARCH($Q$2:$Q$51, $A499)),0))=TRUE,"United States of America",INDEX($S$2:$S$199,MATCH(TRUE,ISNUMBER(SEARCH($S$2:$S$199, $A499)),0)))),"United States of America")</f>
        <v/>
      </c>
      <c r="D499" s="108" t="str">
        <f t="array" ref="D499">IF(A499="","",IF(ISNUMBER(MATCH(TRUE,ISNUMBER(SEARCH($Q$2:$Q$51, $A499)),0))=TRUE,"",IF(ISNUMBER(MATCH(TRUE,ISNUMBER(SEARCH($S$2:$S$199, $A499)),0))=TRUE,"","미국 확인 필요")))</f>
        <v/>
      </c>
    </row>
    <row r="500" spans="3:4">
      <c r="C500" s="108" t="str">
        <f t="array" ref="C500">IFERROR(IF(A500="","",IF(ISNUMBER(MATCH(TRUE,ISNUMBER(SEARCH($Q$2:$Q$51, $A500)),0))=TRUE,"United States of America",INDEX($S$2:$S$199,MATCH(TRUE,ISNUMBER(SEARCH($S$2:$S$199, $A500)),0)))),"United States of America")</f>
        <v/>
      </c>
      <c r="D500" s="108" t="str">
        <f t="array" ref="D500">IF(A500="","",IF(ISNUMBER(MATCH(TRUE,ISNUMBER(SEARCH($Q$2:$Q$51, $A500)),0))=TRUE,"",IF(ISNUMBER(MATCH(TRUE,ISNUMBER(SEARCH($S$2:$S$199, $A500)),0))=TRUE,"","미국 확인 필요")))</f>
        <v/>
      </c>
    </row>
  </sheetData>
  <mergeCells count="4">
    <mergeCell ref="L3:N3"/>
    <mergeCell ref="L15:M15"/>
    <mergeCell ref="L21:N21"/>
    <mergeCell ref="L33:M33"/>
  </mergeCells>
  <phoneticPr fontId="1" type="noConversion"/>
  <conditionalFormatting sqref="S1:S1048576">
    <cfRule type="duplicateValues" dxfId="0" priority="1"/>
  </conditionalFormatting>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23FD9D-71AE-4FAF-81A7-15036DDE9929}">
  <sheetPr>
    <tabColor theme="9" tint="0.79998168889431442"/>
  </sheetPr>
  <dimension ref="A1:P47"/>
  <sheetViews>
    <sheetView topLeftCell="A13" zoomScale="115" zoomScaleNormal="115" workbookViewId="0">
      <selection activeCell="H22" sqref="H22:L30"/>
    </sheetView>
  </sheetViews>
  <sheetFormatPr defaultRowHeight="16.5"/>
  <cols>
    <col min="1" max="1" width="34" customWidth="1"/>
    <col min="2" max="2" width="13.75" bestFit="1" customWidth="1"/>
    <col min="3" max="3" width="13.5" bestFit="1" customWidth="1"/>
    <col min="4" max="4" width="12.75" customWidth="1"/>
    <col min="5" max="5" width="13.125" customWidth="1"/>
    <col min="8" max="8" width="4.75" bestFit="1" customWidth="1"/>
    <col min="9" max="9" width="32.75" bestFit="1" customWidth="1"/>
    <col min="10" max="12" width="13.5" customWidth="1"/>
    <col min="15" max="15" width="9.375" customWidth="1"/>
  </cols>
  <sheetData>
    <row r="1" spans="1:10">
      <c r="A1" s="37" t="s">
        <v>804</v>
      </c>
      <c r="B1" s="37" t="s">
        <v>805</v>
      </c>
      <c r="C1" s="37"/>
      <c r="D1" s="37"/>
      <c r="E1" s="37"/>
      <c r="H1" s="396" t="s">
        <v>44</v>
      </c>
      <c r="I1" s="397"/>
      <c r="J1" s="398"/>
    </row>
    <row r="2" spans="1:10" ht="16.5" customHeight="1">
      <c r="A2" s="106" t="s">
        <v>42</v>
      </c>
      <c r="B2" s="106" t="s">
        <v>43</v>
      </c>
      <c r="C2" s="106" t="s">
        <v>44</v>
      </c>
      <c r="D2" s="106" t="s">
        <v>45</v>
      </c>
      <c r="E2" s="106" t="s">
        <v>46</v>
      </c>
      <c r="H2" s="169" t="s">
        <v>150</v>
      </c>
      <c r="I2" s="168" t="s">
        <v>566</v>
      </c>
      <c r="J2" s="193">
        <f>C38</f>
        <v>45444</v>
      </c>
    </row>
    <row r="3" spans="1:10">
      <c r="A3" s="37" t="s">
        <v>47</v>
      </c>
      <c r="B3" s="37">
        <v>7583</v>
      </c>
      <c r="C3" s="37">
        <v>272</v>
      </c>
      <c r="D3" s="37">
        <v>723</v>
      </c>
      <c r="E3" s="37">
        <v>10</v>
      </c>
      <c r="F3">
        <f>RANK(C3,$C$3:$C$11,0)</f>
        <v>8</v>
      </c>
      <c r="H3" s="137">
        <v>1</v>
      </c>
      <c r="I3" s="138" t="str">
        <f>INDEX($A$3:$A$11,MATCH(H3,$F$3:$F$11,0))</f>
        <v>International Vaccine Institute (IVI)</v>
      </c>
      <c r="J3" s="170" t="str">
        <f>TEXT(INDEX($C$3:$C$11,MATCH(H3,$F$3:$F$11,0)),"#,###")&amp;"("&amp;IF(VLOOKUP(I3,$A$39:$C$47,3,FALSE)-VLOOKUP(I3,$A$39:$C$47,2,FALSE)&gt;=0,"▲","▼")&amp;TEXT(ABS(VLOOKUP(I3,$A$39:$C$47,3,FALSE)-VLOOKUP(I3,$A$39:$C$47,2,FALSE)),"#,###")&amp;")"</f>
        <v>968(▼400)</v>
      </c>
    </row>
    <row r="4" spans="1:10">
      <c r="A4" s="37" t="s">
        <v>48</v>
      </c>
      <c r="B4" s="37">
        <v>10884</v>
      </c>
      <c r="C4" s="37">
        <v>604</v>
      </c>
      <c r="D4" s="37">
        <v>1331</v>
      </c>
      <c r="E4" s="37">
        <v>4</v>
      </c>
      <c r="F4">
        <f t="shared" ref="F4:F11" si="0">RANK(C4,$C$3:$C$11,0)</f>
        <v>5</v>
      </c>
      <c r="H4" s="137">
        <v>2</v>
      </c>
      <c r="I4" s="138" t="str">
        <f t="shared" ref="I4:I11" si="1">INDEX($A$3:$A$11,MATCH(H4,$F$3:$F$11,0))</f>
        <v>SK bioscience</v>
      </c>
      <c r="J4" s="170" t="str">
        <f t="shared" ref="J4:J11" si="2">TEXT(INDEX($C$3:$C$11,MATCH(H4,$F$3:$F$11,0)),"#,###")&amp;"("&amp;IF(VLOOKUP(I4,$A$39:$C$47,3,FALSE)-VLOOKUP(I4,$A$39:$C$47,2,FALSE)&gt;=0,"▲","▼")&amp;TEXT(ABS(VLOOKUP(I4,$A$39:$C$47,3,FALSE)-VLOOKUP(I4,$A$39:$C$47,2,FALSE)),"#,###")&amp;")"</f>
        <v>859(▼1,081)</v>
      </c>
    </row>
    <row r="5" spans="1:10">
      <c r="A5" s="37" t="s">
        <v>49</v>
      </c>
      <c r="B5" s="37">
        <v>33753</v>
      </c>
      <c r="C5" s="37">
        <v>968</v>
      </c>
      <c r="D5" s="37">
        <v>2039</v>
      </c>
      <c r="E5" s="37">
        <v>10</v>
      </c>
      <c r="F5">
        <f t="shared" si="0"/>
        <v>1</v>
      </c>
      <c r="H5" s="137">
        <v>3</v>
      </c>
      <c r="I5" s="138" t="str">
        <f t="shared" si="1"/>
        <v>Samsung Biologics</v>
      </c>
      <c r="J5" s="170" t="str">
        <f t="shared" si="2"/>
        <v>803(▲80)</v>
      </c>
    </row>
    <row r="6" spans="1:10">
      <c r="A6" s="37" t="s">
        <v>50</v>
      </c>
      <c r="B6" s="37">
        <v>80574</v>
      </c>
      <c r="C6" s="37">
        <v>688</v>
      </c>
      <c r="D6" s="37">
        <v>1111</v>
      </c>
      <c r="E6" s="37">
        <v>10</v>
      </c>
      <c r="F6">
        <f t="shared" si="0"/>
        <v>4</v>
      </c>
      <c r="H6" s="140">
        <v>4</v>
      </c>
      <c r="I6" s="138" t="str">
        <f t="shared" si="1"/>
        <v>Celltrion Inc</v>
      </c>
      <c r="J6" s="170" t="str">
        <f t="shared" si="2"/>
        <v>688(▼134)</v>
      </c>
    </row>
    <row r="7" spans="1:10">
      <c r="A7" s="37" t="s">
        <v>51</v>
      </c>
      <c r="B7" s="37">
        <v>74210</v>
      </c>
      <c r="C7" s="37">
        <v>328</v>
      </c>
      <c r="D7" s="37">
        <v>10</v>
      </c>
      <c r="E7" s="37">
        <v>0</v>
      </c>
      <c r="F7">
        <f t="shared" si="0"/>
        <v>7</v>
      </c>
      <c r="H7" s="137">
        <v>5</v>
      </c>
      <c r="I7" s="138" t="str">
        <f t="shared" si="1"/>
        <v>LOTTE BIOLOGICS</v>
      </c>
      <c r="J7" s="170" t="str">
        <f t="shared" si="2"/>
        <v>604(▲160)</v>
      </c>
    </row>
    <row r="8" spans="1:10">
      <c r="A8" s="37" t="s">
        <v>52</v>
      </c>
      <c r="B8" s="37">
        <v>8822</v>
      </c>
      <c r="C8" s="37">
        <v>122</v>
      </c>
      <c r="D8" s="37">
        <v>0</v>
      </c>
      <c r="E8" s="37">
        <v>0</v>
      </c>
      <c r="F8">
        <f t="shared" si="0"/>
        <v>9</v>
      </c>
      <c r="H8" s="137">
        <v>6</v>
      </c>
      <c r="I8" s="138" t="str">
        <f t="shared" si="1"/>
        <v>한국아스트라제네카 AstraZeneca Korea</v>
      </c>
      <c r="J8" s="170" t="str">
        <f t="shared" si="2"/>
        <v>403(▲114)</v>
      </c>
    </row>
    <row r="9" spans="1:10">
      <c r="A9" s="37" t="s">
        <v>53</v>
      </c>
      <c r="B9" s="37">
        <v>20421</v>
      </c>
      <c r="C9" s="37">
        <v>859</v>
      </c>
      <c r="D9" s="37">
        <v>2058</v>
      </c>
      <c r="E9" s="37">
        <v>12</v>
      </c>
      <c r="F9">
        <f t="shared" si="0"/>
        <v>2</v>
      </c>
      <c r="H9" s="137">
        <v>7</v>
      </c>
      <c r="I9" s="138" t="str">
        <f t="shared" si="1"/>
        <v>Samsung Bioepis</v>
      </c>
      <c r="J9" s="170" t="str">
        <f t="shared" si="2"/>
        <v>328(▼38)</v>
      </c>
    </row>
    <row r="10" spans="1:10">
      <c r="A10" s="37" t="s">
        <v>54</v>
      </c>
      <c r="B10" s="37">
        <v>3387</v>
      </c>
      <c r="C10" s="37">
        <v>403</v>
      </c>
      <c r="D10" s="37">
        <v>727</v>
      </c>
      <c r="E10" s="37">
        <v>7</v>
      </c>
      <c r="F10">
        <f t="shared" si="0"/>
        <v>6</v>
      </c>
      <c r="H10" s="137">
        <v>8</v>
      </c>
      <c r="I10" s="138" t="str">
        <f t="shared" si="1"/>
        <v>GC Biopharma (GC녹십자)</v>
      </c>
      <c r="J10" s="170" t="str">
        <f t="shared" si="2"/>
        <v>272(▲60)</v>
      </c>
    </row>
    <row r="11" spans="1:10" ht="17.25" thickBot="1">
      <c r="A11" s="37" t="s">
        <v>55</v>
      </c>
      <c r="B11" s="37">
        <v>44553</v>
      </c>
      <c r="C11" s="37">
        <v>803</v>
      </c>
      <c r="D11" s="37">
        <v>1377</v>
      </c>
      <c r="E11" s="37">
        <v>16</v>
      </c>
      <c r="F11">
        <f t="shared" si="0"/>
        <v>3</v>
      </c>
      <c r="H11" s="171">
        <v>9</v>
      </c>
      <c r="I11" s="172" t="str">
        <f t="shared" si="1"/>
        <v>SK Biopharmaceuticals</v>
      </c>
      <c r="J11" s="173" t="str">
        <f t="shared" si="2"/>
        <v>122(▲24)</v>
      </c>
    </row>
    <row r="19" spans="1:12" ht="17.25" thickBot="1"/>
    <row r="20" spans="1:12" ht="17.25" thickBot="1">
      <c r="H20" s="399" t="s">
        <v>567</v>
      </c>
      <c r="I20" s="400"/>
      <c r="J20" s="400"/>
      <c r="K20" s="400"/>
      <c r="L20" s="401"/>
    </row>
    <row r="21" spans="1:12" ht="17.25" thickBot="1">
      <c r="A21" s="190"/>
      <c r="B21" s="327">
        <f>'일간 팔로워'!J1</f>
        <v>45444</v>
      </c>
      <c r="C21" s="191">
        <v>45413</v>
      </c>
      <c r="D21" s="328">
        <v>45383</v>
      </c>
      <c r="H21" s="184" t="s">
        <v>150</v>
      </c>
      <c r="I21" s="185" t="s">
        <v>566</v>
      </c>
      <c r="J21" s="186">
        <f>B21</f>
        <v>45444</v>
      </c>
      <c r="K21" s="186">
        <f>C21</f>
        <v>45413</v>
      </c>
      <c r="L21" s="187">
        <f>D21</f>
        <v>45383</v>
      </c>
    </row>
    <row r="22" spans="1:12" ht="16.5" customHeight="1">
      <c r="A22" s="188" t="s">
        <v>47</v>
      </c>
      <c r="B22" s="326">
        <f t="shared" ref="B22:B30" si="3">VLOOKUP(A22,$A$3:$B$11,2,FALSE)</f>
        <v>7583</v>
      </c>
      <c r="C22" s="10">
        <v>7278</v>
      </c>
      <c r="D22" s="11">
        <v>7125</v>
      </c>
      <c r="E22">
        <f t="shared" ref="E22:E30" si="4">RANK(B22,$B$22:$B$30,0)</f>
        <v>8</v>
      </c>
      <c r="H22" s="180">
        <v>1</v>
      </c>
      <c r="I22" s="329" t="str">
        <f t="shared" ref="I22:I30" si="5">INDEX(A$22:A$30,MATCH($H22,$E$22:$E$30,0))</f>
        <v>Celltrion Inc</v>
      </c>
      <c r="J22" s="182">
        <f t="shared" ref="J22:J30" si="6">INDEX(B$22:B$30,MATCH($H22,$E$22:$E$30,0))</f>
        <v>80574</v>
      </c>
      <c r="K22" s="182">
        <f t="shared" ref="K22:K30" si="7">INDEX(C$22:C$30,MATCH($H22,$E$22:$E$30,0))</f>
        <v>79841</v>
      </c>
      <c r="L22" s="183">
        <f t="shared" ref="L22:L30" si="8">INDEX(D$22:D$30,MATCH($H22,$E$22:$E$30,0))</f>
        <v>79288</v>
      </c>
    </row>
    <row r="23" spans="1:12">
      <c r="A23" s="174" t="s">
        <v>48</v>
      </c>
      <c r="B23" s="17">
        <f t="shared" si="3"/>
        <v>10884</v>
      </c>
      <c r="C23" s="2">
        <v>10284</v>
      </c>
      <c r="D23" s="4">
        <v>9952</v>
      </c>
      <c r="E23">
        <f t="shared" si="4"/>
        <v>6</v>
      </c>
      <c r="H23" s="137">
        <v>2</v>
      </c>
      <c r="I23" s="330" t="str">
        <f t="shared" si="5"/>
        <v>Samsung Bioepis</v>
      </c>
      <c r="J23" s="176">
        <f t="shared" si="6"/>
        <v>74210</v>
      </c>
      <c r="K23" s="176">
        <f t="shared" si="7"/>
        <v>73942</v>
      </c>
      <c r="L23" s="177">
        <f t="shared" si="8"/>
        <v>73725</v>
      </c>
    </row>
    <row r="24" spans="1:12">
      <c r="A24" s="174" t="s">
        <v>49</v>
      </c>
      <c r="B24" s="17">
        <f t="shared" si="3"/>
        <v>33753</v>
      </c>
      <c r="C24" s="2">
        <v>32693</v>
      </c>
      <c r="D24" s="4">
        <v>31905</v>
      </c>
      <c r="E24">
        <f t="shared" si="4"/>
        <v>4</v>
      </c>
      <c r="H24" s="137">
        <v>3</v>
      </c>
      <c r="I24" s="330" t="str">
        <f t="shared" si="5"/>
        <v>Samsung Biologics</v>
      </c>
      <c r="J24" s="176">
        <f t="shared" si="6"/>
        <v>44553</v>
      </c>
      <c r="K24" s="176">
        <f t="shared" si="7"/>
        <v>43640</v>
      </c>
      <c r="L24" s="177">
        <f t="shared" si="8"/>
        <v>43161</v>
      </c>
    </row>
    <row r="25" spans="1:12">
      <c r="A25" s="174" t="s">
        <v>50</v>
      </c>
      <c r="B25" s="17">
        <f t="shared" si="3"/>
        <v>80574</v>
      </c>
      <c r="C25" s="2">
        <v>79841</v>
      </c>
      <c r="D25" s="4">
        <v>79288</v>
      </c>
      <c r="E25">
        <f t="shared" si="4"/>
        <v>1</v>
      </c>
      <c r="H25" s="140">
        <v>4</v>
      </c>
      <c r="I25" s="330" t="str">
        <f t="shared" si="5"/>
        <v>International Vaccine Institute (IVI)</v>
      </c>
      <c r="J25" s="176">
        <f t="shared" si="6"/>
        <v>33753</v>
      </c>
      <c r="K25" s="176">
        <f t="shared" si="7"/>
        <v>32693</v>
      </c>
      <c r="L25" s="177">
        <f t="shared" si="8"/>
        <v>31905</v>
      </c>
    </row>
    <row r="26" spans="1:12">
      <c r="A26" s="174" t="s">
        <v>51</v>
      </c>
      <c r="B26" s="17">
        <f t="shared" si="3"/>
        <v>74210</v>
      </c>
      <c r="C26" s="2">
        <v>73942</v>
      </c>
      <c r="D26" s="4">
        <v>73725</v>
      </c>
      <c r="E26">
        <f t="shared" si="4"/>
        <v>2</v>
      </c>
      <c r="H26" s="137">
        <v>5</v>
      </c>
      <c r="I26" s="330" t="str">
        <f t="shared" si="5"/>
        <v>SK bioscience</v>
      </c>
      <c r="J26" s="176">
        <f t="shared" si="6"/>
        <v>20421</v>
      </c>
      <c r="K26" s="176">
        <f t="shared" si="7"/>
        <v>19624</v>
      </c>
      <c r="L26" s="177">
        <f t="shared" si="8"/>
        <v>19155</v>
      </c>
    </row>
    <row r="27" spans="1:12">
      <c r="A27" s="174" t="s">
        <v>52</v>
      </c>
      <c r="B27" s="17">
        <f t="shared" si="3"/>
        <v>8822</v>
      </c>
      <c r="C27" s="2">
        <v>8697</v>
      </c>
      <c r="D27" s="4">
        <v>8617</v>
      </c>
      <c r="E27">
        <f t="shared" si="4"/>
        <v>7</v>
      </c>
      <c r="H27" s="137">
        <v>6</v>
      </c>
      <c r="I27" s="330" t="str">
        <f t="shared" si="5"/>
        <v>LOTTE BIOLOGICS</v>
      </c>
      <c r="J27" s="176">
        <f t="shared" si="6"/>
        <v>10884</v>
      </c>
      <c r="K27" s="176">
        <f t="shared" si="7"/>
        <v>10284</v>
      </c>
      <c r="L27" s="177">
        <f t="shared" si="8"/>
        <v>9952</v>
      </c>
    </row>
    <row r="28" spans="1:12">
      <c r="A28" s="174" t="s">
        <v>53</v>
      </c>
      <c r="B28" s="17">
        <f t="shared" si="3"/>
        <v>20421</v>
      </c>
      <c r="C28" s="2">
        <v>19624</v>
      </c>
      <c r="D28" s="4">
        <v>19155</v>
      </c>
      <c r="E28">
        <f t="shared" si="4"/>
        <v>5</v>
      </c>
      <c r="H28" s="137">
        <v>7</v>
      </c>
      <c r="I28" s="330" t="str">
        <f t="shared" si="5"/>
        <v>SK Biopharmaceuticals</v>
      </c>
      <c r="J28" s="176">
        <f t="shared" si="6"/>
        <v>8822</v>
      </c>
      <c r="K28" s="176">
        <f t="shared" si="7"/>
        <v>8697</v>
      </c>
      <c r="L28" s="177">
        <f t="shared" si="8"/>
        <v>8617</v>
      </c>
    </row>
    <row r="29" spans="1:12">
      <c r="A29" s="174" t="s">
        <v>54</v>
      </c>
      <c r="B29" s="17">
        <f t="shared" si="3"/>
        <v>3387</v>
      </c>
      <c r="C29" s="2">
        <v>2930</v>
      </c>
      <c r="D29" s="4">
        <v>2707</v>
      </c>
      <c r="E29">
        <f t="shared" si="4"/>
        <v>9</v>
      </c>
      <c r="H29" s="137">
        <v>8</v>
      </c>
      <c r="I29" s="330" t="str">
        <f t="shared" si="5"/>
        <v>GC Biopharma (GC녹십자)</v>
      </c>
      <c r="J29" s="176">
        <f t="shared" si="6"/>
        <v>7583</v>
      </c>
      <c r="K29" s="176">
        <f t="shared" si="7"/>
        <v>7278</v>
      </c>
      <c r="L29" s="177">
        <f t="shared" si="8"/>
        <v>7125</v>
      </c>
    </row>
    <row r="30" spans="1:12" ht="17.25" thickBot="1">
      <c r="A30" s="175" t="s">
        <v>55</v>
      </c>
      <c r="B30" s="19">
        <f t="shared" si="3"/>
        <v>44553</v>
      </c>
      <c r="C30" s="7">
        <v>43640</v>
      </c>
      <c r="D30" s="8">
        <v>43161</v>
      </c>
      <c r="E30">
        <f t="shared" si="4"/>
        <v>3</v>
      </c>
      <c r="H30" s="171">
        <v>9</v>
      </c>
      <c r="I30" s="331" t="str">
        <f t="shared" si="5"/>
        <v>한국아스트라제네카 AstraZeneca Korea</v>
      </c>
      <c r="J30" s="178">
        <f t="shared" si="6"/>
        <v>3387</v>
      </c>
      <c r="K30" s="178">
        <f t="shared" si="7"/>
        <v>2930</v>
      </c>
      <c r="L30" s="179">
        <f t="shared" si="8"/>
        <v>2707</v>
      </c>
    </row>
    <row r="33" spans="1:16">
      <c r="N33" s="166"/>
      <c r="O33" s="166"/>
      <c r="P33" s="167"/>
    </row>
    <row r="37" spans="1:16" ht="17.25" thickBot="1"/>
    <row r="38" spans="1:16" ht="17.25" thickBot="1">
      <c r="A38" s="190"/>
      <c r="B38" s="191">
        <v>45413</v>
      </c>
      <c r="C38" s="192">
        <f>'일간 팔로워'!J1</f>
        <v>45444</v>
      </c>
    </row>
    <row r="39" spans="1:16">
      <c r="A39" s="188" t="s">
        <v>47</v>
      </c>
      <c r="B39" s="10">
        <v>212</v>
      </c>
      <c r="C39" s="189">
        <f>VLOOKUP(A39,$A$3:$E$11,3,FALSE)</f>
        <v>272</v>
      </c>
    </row>
    <row r="40" spans="1:16">
      <c r="A40" s="174" t="s">
        <v>48</v>
      </c>
      <c r="B40" s="2">
        <v>444</v>
      </c>
      <c r="C40" s="124">
        <f t="shared" ref="C40:C47" si="9">VLOOKUP(A40,$A$3:$E$11,3,FALSE)</f>
        <v>604</v>
      </c>
    </row>
    <row r="41" spans="1:16">
      <c r="A41" s="174" t="s">
        <v>49</v>
      </c>
      <c r="B41" s="2">
        <v>1368</v>
      </c>
      <c r="C41" s="124">
        <f t="shared" si="9"/>
        <v>968</v>
      </c>
    </row>
    <row r="42" spans="1:16">
      <c r="A42" s="174" t="s">
        <v>50</v>
      </c>
      <c r="B42" s="2">
        <v>822</v>
      </c>
      <c r="C42" s="124">
        <f t="shared" si="9"/>
        <v>688</v>
      </c>
    </row>
    <row r="43" spans="1:16">
      <c r="A43" s="174" t="s">
        <v>51</v>
      </c>
      <c r="B43" s="2">
        <v>366</v>
      </c>
      <c r="C43" s="124">
        <f t="shared" si="9"/>
        <v>328</v>
      </c>
    </row>
    <row r="44" spans="1:16">
      <c r="A44" s="174" t="s">
        <v>52</v>
      </c>
      <c r="B44" s="2">
        <v>98</v>
      </c>
      <c r="C44" s="124">
        <f t="shared" si="9"/>
        <v>122</v>
      </c>
    </row>
    <row r="45" spans="1:16">
      <c r="A45" s="174" t="s">
        <v>53</v>
      </c>
      <c r="B45" s="2">
        <v>1940</v>
      </c>
      <c r="C45" s="124">
        <f t="shared" si="9"/>
        <v>859</v>
      </c>
    </row>
    <row r="46" spans="1:16">
      <c r="A46" s="174" t="s">
        <v>54</v>
      </c>
      <c r="B46" s="2">
        <v>289</v>
      </c>
      <c r="C46" s="124">
        <f t="shared" si="9"/>
        <v>403</v>
      </c>
    </row>
    <row r="47" spans="1:16" ht="17.25" thickBot="1">
      <c r="A47" s="175" t="s">
        <v>55</v>
      </c>
      <c r="B47" s="7">
        <v>723</v>
      </c>
      <c r="C47" s="20">
        <f t="shared" si="9"/>
        <v>803</v>
      </c>
    </row>
  </sheetData>
  <mergeCells count="2">
    <mergeCell ref="H1:J1"/>
    <mergeCell ref="H20:L20"/>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4B3BD-8957-44DB-AE48-F4C363D7A2C3}">
  <sheetPr>
    <tabColor theme="9" tint="0.79998168889431442"/>
  </sheetPr>
  <dimension ref="A2:W288"/>
  <sheetViews>
    <sheetView workbookViewId="0">
      <selection activeCell="H5" sqref="H5"/>
    </sheetView>
  </sheetViews>
  <sheetFormatPr defaultRowHeight="16.5"/>
  <cols>
    <col min="1" max="1" width="31.625" bestFit="1" customWidth="1"/>
    <col min="2" max="2" width="10.125" bestFit="1" customWidth="1"/>
    <col min="4" max="4" width="8.375" customWidth="1"/>
    <col min="5" max="5" width="31.625" bestFit="1" customWidth="1"/>
    <col min="6" max="6" width="10.125" bestFit="1" customWidth="1"/>
    <col min="10" max="10" width="3.125" bestFit="1" customWidth="1"/>
    <col min="11" max="11" width="21.875" bestFit="1" customWidth="1"/>
    <col min="12" max="12" width="10.75" bestFit="1" customWidth="1"/>
    <col min="13" max="13" width="11.5" bestFit="1" customWidth="1"/>
    <col min="20" max="20" width="3.125" bestFit="1" customWidth="1"/>
    <col min="21" max="21" width="21.875" bestFit="1" customWidth="1"/>
    <col min="22" max="22" width="11.125" bestFit="1" customWidth="1"/>
    <col min="23" max="23" width="11.5" bestFit="1" customWidth="1"/>
  </cols>
  <sheetData>
    <row r="2" spans="1:23">
      <c r="A2" s="147"/>
      <c r="E2" s="147"/>
    </row>
    <row r="3" spans="1:23" ht="17.25" thickBot="1"/>
    <row r="4" spans="1:23">
      <c r="A4" s="148" t="s">
        <v>466</v>
      </c>
      <c r="B4" s="149" t="s">
        <v>467</v>
      </c>
      <c r="E4" s="148" t="s">
        <v>468</v>
      </c>
      <c r="F4" s="149" t="s">
        <v>467</v>
      </c>
      <c r="J4" s="150"/>
      <c r="K4" s="151" t="s">
        <v>469</v>
      </c>
      <c r="L4" s="151" t="s">
        <v>470</v>
      </c>
      <c r="M4" s="152" t="s">
        <v>471</v>
      </c>
      <c r="T4" s="150"/>
      <c r="U4" s="151" t="s">
        <v>472</v>
      </c>
      <c r="V4" s="151" t="s">
        <v>470</v>
      </c>
      <c r="W4" s="152" t="s">
        <v>471</v>
      </c>
    </row>
    <row r="5" spans="1:23">
      <c r="A5" s="153" t="s">
        <v>760</v>
      </c>
      <c r="B5" s="154">
        <v>3</v>
      </c>
      <c r="C5" s="108">
        <f>IF(B5="","",RANK(B5,B:B,0)++COUNTIF($B$1:B4,B5))</f>
        <v>56</v>
      </c>
      <c r="E5" s="153" t="s">
        <v>473</v>
      </c>
      <c r="F5" s="154">
        <v>127</v>
      </c>
      <c r="G5" s="108">
        <f>IF(F5="","",RANK(F5,F:F,0)+COUNTIF($F$1:F4,F5))</f>
        <v>4</v>
      </c>
      <c r="J5" s="155">
        <v>1</v>
      </c>
      <c r="K5" s="21" t="str">
        <f>INDEX($E:$E,MATCH($J5,$G:$G,0))</f>
        <v>Business Development</v>
      </c>
      <c r="L5" s="21">
        <f>INDEX($F:$F,MATCH($J5,$G:$G,0))</f>
        <v>459</v>
      </c>
      <c r="M5" s="156">
        <f t="shared" ref="M5:M14" si="0">L5/SUM(F:F)</f>
        <v>0.21220527045769763</v>
      </c>
      <c r="T5" s="155">
        <v>1</v>
      </c>
      <c r="U5" s="21" t="str">
        <f t="shared" ref="U5:U14" si="1">INDEX($A:$A,MATCH($T5,$C:$C,0))</f>
        <v>Pharmaceutical Manufacturing</v>
      </c>
      <c r="V5" s="21">
        <f t="shared" ref="V5:V14" si="2">INDEX($B:$B,MATCH($T5,$C:$C,0))</f>
        <v>926</v>
      </c>
      <c r="W5" s="156">
        <f t="shared" ref="W5:W14" si="3">V5/SUM(B:B)</f>
        <v>0.28466031355671689</v>
      </c>
    </row>
    <row r="6" spans="1:23">
      <c r="A6" s="153" t="s">
        <v>475</v>
      </c>
      <c r="B6" s="154">
        <v>8</v>
      </c>
      <c r="C6" s="108">
        <f>IF(B6="","",RANK(B6,B:B,0)++COUNTIF($B$1:B5,B6))</f>
        <v>38</v>
      </c>
      <c r="E6" s="153" t="s">
        <v>475</v>
      </c>
      <c r="F6" s="154">
        <v>1</v>
      </c>
      <c r="G6" s="108">
        <f>IF(F6="","",RANK(F6,F:F,0)+COUNTIF($F$1:F5,F6))</f>
        <v>26</v>
      </c>
      <c r="J6" s="155">
        <v>2</v>
      </c>
      <c r="K6" s="21" t="str">
        <f t="shared" ref="K6:K14" si="4">INDEX($E:$E,MATCH($J6,$G:$G,0))</f>
        <v>Research</v>
      </c>
      <c r="L6" s="21">
        <f t="shared" ref="L6:L14" si="5">INDEX($F:$F,MATCH($J6,$G:$G,0))</f>
        <v>367</v>
      </c>
      <c r="M6" s="156">
        <f t="shared" si="0"/>
        <v>0.16967175219602404</v>
      </c>
      <c r="T6" s="155">
        <v>2</v>
      </c>
      <c r="U6" s="21" t="str">
        <f t="shared" si="1"/>
        <v>Biotechnology Research</v>
      </c>
      <c r="V6" s="21">
        <f t="shared" si="2"/>
        <v>881</v>
      </c>
      <c r="W6" s="156">
        <f t="shared" si="3"/>
        <v>0.27082692898862587</v>
      </c>
    </row>
    <row r="7" spans="1:23">
      <c r="A7" s="153" t="s">
        <v>761</v>
      </c>
      <c r="B7" s="154">
        <v>1</v>
      </c>
      <c r="C7" s="108">
        <f>IF(B7="","",RANK(B7,B:B,0)++COUNTIF($B$1:B6,B7))</f>
        <v>78</v>
      </c>
      <c r="E7" s="153" t="s">
        <v>477</v>
      </c>
      <c r="F7" s="154">
        <v>367</v>
      </c>
      <c r="G7" s="108">
        <f>IF(F7="","",RANK(F7,F:F,0)+COUNTIF($F$1:F6,F7))</f>
        <v>2</v>
      </c>
      <c r="J7" s="155">
        <v>3</v>
      </c>
      <c r="K7" s="21" t="str">
        <f t="shared" si="4"/>
        <v>Sales</v>
      </c>
      <c r="L7" s="21">
        <f t="shared" si="5"/>
        <v>190</v>
      </c>
      <c r="M7" s="156">
        <f t="shared" si="0"/>
        <v>8.7840961627369388E-2</v>
      </c>
      <c r="T7" s="155">
        <v>3</v>
      </c>
      <c r="U7" s="21" t="str">
        <f t="shared" si="1"/>
        <v>Advertising Services</v>
      </c>
      <c r="V7" s="21">
        <f t="shared" si="2"/>
        <v>165</v>
      </c>
      <c r="W7" s="156">
        <f t="shared" si="3"/>
        <v>5.0722410083000311E-2</v>
      </c>
    </row>
    <row r="8" spans="1:23">
      <c r="A8" s="153" t="s">
        <v>544</v>
      </c>
      <c r="B8" s="154">
        <v>35</v>
      </c>
      <c r="C8" s="108">
        <f>IF(B8="","",RANK(B8,B:B,0)++COUNTIF($B$1:B7,B8))</f>
        <v>14</v>
      </c>
      <c r="E8" s="153" t="s">
        <v>478</v>
      </c>
      <c r="F8" s="154">
        <v>190</v>
      </c>
      <c r="G8" s="108">
        <f>IF(F8="","",RANK(F8,F:F,0)+COUNTIF($F$1:F7,F8))</f>
        <v>3</v>
      </c>
      <c r="J8" s="155">
        <v>4</v>
      </c>
      <c r="K8" s="21" t="str">
        <f t="shared" si="4"/>
        <v>Quality Assurance</v>
      </c>
      <c r="L8" s="21">
        <f t="shared" si="5"/>
        <v>127</v>
      </c>
      <c r="M8" s="156">
        <f t="shared" si="0"/>
        <v>5.8714748035136384E-2</v>
      </c>
      <c r="T8" s="155">
        <v>4</v>
      </c>
      <c r="U8" s="21" t="str">
        <f t="shared" si="1"/>
        <v>Research Services</v>
      </c>
      <c r="V8" s="21">
        <f t="shared" si="2"/>
        <v>121</v>
      </c>
      <c r="W8" s="156">
        <f t="shared" si="3"/>
        <v>3.7196434060866895E-2</v>
      </c>
    </row>
    <row r="9" spans="1:23">
      <c r="A9" s="153" t="s">
        <v>545</v>
      </c>
      <c r="B9" s="154">
        <v>6</v>
      </c>
      <c r="C9" s="108">
        <f>IF(B9="","",RANK(B9,B:B,0)++COUNTIF($B$1:B8,B9))</f>
        <v>44</v>
      </c>
      <c r="E9" s="153" t="s">
        <v>480</v>
      </c>
      <c r="F9" s="154">
        <v>7</v>
      </c>
      <c r="G9" s="108">
        <f>IF(F9="","",RANK(F9,F:F,0)+COUNTIF($F$1:F8,F9))</f>
        <v>23</v>
      </c>
      <c r="J9" s="155">
        <v>5</v>
      </c>
      <c r="K9" s="21" t="str">
        <f t="shared" si="4"/>
        <v>Information Technology</v>
      </c>
      <c r="L9" s="21">
        <f t="shared" si="5"/>
        <v>122</v>
      </c>
      <c r="M9" s="156">
        <f t="shared" si="0"/>
        <v>5.6403143781784557E-2</v>
      </c>
      <c r="T9" s="155">
        <v>5</v>
      </c>
      <c r="U9" s="21" t="str">
        <f t="shared" si="1"/>
        <v>Hospitals and Health Care</v>
      </c>
      <c r="V9" s="21">
        <f t="shared" si="2"/>
        <v>113</v>
      </c>
      <c r="W9" s="156">
        <f t="shared" si="3"/>
        <v>3.4737165693206271E-2</v>
      </c>
    </row>
    <row r="10" spans="1:23">
      <c r="A10" s="153" t="s">
        <v>496</v>
      </c>
      <c r="B10" s="154">
        <v>18</v>
      </c>
      <c r="C10" s="108">
        <f>IF(B10="","",RANK(B10,B:B,0)++COUNTIF($B$1:B9,B10))</f>
        <v>20</v>
      </c>
      <c r="E10" s="153" t="s">
        <v>481</v>
      </c>
      <c r="F10" s="154">
        <v>36</v>
      </c>
      <c r="G10" s="108">
        <f>IF(F10="","",RANK(F10,F:F,0)+COUNTIF($F$1:F9,F10))</f>
        <v>15</v>
      </c>
      <c r="J10" s="155">
        <v>6</v>
      </c>
      <c r="K10" s="21" t="str">
        <f t="shared" si="4"/>
        <v>Operations</v>
      </c>
      <c r="L10" s="21">
        <f t="shared" si="5"/>
        <v>113</v>
      </c>
      <c r="M10" s="156">
        <f t="shared" si="0"/>
        <v>5.2242256125751271E-2</v>
      </c>
      <c r="T10" s="155">
        <v>6</v>
      </c>
      <c r="U10" s="21" t="str">
        <f t="shared" si="1"/>
        <v>IT Services and IT Consulting</v>
      </c>
      <c r="V10" s="21">
        <f t="shared" si="2"/>
        <v>107</v>
      </c>
      <c r="W10" s="156">
        <f t="shared" si="3"/>
        <v>3.2892714417460805E-2</v>
      </c>
    </row>
    <row r="11" spans="1:23">
      <c r="A11" s="153" t="s">
        <v>546</v>
      </c>
      <c r="B11" s="154">
        <v>2</v>
      </c>
      <c r="C11" s="108">
        <f>IF(B11="","",RANK(B11,B:B,0)++COUNTIF($B$1:B10,B11))</f>
        <v>67</v>
      </c>
      <c r="E11" s="153" t="s">
        <v>483</v>
      </c>
      <c r="F11" s="154">
        <v>54</v>
      </c>
      <c r="G11" s="108">
        <f>IF(F11="","",RANK(F11,F:F,0)+COUNTIF($F$1:F10,F11))</f>
        <v>12</v>
      </c>
      <c r="J11" s="155">
        <v>7</v>
      </c>
      <c r="K11" s="21" t="str">
        <f t="shared" si="4"/>
        <v>Program and Project Management</v>
      </c>
      <c r="L11" s="21">
        <f t="shared" si="5"/>
        <v>89</v>
      </c>
      <c r="M11" s="156">
        <f t="shared" si="0"/>
        <v>4.1146555709662504E-2</v>
      </c>
      <c r="T11" s="155">
        <v>7</v>
      </c>
      <c r="U11" s="21" t="str">
        <f t="shared" si="1"/>
        <v>Software Development</v>
      </c>
      <c r="V11" s="21">
        <f t="shared" si="2"/>
        <v>92</v>
      </c>
      <c r="W11" s="156">
        <f t="shared" si="3"/>
        <v>2.8281586228097143E-2</v>
      </c>
    </row>
    <row r="12" spans="1:23">
      <c r="A12" s="153" t="s">
        <v>474</v>
      </c>
      <c r="B12" s="154">
        <v>3</v>
      </c>
      <c r="C12" s="108">
        <f>IF(B12="","",RANK(B12,B:B,0)++COUNTIF($B$1:B11,B12))</f>
        <v>57</v>
      </c>
      <c r="E12" s="153" t="s">
        <v>485</v>
      </c>
      <c r="F12" s="154">
        <v>52</v>
      </c>
      <c r="G12" s="108">
        <f>IF(F12="","",RANK(F12,F:F,0)+COUNTIF($F$1:F11,F12))</f>
        <v>13</v>
      </c>
      <c r="J12" s="155">
        <v>8</v>
      </c>
      <c r="K12" s="21" t="str">
        <f t="shared" si="4"/>
        <v>Engineering</v>
      </c>
      <c r="L12" s="21">
        <f t="shared" si="5"/>
        <v>84</v>
      </c>
      <c r="M12" s="156">
        <f t="shared" si="0"/>
        <v>3.8834951456310676E-2</v>
      </c>
      <c r="T12" s="155">
        <v>8</v>
      </c>
      <c r="U12" s="21" t="str">
        <f t="shared" si="1"/>
        <v>Higher Education</v>
      </c>
      <c r="V12" s="21">
        <f t="shared" si="2"/>
        <v>52</v>
      </c>
      <c r="W12" s="156">
        <f t="shared" si="3"/>
        <v>1.5985244389794036E-2</v>
      </c>
    </row>
    <row r="13" spans="1:23">
      <c r="A13" s="153" t="s">
        <v>476</v>
      </c>
      <c r="B13" s="154">
        <v>10</v>
      </c>
      <c r="C13" s="108">
        <f>IF(B13="","",RANK(B13,B:B,0)++COUNTIF($B$1:B12,B13))</f>
        <v>33</v>
      </c>
      <c r="E13" s="153" t="s">
        <v>487</v>
      </c>
      <c r="F13" s="154">
        <v>122</v>
      </c>
      <c r="G13" s="108">
        <f>IF(F13="","",RANK(F13,F:F,0)+COUNTIF($F$1:F12,F13))</f>
        <v>5</v>
      </c>
      <c r="J13" s="155">
        <v>9</v>
      </c>
      <c r="K13" s="21" t="str">
        <f t="shared" si="4"/>
        <v>Education</v>
      </c>
      <c r="L13" s="21">
        <f t="shared" si="5"/>
        <v>70</v>
      </c>
      <c r="M13" s="156">
        <f t="shared" si="0"/>
        <v>3.2362459546925564E-2</v>
      </c>
      <c r="T13" s="155">
        <v>9</v>
      </c>
      <c r="U13" s="21" t="str">
        <f t="shared" si="1"/>
        <v>Financial Services</v>
      </c>
      <c r="V13" s="21">
        <f t="shared" si="2"/>
        <v>51</v>
      </c>
      <c r="W13" s="156">
        <f t="shared" si="3"/>
        <v>1.567783584383646E-2</v>
      </c>
    </row>
    <row r="14" spans="1:23" ht="17.25" thickBot="1">
      <c r="A14" s="153" t="s">
        <v>479</v>
      </c>
      <c r="B14" s="154">
        <v>12</v>
      </c>
      <c r="C14" s="108">
        <f>IF(B14="","",RANK(B14,B:B,0)++COUNTIF($B$1:B13,B14))</f>
        <v>28</v>
      </c>
      <c r="E14" s="153" t="s">
        <v>488</v>
      </c>
      <c r="F14" s="154">
        <v>35</v>
      </c>
      <c r="G14" s="108">
        <f>IF(F14="","",RANK(F14,F:F,0)+COUNTIF($F$1:F13,F14))</f>
        <v>16</v>
      </c>
      <c r="J14" s="85">
        <v>10</v>
      </c>
      <c r="K14" s="43" t="str">
        <f t="shared" si="4"/>
        <v>Marketing</v>
      </c>
      <c r="L14" s="43">
        <f t="shared" si="5"/>
        <v>67</v>
      </c>
      <c r="M14" s="157">
        <f t="shared" si="0"/>
        <v>3.0975496994914472E-2</v>
      </c>
      <c r="T14" s="85">
        <v>10</v>
      </c>
      <c r="U14" s="43" t="str">
        <f t="shared" si="1"/>
        <v>Medical Equipment Manufacturing</v>
      </c>
      <c r="V14" s="43">
        <f t="shared" si="2"/>
        <v>49</v>
      </c>
      <c r="W14" s="157">
        <f t="shared" si="3"/>
        <v>1.5063018751921304E-2</v>
      </c>
    </row>
    <row r="15" spans="1:23">
      <c r="A15" s="153" t="s">
        <v>762</v>
      </c>
      <c r="B15" s="154">
        <v>3</v>
      </c>
      <c r="C15" s="108">
        <f>IF(B15="","",RANK(B15,B:B,0)++COUNTIF($B$1:B14,B15))</f>
        <v>58</v>
      </c>
      <c r="E15" s="153" t="s">
        <v>489</v>
      </c>
      <c r="F15" s="154">
        <v>67</v>
      </c>
      <c r="G15" s="108">
        <f>IF(F15="","",RANK(F15,F:F,0)+COUNTIF($F$1:F14,F15))</f>
        <v>10</v>
      </c>
    </row>
    <row r="16" spans="1:23">
      <c r="A16" s="153" t="s">
        <v>482</v>
      </c>
      <c r="B16" s="154">
        <v>8</v>
      </c>
      <c r="C16" s="108">
        <f>IF(B16="","",RANK(B16,B:B,0)++COUNTIF($B$1:B15,B16))</f>
        <v>39</v>
      </c>
      <c r="E16" s="153" t="s">
        <v>490</v>
      </c>
      <c r="F16" s="154">
        <v>67</v>
      </c>
      <c r="G16" s="108">
        <f>IF(F16="","",RANK(F16,F:F,0)+COUNTIF($F$1:F15,F16))</f>
        <v>11</v>
      </c>
    </row>
    <row r="17" spans="1:7">
      <c r="A17" s="153" t="s">
        <v>605</v>
      </c>
      <c r="B17" s="154">
        <v>19</v>
      </c>
      <c r="C17" s="108">
        <f>IF(B17="","",RANK(B17,B:B,0)++COUNTIF($B$1:B16,B17))</f>
        <v>18</v>
      </c>
      <c r="E17" s="153" t="s">
        <v>759</v>
      </c>
      <c r="F17" s="154">
        <v>4</v>
      </c>
      <c r="G17" s="108">
        <f>IF(F17="","",RANK(F17,F:F,0)+COUNTIF($F$1:F16,F17))</f>
        <v>25</v>
      </c>
    </row>
    <row r="18" spans="1:7">
      <c r="A18" s="153" t="s">
        <v>484</v>
      </c>
      <c r="B18" s="154">
        <v>1</v>
      </c>
      <c r="C18" s="108">
        <f>IF(B18="","",RANK(B18,B:B,0)++COUNTIF($B$1:B17,B18))</f>
        <v>79</v>
      </c>
      <c r="E18" s="153" t="s">
        <v>492</v>
      </c>
      <c r="F18" s="154">
        <v>113</v>
      </c>
      <c r="G18" s="108">
        <f>IF(F18="","",RANK(F18,F:F,0)+COUNTIF($F$1:F17,F18))</f>
        <v>6</v>
      </c>
    </row>
    <row r="19" spans="1:7">
      <c r="A19" s="153" t="s">
        <v>486</v>
      </c>
      <c r="B19" s="154">
        <v>10</v>
      </c>
      <c r="C19" s="108">
        <f>IF(B19="","",RANK(B19,B:B,0)++COUNTIF($B$1:B18,B19))</f>
        <v>34</v>
      </c>
      <c r="E19" s="153" t="s">
        <v>494</v>
      </c>
      <c r="F19" s="154">
        <v>33</v>
      </c>
      <c r="G19" s="108">
        <f>IF(F19="","",RANK(F19,F:F,0)+COUNTIF($F$1:F18,F19))</f>
        <v>17</v>
      </c>
    </row>
    <row r="20" spans="1:7">
      <c r="A20" s="153" t="s">
        <v>763</v>
      </c>
      <c r="B20" s="154">
        <v>3</v>
      </c>
      <c r="C20" s="108">
        <f>IF(B20="","",RANK(B20,B:B,0)++COUNTIF($B$1:B19,B20))</f>
        <v>59</v>
      </c>
      <c r="E20" s="153" t="s">
        <v>496</v>
      </c>
      <c r="F20" s="154">
        <v>27</v>
      </c>
      <c r="G20" s="108">
        <f>IF(F20="","",RANK(F20,F:F,0)+COUNTIF($F$1:F19,F20))</f>
        <v>20</v>
      </c>
    </row>
    <row r="21" spans="1:7">
      <c r="A21" s="153" t="s">
        <v>491</v>
      </c>
      <c r="B21" s="154">
        <v>2</v>
      </c>
      <c r="C21" s="108">
        <f>IF(B21="","",RANK(B21,B:B,0)++COUNTIF($B$1:B20,B21))</f>
        <v>68</v>
      </c>
      <c r="E21" s="153" t="s">
        <v>498</v>
      </c>
      <c r="F21" s="154">
        <v>22</v>
      </c>
      <c r="G21" s="108">
        <f>IF(F21="","",RANK(F21,F:F,0)+COUNTIF($F$1:F20,F21))</f>
        <v>21</v>
      </c>
    </row>
    <row r="22" spans="1:7">
      <c r="A22" s="153" t="s">
        <v>547</v>
      </c>
      <c r="B22" s="154">
        <v>2</v>
      </c>
      <c r="C22" s="108">
        <f>IF(B22="","",RANK(B22,B:B,0)++COUNTIF($B$1:B21,B22))</f>
        <v>69</v>
      </c>
      <c r="E22" s="153" t="s">
        <v>500</v>
      </c>
      <c r="F22" s="154">
        <v>52</v>
      </c>
      <c r="G22" s="108">
        <f>IF(F22="","",RANK(F22,F:F,0)+COUNTIF($F$1:F21,F22))</f>
        <v>14</v>
      </c>
    </row>
    <row r="23" spans="1:7">
      <c r="A23" s="153" t="s">
        <v>548</v>
      </c>
      <c r="B23" s="154">
        <v>5</v>
      </c>
      <c r="C23" s="108">
        <f>IF(B23="","",RANK(B23,B:B,0)++COUNTIF($B$1:B22,B23))</f>
        <v>46</v>
      </c>
      <c r="E23" s="153" t="s">
        <v>502</v>
      </c>
      <c r="F23" s="154">
        <v>459</v>
      </c>
      <c r="G23" s="108">
        <f>IF(F23="","",RANK(F23,F:F,0)+COUNTIF($F$1:F22,F23))</f>
        <v>1</v>
      </c>
    </row>
    <row r="24" spans="1:7">
      <c r="A24" s="153" t="s">
        <v>493</v>
      </c>
      <c r="B24" s="154">
        <v>107</v>
      </c>
      <c r="C24" s="108">
        <f>IF(B24="","",RANK(B24,B:B,0)++COUNTIF($B$1:B23,B24))</f>
        <v>6</v>
      </c>
      <c r="E24" s="153" t="s">
        <v>504</v>
      </c>
      <c r="F24" s="154">
        <v>29</v>
      </c>
      <c r="G24" s="108">
        <f>IF(F24="","",RANK(F24,F:F,0)+COUNTIF($F$1:F23,F24))</f>
        <v>19</v>
      </c>
    </row>
    <row r="25" spans="1:7">
      <c r="A25" s="153" t="s">
        <v>549</v>
      </c>
      <c r="B25" s="154">
        <v>2</v>
      </c>
      <c r="C25" s="108">
        <f>IF(B25="","",RANK(B25,B:B,0)++COUNTIF($B$1:B24,B25))</f>
        <v>70</v>
      </c>
      <c r="E25" s="153" t="s">
        <v>506</v>
      </c>
      <c r="F25" s="154">
        <v>33</v>
      </c>
      <c r="G25" s="108">
        <f>IF(F25="","",RANK(F25,F:F,0)+COUNTIF($F$1:F24,F25))</f>
        <v>18</v>
      </c>
    </row>
    <row r="26" spans="1:7">
      <c r="A26" s="153" t="s">
        <v>495</v>
      </c>
      <c r="B26" s="154">
        <v>11</v>
      </c>
      <c r="C26" s="108">
        <f>IF(B26="","",RANK(B26,B:B,0)++COUNTIF($B$1:B25,B26))</f>
        <v>30</v>
      </c>
      <c r="E26" s="153" t="s">
        <v>508</v>
      </c>
      <c r="F26" s="154">
        <v>70</v>
      </c>
      <c r="G26" s="108">
        <f>IF(F26="","",RANK(F26,F:F,0)+COUNTIF($F$1:F25,F26))</f>
        <v>9</v>
      </c>
    </row>
    <row r="27" spans="1:7">
      <c r="A27" s="153" t="s">
        <v>550</v>
      </c>
      <c r="B27" s="154">
        <v>7</v>
      </c>
      <c r="C27" s="108">
        <f>IF(B27="","",RANK(B27,B:B,0)++COUNTIF($B$1:B26,B27))</f>
        <v>41</v>
      </c>
      <c r="E27" s="153" t="s">
        <v>510</v>
      </c>
      <c r="F27" s="154">
        <v>84</v>
      </c>
      <c r="G27" s="108">
        <f>IF(F27="","",RANK(F27,F:F,0)+COUNTIF($F$1:F26,F27))</f>
        <v>8</v>
      </c>
    </row>
    <row r="28" spans="1:7">
      <c r="A28" s="153" t="s">
        <v>497</v>
      </c>
      <c r="B28" s="154">
        <v>15</v>
      </c>
      <c r="C28" s="108">
        <f>IF(B28="","",RANK(B28,B:B,0)++COUNTIF($B$1:B27,B28))</f>
        <v>23</v>
      </c>
      <c r="E28" s="153" t="s">
        <v>512</v>
      </c>
      <c r="F28" s="154">
        <v>18</v>
      </c>
      <c r="G28" s="108">
        <f>IF(F28="","",RANK(F28,F:F,0)+COUNTIF($F$1:F27,F28))</f>
        <v>22</v>
      </c>
    </row>
    <row r="29" spans="1:7">
      <c r="A29" s="153" t="s">
        <v>499</v>
      </c>
      <c r="B29" s="154">
        <v>41</v>
      </c>
      <c r="C29" s="108">
        <f>IF(B29="","",RANK(B29,B:B,0)++COUNTIF($B$1:B28,B29))</f>
        <v>13</v>
      </c>
      <c r="E29" s="153" t="s">
        <v>513</v>
      </c>
      <c r="F29" s="154">
        <v>89</v>
      </c>
      <c r="G29" s="108">
        <f>IF(F29="","",RANK(F29,F:F,0)+COUNTIF($F$1:F28,F29))</f>
        <v>7</v>
      </c>
    </row>
    <row r="30" spans="1:7">
      <c r="A30" s="153" t="s">
        <v>551</v>
      </c>
      <c r="B30" s="154">
        <v>5</v>
      </c>
      <c r="C30" s="108">
        <f>IF(B30="","",RANK(B30,B:B,0)++COUNTIF($B$1:B29,B30))</f>
        <v>47</v>
      </c>
      <c r="E30" s="153" t="s">
        <v>515</v>
      </c>
      <c r="F30" s="154">
        <v>5</v>
      </c>
      <c r="G30" s="108">
        <f>IF(F30="","",RANK(F30,F:F,0)+COUNTIF($F$1:F29,F30))</f>
        <v>24</v>
      </c>
    </row>
    <row r="31" spans="1:7">
      <c r="A31" s="153" t="s">
        <v>501</v>
      </c>
      <c r="B31" s="154">
        <v>13</v>
      </c>
      <c r="C31" s="108">
        <f>IF(B31="","",RANK(B31,B:B,0)++COUNTIF($B$1:B30,B31))</f>
        <v>26</v>
      </c>
      <c r="E31" s="158"/>
      <c r="F31" s="159"/>
      <c r="G31" s="108" t="str">
        <f>IF(F31="","",RANK(F31,F:F,0)+COUNTIF($F$1:F30,F31))</f>
        <v/>
      </c>
    </row>
    <row r="32" spans="1:7">
      <c r="A32" s="153" t="s">
        <v>503</v>
      </c>
      <c r="B32" s="154">
        <v>45</v>
      </c>
      <c r="C32" s="108">
        <f>IF(B32="","",RANK(B32,B:B,0)++COUNTIF($B$1:B31,B32))</f>
        <v>12</v>
      </c>
      <c r="E32" s="158"/>
      <c r="F32" s="159"/>
      <c r="G32" s="108" t="str">
        <f>IF(F32="","",RANK(F32,F:F,0)+COUNTIF($F$1:F31,F32))</f>
        <v/>
      </c>
    </row>
    <row r="33" spans="1:7">
      <c r="A33" s="153" t="s">
        <v>505</v>
      </c>
      <c r="B33" s="154">
        <v>881</v>
      </c>
      <c r="C33" s="108">
        <f>IF(B33="","",RANK(B33,B:B,0)++COUNTIF($B$1:B32,B33))</f>
        <v>2</v>
      </c>
      <c r="E33" s="158"/>
      <c r="F33" s="159"/>
      <c r="G33" s="108" t="str">
        <f>IF(F33="","",RANK(F33,F:F,0)+COUNTIF($F$1:F32,F33))</f>
        <v/>
      </c>
    </row>
    <row r="34" spans="1:7">
      <c r="A34" s="153" t="s">
        <v>606</v>
      </c>
      <c r="B34" s="154">
        <v>8</v>
      </c>
      <c r="C34" s="108">
        <f>IF(B34="","",RANK(B34,B:B,0)++COUNTIF($B$1:B33,B34))</f>
        <v>40</v>
      </c>
      <c r="E34" s="158"/>
      <c r="F34" s="159"/>
      <c r="G34" s="108" t="str">
        <f>IF(F34="","",RANK(F34,F:F,0)+COUNTIF($F$1:F33,F34))</f>
        <v/>
      </c>
    </row>
    <row r="35" spans="1:7">
      <c r="A35" s="153" t="s">
        <v>552</v>
      </c>
      <c r="B35" s="154">
        <v>11</v>
      </c>
      <c r="C35" s="108">
        <f>IF(B35="","",RANK(B35,B:B,0)++COUNTIF($B$1:B34,B35))</f>
        <v>31</v>
      </c>
      <c r="E35" s="158"/>
      <c r="F35" s="159"/>
      <c r="G35" s="108" t="str">
        <f>IF(F35="","",RANK(F35,F:F,0)+COUNTIF($F$1:F34,F35))</f>
        <v/>
      </c>
    </row>
    <row r="36" spans="1:7">
      <c r="A36" s="153" t="s">
        <v>507</v>
      </c>
      <c r="B36" s="154">
        <v>113</v>
      </c>
      <c r="C36" s="108">
        <f>IF(B36="","",RANK(B36,B:B,0)++COUNTIF($B$1:B35,B36))</f>
        <v>5</v>
      </c>
      <c r="E36" s="158"/>
      <c r="F36" s="159"/>
      <c r="G36" s="108" t="str">
        <f>IF(F36="","",RANK(F36,F:F,0)+COUNTIF($F$1:F35,F36))</f>
        <v/>
      </c>
    </row>
    <row r="37" spans="1:7">
      <c r="A37" s="153" t="s">
        <v>553</v>
      </c>
      <c r="B37" s="154">
        <v>12</v>
      </c>
      <c r="C37" s="108">
        <f>IF(B37="","",RANK(B37,B:B,0)++COUNTIF($B$1:B36,B37))</f>
        <v>29</v>
      </c>
      <c r="E37" s="158"/>
      <c r="F37" s="159"/>
      <c r="G37" s="108" t="str">
        <f>IF(F37="","",RANK(F37,F:F,0)+COUNTIF($F$1:F36,F37))</f>
        <v/>
      </c>
    </row>
    <row r="38" spans="1:7">
      <c r="A38" s="153" t="s">
        <v>509</v>
      </c>
      <c r="B38" s="154">
        <v>926</v>
      </c>
      <c r="C38" s="108">
        <f>IF(B38="","",RANK(B38,B:B,0)++COUNTIF($B$1:B37,B38))</f>
        <v>1</v>
      </c>
      <c r="E38" s="158"/>
      <c r="F38" s="159"/>
      <c r="G38" s="108" t="str">
        <f>IF(F38="","",RANK(F38,F:F,0)+COUNTIF($F$1:F37,F38))</f>
        <v/>
      </c>
    </row>
    <row r="39" spans="1:7" ht="17.25" thickBot="1">
      <c r="A39" s="153" t="s">
        <v>607</v>
      </c>
      <c r="B39" s="154">
        <v>1</v>
      </c>
      <c r="C39" s="108">
        <f>IF(B39="","",RANK(B39,B:B,0)++COUNTIF($B$1:B38,B39))</f>
        <v>80</v>
      </c>
      <c r="E39" s="160"/>
      <c r="F39" s="161"/>
      <c r="G39" s="108" t="str">
        <f>IF(F39="","",RANK(F39,F:F,0)+COUNTIF($F$1:F38,F39))</f>
        <v/>
      </c>
    </row>
    <row r="40" spans="1:7">
      <c r="A40" s="153" t="s">
        <v>511</v>
      </c>
      <c r="B40" s="154">
        <v>49</v>
      </c>
      <c r="C40" s="108">
        <f>IF(B40="","",RANK(B40,B:B,0)++COUNTIF($B$1:B39,B40))</f>
        <v>10</v>
      </c>
    </row>
    <row r="41" spans="1:7">
      <c r="A41" s="153" t="s">
        <v>514</v>
      </c>
      <c r="B41" s="154">
        <v>3</v>
      </c>
      <c r="C41" s="108">
        <f>IF(B41="","",RANK(B41,B:B,0)++COUNTIF($B$1:B40,B41))</f>
        <v>60</v>
      </c>
    </row>
    <row r="42" spans="1:7">
      <c r="A42" s="153" t="s">
        <v>764</v>
      </c>
      <c r="B42" s="154">
        <v>1</v>
      </c>
      <c r="C42" s="108">
        <f>IF(B42="","",RANK(B42,B:B,0)++COUNTIF($B$1:B41,B42))</f>
        <v>81</v>
      </c>
    </row>
    <row r="43" spans="1:7">
      <c r="A43" s="153" t="s">
        <v>516</v>
      </c>
      <c r="B43" s="154">
        <v>1</v>
      </c>
      <c r="C43" s="108">
        <f>IF(B43="","",RANK(B43,B:B,0)++COUNTIF($B$1:B42,B43))</f>
        <v>82</v>
      </c>
    </row>
    <row r="44" spans="1:7">
      <c r="A44" s="153" t="s">
        <v>517</v>
      </c>
      <c r="B44" s="154">
        <v>4</v>
      </c>
      <c r="C44" s="108">
        <f>IF(B44="","",RANK(B44,B:B,0)++COUNTIF($B$1:B43,B44))</f>
        <v>52</v>
      </c>
    </row>
    <row r="45" spans="1:7">
      <c r="A45" s="153" t="s">
        <v>518</v>
      </c>
      <c r="B45" s="154">
        <v>92</v>
      </c>
      <c r="C45" s="108">
        <f>IF(B45="","",RANK(B45,B:B,0)++COUNTIF($B$1:B44,B45))</f>
        <v>7</v>
      </c>
    </row>
    <row r="46" spans="1:7">
      <c r="A46" s="153" t="s">
        <v>520</v>
      </c>
      <c r="B46" s="154">
        <v>2</v>
      </c>
      <c r="C46" s="108">
        <f>IF(B46="","",RANK(B46,B:B,0)++COUNTIF($B$1:B45,B46))</f>
        <v>71</v>
      </c>
    </row>
    <row r="47" spans="1:7">
      <c r="A47" s="153" t="s">
        <v>519</v>
      </c>
      <c r="B47" s="154">
        <v>5</v>
      </c>
      <c r="C47" s="108">
        <f>IF(B47="","",RANK(B47,B:B,0)++COUNTIF($B$1:B46,B47))</f>
        <v>48</v>
      </c>
    </row>
    <row r="48" spans="1:7">
      <c r="A48" s="153" t="s">
        <v>521</v>
      </c>
      <c r="B48" s="154">
        <v>3</v>
      </c>
      <c r="C48" s="108">
        <f>IF(B48="","",RANK(B48,B:B,0)++COUNTIF($B$1:B47,B48))</f>
        <v>61</v>
      </c>
    </row>
    <row r="49" spans="1:3">
      <c r="A49" s="153" t="s">
        <v>522</v>
      </c>
      <c r="B49" s="154">
        <v>13</v>
      </c>
      <c r="C49" s="108">
        <f>IF(B49="","",RANK(B49,B:B,0)++COUNTIF($B$1:B48,B49))</f>
        <v>27</v>
      </c>
    </row>
    <row r="50" spans="1:3">
      <c r="A50" s="153" t="s">
        <v>523</v>
      </c>
      <c r="B50" s="154">
        <v>5</v>
      </c>
      <c r="C50" s="108">
        <f>IF(B50="","",RANK(B50,B:B,0)++COUNTIF($B$1:B49,B50))</f>
        <v>49</v>
      </c>
    </row>
    <row r="51" spans="1:3">
      <c r="A51" s="153" t="s">
        <v>524</v>
      </c>
      <c r="B51" s="154">
        <v>1</v>
      </c>
      <c r="C51" s="108">
        <f>IF(B51="","",RANK(B51,B:B,0)++COUNTIF($B$1:B50,B51))</f>
        <v>83</v>
      </c>
    </row>
    <row r="52" spans="1:3">
      <c r="A52" s="153" t="s">
        <v>525</v>
      </c>
      <c r="B52" s="154">
        <v>29</v>
      </c>
      <c r="C52" s="108">
        <f>IF(B52="","",RANK(B52,B:B,0)++COUNTIF($B$1:B51,B52))</f>
        <v>16</v>
      </c>
    </row>
    <row r="53" spans="1:3">
      <c r="A53" s="153" t="s">
        <v>765</v>
      </c>
      <c r="B53" s="154">
        <v>6</v>
      </c>
      <c r="C53" s="108">
        <f>IF(B53="","",RANK(B53,B:B,0)++COUNTIF($B$1:B52,B53))</f>
        <v>45</v>
      </c>
    </row>
    <row r="54" spans="1:3">
      <c r="A54" s="153" t="s">
        <v>766</v>
      </c>
      <c r="B54" s="154">
        <v>1</v>
      </c>
      <c r="C54" s="108">
        <f>IF(B54="","",RANK(B54,B:B,0)++COUNTIF($B$1:B53,B54))</f>
        <v>84</v>
      </c>
    </row>
    <row r="55" spans="1:3">
      <c r="A55" s="153" t="s">
        <v>610</v>
      </c>
      <c r="B55" s="154">
        <v>2</v>
      </c>
      <c r="C55" s="108">
        <f>IF(B55="","",RANK(B55,B:B,0)++COUNTIF($B$1:B54,B55))</f>
        <v>72</v>
      </c>
    </row>
    <row r="56" spans="1:3">
      <c r="A56" s="153" t="s">
        <v>526</v>
      </c>
      <c r="B56" s="154">
        <v>3</v>
      </c>
      <c r="C56" s="108">
        <f>IF(B56="","",RANK(B56,B:B,0)++COUNTIF($B$1:B55,B56))</f>
        <v>62</v>
      </c>
    </row>
    <row r="57" spans="1:3">
      <c r="A57" s="153" t="s">
        <v>554</v>
      </c>
      <c r="B57" s="154">
        <v>52</v>
      </c>
      <c r="C57" s="108">
        <f>IF(B57="","",RANK(B57,B:B,0)++COUNTIF($B$1:B56,B57))</f>
        <v>8</v>
      </c>
    </row>
    <row r="58" spans="1:3">
      <c r="A58" s="153" t="s">
        <v>555</v>
      </c>
      <c r="B58" s="154">
        <v>3</v>
      </c>
      <c r="C58" s="108">
        <f>IF(B58="","",RANK(B58,B:B,0)++COUNTIF($B$1:B57,B58))</f>
        <v>63</v>
      </c>
    </row>
    <row r="59" spans="1:3">
      <c r="A59" s="153" t="s">
        <v>527</v>
      </c>
      <c r="B59" s="154">
        <v>19</v>
      </c>
      <c r="C59" s="108">
        <f>IF(B59="","",RANK(B59,B:B,0)++COUNTIF($B$1:B58,B59))</f>
        <v>19</v>
      </c>
    </row>
    <row r="60" spans="1:3">
      <c r="A60" s="153" t="s">
        <v>528</v>
      </c>
      <c r="B60" s="154">
        <v>14</v>
      </c>
      <c r="C60" s="108">
        <f>IF(B60="","",RANK(B60,B:B,0)++COUNTIF($B$1:B59,B60))</f>
        <v>25</v>
      </c>
    </row>
    <row r="61" spans="1:3">
      <c r="A61" s="153" t="s">
        <v>529</v>
      </c>
      <c r="B61" s="154">
        <v>5</v>
      </c>
      <c r="C61" s="108">
        <f>IF(B61="","",RANK(B61,B:B,0)++COUNTIF($B$1:B60,B61))</f>
        <v>50</v>
      </c>
    </row>
    <row r="62" spans="1:3">
      <c r="A62" s="153" t="s">
        <v>530</v>
      </c>
      <c r="B62" s="154">
        <v>3</v>
      </c>
      <c r="C62" s="108">
        <f>IF(B62="","",RANK(B62,B:B,0)++COUNTIF($B$1:B61,B62))</f>
        <v>64</v>
      </c>
    </row>
    <row r="63" spans="1:3">
      <c r="A63" s="153" t="s">
        <v>531</v>
      </c>
      <c r="B63" s="154">
        <v>7</v>
      </c>
      <c r="C63" s="108">
        <f>IF(B63="","",RANK(B63,B:B,0)++COUNTIF($B$1:B62,B63))</f>
        <v>42</v>
      </c>
    </row>
    <row r="64" spans="1:3">
      <c r="A64" s="153" t="s">
        <v>532</v>
      </c>
      <c r="B64" s="154">
        <v>1</v>
      </c>
      <c r="C64" s="108">
        <f>IF(B64="","",RANK(B64,B:B,0)++COUNTIF($B$1:B63,B64))</f>
        <v>85</v>
      </c>
    </row>
    <row r="65" spans="1:3">
      <c r="A65" s="153" t="s">
        <v>533</v>
      </c>
      <c r="B65" s="154">
        <v>10</v>
      </c>
      <c r="C65" s="108">
        <f>IF(B65="","",RANK(B65,B:B,0)++COUNTIF($B$1:B64,B65))</f>
        <v>35</v>
      </c>
    </row>
    <row r="66" spans="1:3">
      <c r="A66" s="153" t="s">
        <v>534</v>
      </c>
      <c r="B66" s="154">
        <v>11</v>
      </c>
      <c r="C66" s="108">
        <f>IF(B66="","",RANK(B66,B:B,0)++COUNTIF($B$1:B65,B66))</f>
        <v>32</v>
      </c>
    </row>
    <row r="67" spans="1:3">
      <c r="A67" s="153" t="s">
        <v>608</v>
      </c>
      <c r="B67" s="154">
        <v>4</v>
      </c>
      <c r="C67" s="108">
        <f>IF(B67="","",RANK(B67,B:B,0)++COUNTIF($B$1:B66,B67))</f>
        <v>53</v>
      </c>
    </row>
    <row r="68" spans="1:3">
      <c r="A68" s="153" t="s">
        <v>767</v>
      </c>
      <c r="B68" s="154">
        <v>2</v>
      </c>
      <c r="C68" s="108">
        <f>IF(B68="","",RANK(B68,B:B,0)++COUNTIF($B$1:B67,B68))</f>
        <v>73</v>
      </c>
    </row>
    <row r="69" spans="1:3">
      <c r="A69" s="153" t="s">
        <v>556</v>
      </c>
      <c r="B69" s="154">
        <v>121</v>
      </c>
      <c r="C69" s="108">
        <f>IF(B69="","",RANK(B69,B:B,0)++COUNTIF($B$1:B68,B69))</f>
        <v>4</v>
      </c>
    </row>
    <row r="70" spans="1:3">
      <c r="A70" s="153" t="s">
        <v>768</v>
      </c>
      <c r="B70" s="154">
        <v>1</v>
      </c>
      <c r="C70" s="108">
        <f>IF(B70="","",RANK(B70,B:B,0)++COUNTIF($B$1:B69,B70))</f>
        <v>86</v>
      </c>
    </row>
    <row r="71" spans="1:3">
      <c r="A71" s="153" t="s">
        <v>609</v>
      </c>
      <c r="B71" s="154">
        <v>1</v>
      </c>
      <c r="C71" s="108">
        <f>IF(B71="","",RANK(B71,B:B,0)++COUNTIF($B$1:B70,B71))</f>
        <v>87</v>
      </c>
    </row>
    <row r="72" spans="1:3">
      <c r="A72" s="153" t="s">
        <v>535</v>
      </c>
      <c r="B72" s="154">
        <v>2</v>
      </c>
      <c r="C72" s="108">
        <f>IF(B72="","",RANK(B72,B:B,0)++COUNTIF($B$1:B71,B72))</f>
        <v>74</v>
      </c>
    </row>
    <row r="73" spans="1:3">
      <c r="A73" s="153" t="s">
        <v>557</v>
      </c>
      <c r="B73" s="154">
        <v>25</v>
      </c>
      <c r="C73" s="108">
        <f>IF(B73="","",RANK(B73,B:B,0)++COUNTIF($B$1:B72,B73))</f>
        <v>17</v>
      </c>
    </row>
    <row r="74" spans="1:3">
      <c r="A74" s="153" t="s">
        <v>769</v>
      </c>
      <c r="B74" s="154">
        <v>1</v>
      </c>
      <c r="C74" s="108">
        <f>IF(B74="","",RANK(B74,B:B,0)++COUNTIF($B$1:B73,B74))</f>
        <v>88</v>
      </c>
    </row>
    <row r="75" spans="1:3">
      <c r="A75" s="153" t="s">
        <v>536</v>
      </c>
      <c r="B75" s="154">
        <v>2</v>
      </c>
      <c r="C75" s="108">
        <f>IF(B75="","",RANK(B75,B:B,0)++COUNTIF($B$1:B74,B75))</f>
        <v>75</v>
      </c>
    </row>
    <row r="76" spans="1:3">
      <c r="A76" s="153" t="s">
        <v>537</v>
      </c>
      <c r="B76" s="154">
        <v>5</v>
      </c>
      <c r="C76" s="108">
        <f>IF(B76="","",RANK(B76,B:B,0)++COUNTIF($B$1:B75,B76))</f>
        <v>51</v>
      </c>
    </row>
    <row r="77" spans="1:3">
      <c r="A77" s="153" t="s">
        <v>611</v>
      </c>
      <c r="B77" s="154">
        <v>18</v>
      </c>
      <c r="C77" s="108">
        <f>IF(B77="","",RANK(B77,B:B,0)++COUNTIF($B$1:B76,B77))</f>
        <v>21</v>
      </c>
    </row>
    <row r="78" spans="1:3">
      <c r="A78" s="153" t="s">
        <v>770</v>
      </c>
      <c r="B78" s="154">
        <v>3</v>
      </c>
      <c r="C78" s="108">
        <f>IF(B78="","",RANK(B78,B:B,0)++COUNTIF($B$1:B77,B78))</f>
        <v>65</v>
      </c>
    </row>
    <row r="79" spans="1:3">
      <c r="A79" s="153" t="s">
        <v>771</v>
      </c>
      <c r="B79" s="154">
        <v>2</v>
      </c>
      <c r="C79" s="108">
        <f>IF(B79="","",RANK(B79,B:B,0)++COUNTIF($B$1:B78,B79))</f>
        <v>76</v>
      </c>
    </row>
    <row r="80" spans="1:3">
      <c r="A80" s="153" t="s">
        <v>538</v>
      </c>
      <c r="B80" s="154">
        <v>1</v>
      </c>
      <c r="C80" s="108">
        <f>IF(B80="","",RANK(B80,B:B,0)++COUNTIF($B$1:B79,B80))</f>
        <v>89</v>
      </c>
    </row>
    <row r="81" spans="1:12">
      <c r="A81" s="153" t="s">
        <v>539</v>
      </c>
      <c r="B81" s="154">
        <v>34</v>
      </c>
      <c r="C81" s="108">
        <f>IF(B81="","",RANK(B81,B:B,0)++COUNTIF($B$1:B80,B81))</f>
        <v>15</v>
      </c>
    </row>
    <row r="82" spans="1:12">
      <c r="A82" s="153" t="s">
        <v>540</v>
      </c>
      <c r="B82" s="154">
        <v>3</v>
      </c>
      <c r="C82" s="108">
        <f>IF(B82="","",RANK(B82,B:B,0)++COUNTIF($B$1:B81,B82))</f>
        <v>66</v>
      </c>
    </row>
    <row r="83" spans="1:12">
      <c r="A83" s="153" t="s">
        <v>558</v>
      </c>
      <c r="B83" s="154">
        <v>15</v>
      </c>
      <c r="C83" s="108">
        <f>IF(B83="","",RANK(B83,B:B,0)++COUNTIF($B$1:B82,B83))</f>
        <v>24</v>
      </c>
    </row>
    <row r="84" spans="1:12">
      <c r="A84" s="153" t="s">
        <v>559</v>
      </c>
      <c r="B84" s="154">
        <v>1</v>
      </c>
      <c r="C84" s="108">
        <f>IF(B84="","",RANK(B84,B:B,0)++COUNTIF($B$1:B83,B84))</f>
        <v>90</v>
      </c>
    </row>
    <row r="85" spans="1:12">
      <c r="A85" s="153" t="s">
        <v>541</v>
      </c>
      <c r="B85" s="154">
        <v>7</v>
      </c>
      <c r="C85" s="108">
        <f>IF(B85="","",RANK(B85,B:B,0)++COUNTIF($B$1:B84,B85))</f>
        <v>43</v>
      </c>
    </row>
    <row r="86" spans="1:12">
      <c r="A86" s="153" t="s">
        <v>560</v>
      </c>
      <c r="B86" s="154">
        <v>49</v>
      </c>
      <c r="C86" s="108">
        <f>IF(B86="","",RANK(B86,B:B,0)++COUNTIF($B$1:B85,B86))</f>
        <v>11</v>
      </c>
      <c r="L86" s="194"/>
    </row>
    <row r="87" spans="1:12">
      <c r="A87" s="153" t="s">
        <v>561</v>
      </c>
      <c r="B87" s="154">
        <v>16</v>
      </c>
      <c r="C87" s="108">
        <f>IF(B87="","",RANK(B87,B:B,0)++COUNTIF($B$1:B86,B87))</f>
        <v>22</v>
      </c>
      <c r="L87" s="194"/>
    </row>
    <row r="88" spans="1:12">
      <c r="A88" s="153" t="s">
        <v>562</v>
      </c>
      <c r="B88" s="154">
        <v>165</v>
      </c>
      <c r="C88" s="108">
        <f>IF(B88="","",RANK(B88,B:B,0)++COUNTIF($B$1:B87,B88))</f>
        <v>3</v>
      </c>
    </row>
    <row r="89" spans="1:12">
      <c r="A89" s="153" t="s">
        <v>772</v>
      </c>
      <c r="B89" s="154">
        <v>2</v>
      </c>
      <c r="C89" s="108">
        <f>IF(B89="","",RANK(B89,B:B,0)++COUNTIF($B$1:B88,B89))</f>
        <v>77</v>
      </c>
    </row>
    <row r="90" spans="1:12">
      <c r="A90" s="153" t="s">
        <v>563</v>
      </c>
      <c r="B90" s="154">
        <v>4</v>
      </c>
      <c r="C90" s="108">
        <f>IF(B90="","",RANK(B90,B:B,0)++COUNTIF($B$1:B89,B90))</f>
        <v>54</v>
      </c>
    </row>
    <row r="91" spans="1:12">
      <c r="A91" s="153" t="s">
        <v>564</v>
      </c>
      <c r="B91" s="154">
        <v>10</v>
      </c>
      <c r="C91" s="108">
        <f>IF(B91="","",RANK(B91,B:B,0)++COUNTIF($B$1:B90,B91))</f>
        <v>36</v>
      </c>
    </row>
    <row r="92" spans="1:12">
      <c r="A92" s="153" t="s">
        <v>565</v>
      </c>
      <c r="B92" s="154">
        <v>10</v>
      </c>
      <c r="C92" s="108">
        <f>IF(B92="","",RANK(B92,B:B,0)++COUNTIF($B$1:B91,B92))</f>
        <v>37</v>
      </c>
    </row>
    <row r="93" spans="1:12">
      <c r="A93" s="153" t="s">
        <v>542</v>
      </c>
      <c r="B93" s="154">
        <v>4</v>
      </c>
      <c r="C93" s="108">
        <f>IF(B93="","",RANK(B93,B:B,0)++COUNTIF($B$1:B92,B93))</f>
        <v>55</v>
      </c>
    </row>
    <row r="94" spans="1:12">
      <c r="A94" s="153" t="s">
        <v>543</v>
      </c>
      <c r="B94" s="154">
        <v>51</v>
      </c>
      <c r="C94" s="108">
        <f>IF(B94="","",RANK(B94,B:B,0)++COUNTIF($B$1:B93,B94))</f>
        <v>9</v>
      </c>
    </row>
    <row r="95" spans="1:12">
      <c r="A95" s="153"/>
      <c r="B95" s="154"/>
      <c r="C95" s="108" t="str">
        <f>IF(B95="","",RANK(B95,B:B,0)++COUNTIF($B$1:B94,B95))</f>
        <v/>
      </c>
    </row>
    <row r="96" spans="1:12">
      <c r="A96" s="153"/>
      <c r="B96" s="154"/>
      <c r="C96" s="108" t="str">
        <f>IF(B96="","",RANK(B96,B:B,0)++COUNTIF($B$1:B95,B96))</f>
        <v/>
      </c>
    </row>
    <row r="97" spans="1:3">
      <c r="A97" s="153"/>
      <c r="B97" s="154"/>
      <c r="C97" s="108" t="str">
        <f>IF(B97="","",RANK(B97,B:B,0)++COUNTIF($B$1:B96,B97))</f>
        <v/>
      </c>
    </row>
    <row r="98" spans="1:3">
      <c r="A98" s="153"/>
      <c r="B98" s="154"/>
      <c r="C98" s="108" t="str">
        <f>IF(B98="","",RANK(B98,B:B,0)++COUNTIF($B$1:B97,B98))</f>
        <v/>
      </c>
    </row>
    <row r="99" spans="1:3">
      <c r="A99" s="153"/>
      <c r="B99" s="154"/>
      <c r="C99" s="108" t="str">
        <f>IF(B99="","",RANK(B99,B:B,0)++COUNTIF($B$1:B98,B99))</f>
        <v/>
      </c>
    </row>
    <row r="100" spans="1:3">
      <c r="A100" s="153"/>
      <c r="B100" s="154"/>
      <c r="C100" s="108" t="str">
        <f>IF(B100="","",RANK(B100,B:B,0)++COUNTIF($B$1:B99,B100))</f>
        <v/>
      </c>
    </row>
    <row r="101" spans="1:3">
      <c r="A101" s="153"/>
      <c r="B101" s="154"/>
      <c r="C101" s="108" t="str">
        <f>IF(B101="","",RANK(B101,B:B,0)++COUNTIF($B$1:B100,B101))</f>
        <v/>
      </c>
    </row>
    <row r="102" spans="1:3">
      <c r="A102" s="153"/>
      <c r="B102" s="154"/>
      <c r="C102" s="108" t="str">
        <f>IF(B102="","",RANK(B102,B:B,0)++COUNTIF($B$1:B101,B102))</f>
        <v/>
      </c>
    </row>
    <row r="103" spans="1:3">
      <c r="A103" s="153"/>
      <c r="B103" s="154"/>
      <c r="C103" s="108" t="str">
        <f>IF(B103="","",RANK(B103,B:B,0)++COUNTIF($B$1:B102,B103))</f>
        <v/>
      </c>
    </row>
    <row r="104" spans="1:3">
      <c r="A104" s="153"/>
      <c r="B104" s="154"/>
      <c r="C104" s="108" t="str">
        <f>IF(B104="","",RANK(B104,B:B,0)++COUNTIF($B$1:B103,B104))</f>
        <v/>
      </c>
    </row>
    <row r="105" spans="1:3">
      <c r="A105" s="153"/>
      <c r="B105" s="154"/>
      <c r="C105" s="108" t="str">
        <f>IF(B105="","",RANK(B105,B:B,0)++COUNTIF($B$1:B104,B105))</f>
        <v/>
      </c>
    </row>
    <row r="106" spans="1:3">
      <c r="A106" s="153"/>
      <c r="B106" s="154"/>
      <c r="C106" s="108" t="str">
        <f>IF(B106="","",RANK(B106,B:B,0)++COUNTIF($B$1:B105,B106))</f>
        <v/>
      </c>
    </row>
    <row r="107" spans="1:3">
      <c r="A107" s="153"/>
      <c r="B107" s="154"/>
      <c r="C107" s="108" t="str">
        <f>IF(B107="","",RANK(B107,B:B,0)++COUNTIF($B$1:B106,B107))</f>
        <v/>
      </c>
    </row>
    <row r="108" spans="1:3">
      <c r="A108" s="153"/>
      <c r="B108" s="154"/>
      <c r="C108" s="108" t="str">
        <f>IF(B108="","",RANK(B108,B:B,0)++COUNTIF($B$1:B107,B108))</f>
        <v/>
      </c>
    </row>
    <row r="109" spans="1:3">
      <c r="A109" s="153"/>
      <c r="B109" s="154"/>
      <c r="C109" s="108" t="str">
        <f>IF(B109="","",RANK(B109,B:B,0)++COUNTIF($B$1:B108,B109))</f>
        <v/>
      </c>
    </row>
    <row r="110" spans="1:3">
      <c r="A110" s="153"/>
      <c r="B110" s="154"/>
      <c r="C110" s="108" t="str">
        <f>IF(B110="","",RANK(B110,B:B,0)++COUNTIF($B$1:B109,B110))</f>
        <v/>
      </c>
    </row>
    <row r="111" spans="1:3">
      <c r="A111" s="153"/>
      <c r="B111" s="154"/>
      <c r="C111" s="108" t="str">
        <f>IF(B111="","",RANK(B111,B:B,0)++COUNTIF($B$1:B110,B111))</f>
        <v/>
      </c>
    </row>
    <row r="112" spans="1:3">
      <c r="A112" s="153"/>
      <c r="B112" s="154"/>
      <c r="C112" s="108" t="str">
        <f>IF(B112="","",RANK(B112,B:B,0)++COUNTIF($B$1:B111,B112))</f>
        <v/>
      </c>
    </row>
    <row r="113" spans="1:3">
      <c r="A113" s="153"/>
      <c r="B113" s="154"/>
      <c r="C113" s="108" t="str">
        <f>IF(B113="","",RANK(B113,B:B,0)++COUNTIF($B$1:B112,B113))</f>
        <v/>
      </c>
    </row>
    <row r="114" spans="1:3">
      <c r="A114" s="153"/>
      <c r="B114" s="154"/>
      <c r="C114" s="108" t="str">
        <f>IF(B114="","",RANK(B114,B:B,0)++COUNTIF($B$1:B113,B114))</f>
        <v/>
      </c>
    </row>
    <row r="115" spans="1:3">
      <c r="A115" s="153"/>
      <c r="B115" s="154"/>
      <c r="C115" s="108" t="str">
        <f>IF(B115="","",RANK(B115,B:B,0)++COUNTIF($B$1:B114,B115))</f>
        <v/>
      </c>
    </row>
    <row r="116" spans="1:3">
      <c r="A116" s="153"/>
      <c r="B116" s="154"/>
      <c r="C116" s="108" t="str">
        <f>IF(B116="","",RANK(B116,B:B,0)++COUNTIF($B$1:B115,B116))</f>
        <v/>
      </c>
    </row>
    <row r="117" spans="1:3">
      <c r="A117" s="153"/>
      <c r="B117" s="154"/>
      <c r="C117" s="108" t="str">
        <f>IF(B117="","",RANK(B117,B:B,0)++COUNTIF($B$1:B116,B117))</f>
        <v/>
      </c>
    </row>
    <row r="118" spans="1:3">
      <c r="A118" s="153"/>
      <c r="B118" s="154"/>
      <c r="C118" s="108" t="str">
        <f>IF(B118="","",RANK(B118,B:B,0)++COUNTIF($B$1:B117,B118))</f>
        <v/>
      </c>
    </row>
    <row r="119" spans="1:3">
      <c r="A119" s="153"/>
      <c r="B119" s="154"/>
      <c r="C119" s="108" t="str">
        <f>IF(B119="","",RANK(B119,B:B,0)++COUNTIF($B$1:B118,B119))</f>
        <v/>
      </c>
    </row>
    <row r="120" spans="1:3">
      <c r="A120" s="153"/>
      <c r="B120" s="154"/>
      <c r="C120" s="108" t="str">
        <f>IF(B120="","",RANK(B120,B:B,0)++COUNTIF($B$1:B119,B120))</f>
        <v/>
      </c>
    </row>
    <row r="121" spans="1:3">
      <c r="A121" s="153"/>
      <c r="B121" s="154"/>
      <c r="C121" s="108" t="str">
        <f>IF(B121="","",RANK(B121,B:B,0)++COUNTIF($B$1:B120,B121))</f>
        <v/>
      </c>
    </row>
    <row r="122" spans="1:3">
      <c r="A122" s="153"/>
      <c r="B122" s="154"/>
      <c r="C122" s="108" t="str">
        <f>IF(B122="","",RANK(B122,B:B,0)++COUNTIF($B$1:B121,B122))</f>
        <v/>
      </c>
    </row>
    <row r="123" spans="1:3">
      <c r="A123" s="153"/>
      <c r="B123" s="154"/>
      <c r="C123" s="108" t="str">
        <f>IF(B123="","",RANK(B123,B:B,0)++COUNTIF($B$1:B122,B123))</f>
        <v/>
      </c>
    </row>
    <row r="124" spans="1:3">
      <c r="A124" s="153"/>
      <c r="B124" s="154"/>
      <c r="C124" s="108" t="str">
        <f>IF(B124="","",RANK(B124,B:B,0)++COUNTIF($B$1:B123,B124))</f>
        <v/>
      </c>
    </row>
    <row r="125" spans="1:3">
      <c r="A125" s="153"/>
      <c r="B125" s="154"/>
      <c r="C125" s="108" t="str">
        <f>IF(B125="","",RANK(B125,B:B,0)++COUNTIF($B$1:B124,B125))</f>
        <v/>
      </c>
    </row>
    <row r="126" spans="1:3">
      <c r="A126" s="153"/>
      <c r="B126" s="154"/>
      <c r="C126" s="108" t="str">
        <f>IF(B126="","",RANK(B126,B:B,0)++COUNTIF($B$1:B125,B126))</f>
        <v/>
      </c>
    </row>
    <row r="127" spans="1:3">
      <c r="A127" s="153"/>
      <c r="B127" s="154"/>
      <c r="C127" s="108" t="str">
        <f>IF(B127="","",RANK(B127,B:B,0)++COUNTIF($B$1:B126,B127))</f>
        <v/>
      </c>
    </row>
    <row r="128" spans="1:3">
      <c r="A128" s="153"/>
      <c r="B128" s="154"/>
      <c r="C128" s="108" t="str">
        <f>IF(B128="","",RANK(B128,B:B,0)++COUNTIF($B$1:B127,B128))</f>
        <v/>
      </c>
    </row>
    <row r="129" spans="1:3">
      <c r="A129" s="153"/>
      <c r="B129" s="154"/>
      <c r="C129" s="108" t="str">
        <f>IF(B129="","",RANK(B129,B:B,0)++COUNTIF($B$1:B128,B129))</f>
        <v/>
      </c>
    </row>
    <row r="130" spans="1:3">
      <c r="A130" s="153"/>
      <c r="B130" s="154"/>
      <c r="C130" s="108" t="str">
        <f>IF(B130="","",RANK(B130,B:B,0)++COUNTIF($B$1:B129,B130))</f>
        <v/>
      </c>
    </row>
    <row r="131" spans="1:3">
      <c r="A131" s="153"/>
      <c r="B131" s="154"/>
      <c r="C131" s="108" t="str">
        <f>IF(B131="","",RANK(B131,B:B,0)++COUNTIF($B$1:B130,B131))</f>
        <v/>
      </c>
    </row>
    <row r="132" spans="1:3">
      <c r="A132" s="153"/>
      <c r="B132" s="154"/>
      <c r="C132" s="108" t="str">
        <f>IF(B132="","",RANK(B132,B:B,0)++COUNTIF($B$1:B131,B132))</f>
        <v/>
      </c>
    </row>
    <row r="133" spans="1:3">
      <c r="A133" s="153"/>
      <c r="B133" s="154"/>
      <c r="C133" s="108" t="str">
        <f>IF(B133="","",RANK(B133,B:B,0)++COUNTIF($B$1:B132,B133))</f>
        <v/>
      </c>
    </row>
    <row r="134" spans="1:3">
      <c r="A134" s="153"/>
      <c r="B134" s="154"/>
      <c r="C134" s="108" t="str">
        <f>IF(B134="","",RANK(B134,B:B,0)++COUNTIF($B$1:B133,B134))</f>
        <v/>
      </c>
    </row>
    <row r="135" spans="1:3">
      <c r="A135" s="153"/>
      <c r="B135" s="154"/>
      <c r="C135" s="108" t="str">
        <f>IF(B135="","",RANK(B135,B:B,0)++COUNTIF($B$1:B134,B135))</f>
        <v/>
      </c>
    </row>
    <row r="136" spans="1:3">
      <c r="A136" s="153"/>
      <c r="B136" s="154"/>
      <c r="C136" s="108" t="str">
        <f>IF(B136="","",RANK(B136,B:B,0)++COUNTIF($B$1:B135,B136))</f>
        <v/>
      </c>
    </row>
    <row r="137" spans="1:3">
      <c r="A137" s="153"/>
      <c r="B137" s="154"/>
      <c r="C137" s="108" t="str">
        <f>IF(B137="","",RANK(B137,B:B,0)++COUNTIF($B$1:B136,B137))</f>
        <v/>
      </c>
    </row>
    <row r="138" spans="1:3">
      <c r="A138" s="153"/>
      <c r="B138" s="154"/>
      <c r="C138" s="108" t="str">
        <f>IF(B138="","",RANK(B138,B:B,0)++COUNTIF($B$1:B137,B138))</f>
        <v/>
      </c>
    </row>
    <row r="139" spans="1:3">
      <c r="A139" s="153"/>
      <c r="B139" s="154"/>
      <c r="C139" s="108" t="str">
        <f>IF(B139="","",RANK(B139,B:B,0)++COUNTIF($B$1:B138,B139))</f>
        <v/>
      </c>
    </row>
    <row r="140" spans="1:3">
      <c r="A140" s="153"/>
      <c r="B140" s="154"/>
      <c r="C140" s="108" t="str">
        <f>IF(B140="","",RANK(B140,B:B,0)++COUNTIF($B$1:B139,B140))</f>
        <v/>
      </c>
    </row>
    <row r="141" spans="1:3">
      <c r="A141" s="153"/>
      <c r="B141" s="154"/>
      <c r="C141" s="108" t="str">
        <f>IF(B141="","",RANK(B141,B:B,0)++COUNTIF($B$1:B140,B141))</f>
        <v/>
      </c>
    </row>
    <row r="142" spans="1:3">
      <c r="A142" s="153"/>
      <c r="B142" s="154"/>
      <c r="C142" s="108" t="str">
        <f>IF(B142="","",RANK(B142,B:B,0)++COUNTIF($B$1:B141,B142))</f>
        <v/>
      </c>
    </row>
    <row r="143" spans="1:3">
      <c r="A143" s="153"/>
      <c r="B143" s="154"/>
      <c r="C143" s="108" t="str">
        <f>IF(B143="","",RANK(B143,B:B,0)++COUNTIF($B$1:B142,B143))</f>
        <v/>
      </c>
    </row>
    <row r="144" spans="1:3">
      <c r="A144" s="153"/>
      <c r="B144" s="154"/>
      <c r="C144" s="108" t="str">
        <f>IF(B144="","",RANK(B144,B:B,0)++COUNTIF($B$1:B143,B144))</f>
        <v/>
      </c>
    </row>
    <row r="145" spans="1:3">
      <c r="A145" s="153"/>
      <c r="B145" s="154"/>
      <c r="C145" s="108" t="str">
        <f>IF(B145="","",RANK(B145,B:B,0)++COUNTIF($B$1:B144,B145))</f>
        <v/>
      </c>
    </row>
    <row r="146" spans="1:3">
      <c r="A146" s="153"/>
      <c r="B146" s="154"/>
      <c r="C146" s="108" t="str">
        <f>IF(B146="","",RANK(B146,B:B,0)++COUNTIF($B$1:B145,B146))</f>
        <v/>
      </c>
    </row>
    <row r="147" spans="1:3">
      <c r="A147" s="153"/>
      <c r="B147" s="154"/>
      <c r="C147" s="108" t="str">
        <f>IF(B147="","",RANK(B147,B:B,0)++COUNTIF($B$1:B146,B147))</f>
        <v/>
      </c>
    </row>
    <row r="148" spans="1:3">
      <c r="A148" s="153"/>
      <c r="B148" s="154"/>
      <c r="C148" s="108" t="str">
        <f>IF(B148="","",RANK(B148,B:B,0)++COUNTIF($B$1:B147,B148))</f>
        <v/>
      </c>
    </row>
    <row r="149" spans="1:3">
      <c r="A149" s="153"/>
      <c r="B149" s="154"/>
      <c r="C149" s="108" t="str">
        <f>IF(B149="","",RANK(B149,B:B,0)++COUNTIF($B$1:B148,B149))</f>
        <v/>
      </c>
    </row>
    <row r="150" spans="1:3">
      <c r="A150" s="153"/>
      <c r="B150" s="154"/>
      <c r="C150" s="108" t="str">
        <f>IF(B150="","",RANK(B150,B:B,0)++COUNTIF($B$1:B149,B150))</f>
        <v/>
      </c>
    </row>
    <row r="151" spans="1:3">
      <c r="A151" s="153"/>
      <c r="B151" s="154"/>
      <c r="C151" s="108" t="str">
        <f>IF(B151="","",RANK(B151,B:B,0)++COUNTIF($B$1:B150,B151))</f>
        <v/>
      </c>
    </row>
    <row r="152" spans="1:3">
      <c r="A152" s="153"/>
      <c r="B152" s="154"/>
      <c r="C152" s="108" t="str">
        <f>IF(B152="","",RANK(B152,B:B,0)++COUNTIF($B$1:B151,B152))</f>
        <v/>
      </c>
    </row>
    <row r="153" spans="1:3">
      <c r="A153" s="153"/>
      <c r="B153" s="154"/>
      <c r="C153" s="108" t="str">
        <f>IF(B153="","",RANK(B153,B:B,0)++COUNTIF($B$1:B152,B153))</f>
        <v/>
      </c>
    </row>
    <row r="154" spans="1:3">
      <c r="A154" s="153"/>
      <c r="B154" s="154"/>
      <c r="C154" s="108" t="str">
        <f>IF(B154="","",RANK(B154,B:B,0)++COUNTIF($B$1:B153,B154))</f>
        <v/>
      </c>
    </row>
    <row r="155" spans="1:3">
      <c r="A155" s="153"/>
      <c r="B155" s="154"/>
      <c r="C155" s="108" t="str">
        <f>IF(B155="","",RANK(B155,B:B,0)++COUNTIF($B$1:B154,B155))</f>
        <v/>
      </c>
    </row>
    <row r="156" spans="1:3">
      <c r="A156" s="153"/>
      <c r="B156" s="154"/>
      <c r="C156" s="108" t="str">
        <f>IF(B156="","",RANK(B156,B:B,0)++COUNTIF($B$1:B155,B156))</f>
        <v/>
      </c>
    </row>
    <row r="157" spans="1:3">
      <c r="A157" s="153"/>
      <c r="B157" s="154"/>
      <c r="C157" s="108" t="str">
        <f>IF(B157="","",RANK(B157,B:B,0)++COUNTIF($B$1:B156,B157))</f>
        <v/>
      </c>
    </row>
    <row r="158" spans="1:3">
      <c r="A158" s="153"/>
      <c r="B158" s="154"/>
      <c r="C158" s="108" t="str">
        <f>IF(B158="","",RANK(B158,B:B,0)++COUNTIF($B$1:B157,B158))</f>
        <v/>
      </c>
    </row>
    <row r="159" spans="1:3">
      <c r="A159" s="153"/>
      <c r="B159" s="154"/>
      <c r="C159" s="108" t="str">
        <f>IF(B159="","",RANK(B159,B:B,0)++COUNTIF($B$1:B158,B159))</f>
        <v/>
      </c>
    </row>
    <row r="160" spans="1:3">
      <c r="A160" s="153"/>
      <c r="B160" s="154"/>
      <c r="C160" s="108" t="str">
        <f>IF(B160="","",RANK(B160,B:B,0)++COUNTIF($B$1:B159,B160))</f>
        <v/>
      </c>
    </row>
    <row r="161" spans="1:3">
      <c r="A161" s="153"/>
      <c r="B161" s="154"/>
      <c r="C161" s="108" t="str">
        <f>IF(B161="","",RANK(B161,B:B,0)++COUNTIF($B$1:B160,B161))</f>
        <v/>
      </c>
    </row>
    <row r="162" spans="1:3">
      <c r="A162" s="153"/>
      <c r="B162" s="154"/>
      <c r="C162" s="108" t="str">
        <f>IF(B162="","",RANK(B162,B:B,0)++COUNTIF($B$1:B161,B162))</f>
        <v/>
      </c>
    </row>
    <row r="163" spans="1:3">
      <c r="A163" s="153"/>
      <c r="B163" s="154"/>
      <c r="C163" s="108" t="str">
        <f>IF(B163="","",RANK(B163,B:B,0)++COUNTIF($B$1:B162,B163))</f>
        <v/>
      </c>
    </row>
    <row r="164" spans="1:3">
      <c r="A164" s="153"/>
      <c r="B164" s="154"/>
      <c r="C164" s="108" t="str">
        <f>IF(B164="","",RANK(B164,B:B,0)++COUNTIF($B$1:B163,B164))</f>
        <v/>
      </c>
    </row>
    <row r="165" spans="1:3">
      <c r="A165" s="153"/>
      <c r="B165" s="154"/>
      <c r="C165" s="108" t="str">
        <f>IF(B165="","",RANK(B165,B:B,0)++COUNTIF($B$1:B164,B165))</f>
        <v/>
      </c>
    </row>
    <row r="166" spans="1:3">
      <c r="A166" s="153"/>
      <c r="B166" s="154"/>
      <c r="C166" s="108" t="str">
        <f>IF(B166="","",RANK(B166,B:B,0)++COUNTIF($B$1:B165,B166))</f>
        <v/>
      </c>
    </row>
    <row r="167" spans="1:3">
      <c r="A167" s="153"/>
      <c r="B167" s="154"/>
      <c r="C167" s="108" t="str">
        <f>IF(B167="","",RANK(B167,B:B,0)++COUNTIF($B$1:B166,B167))</f>
        <v/>
      </c>
    </row>
    <row r="168" spans="1:3">
      <c r="A168" s="153"/>
      <c r="B168" s="154"/>
      <c r="C168" s="108" t="str">
        <f>IF(B168="","",RANK(B168,B:B,0)++COUNTIF($B$1:B167,B168))</f>
        <v/>
      </c>
    </row>
    <row r="169" spans="1:3">
      <c r="A169" s="153"/>
      <c r="B169" s="154"/>
      <c r="C169" s="108" t="str">
        <f>IF(B169="","",RANK(B169,B:B,0)++COUNTIF($B$1:B168,B169))</f>
        <v/>
      </c>
    </row>
    <row r="170" spans="1:3">
      <c r="A170" s="153"/>
      <c r="B170" s="154"/>
      <c r="C170" s="108" t="str">
        <f>IF(B170="","",RANK(B170,B:B,0)++COUNTIF($B$1:B169,B170))</f>
        <v/>
      </c>
    </row>
    <row r="171" spans="1:3">
      <c r="A171" s="153"/>
      <c r="B171" s="154"/>
      <c r="C171" s="108" t="str">
        <f>IF(B171="","",RANK(B171,B:B,0)++COUNTIF($B$1:B170,B171))</f>
        <v/>
      </c>
    </row>
    <row r="172" spans="1:3">
      <c r="A172" s="153"/>
      <c r="B172" s="154"/>
      <c r="C172" s="108" t="str">
        <f>IF(B172="","",RANK(B172,B:B,0)++COUNTIF($B$1:B171,B172))</f>
        <v/>
      </c>
    </row>
    <row r="173" spans="1:3">
      <c r="A173" s="153"/>
      <c r="B173" s="154"/>
      <c r="C173" s="108" t="str">
        <f>IF(B173="","",RANK(B173,B:B,0)++COUNTIF($B$1:B172,B173))</f>
        <v/>
      </c>
    </row>
    <row r="174" spans="1:3">
      <c r="A174" s="153"/>
      <c r="B174" s="154"/>
      <c r="C174" s="108" t="str">
        <f>IF(B174="","",RANK(B174,B:B,0)++COUNTIF($B$1:B173,B174))</f>
        <v/>
      </c>
    </row>
    <row r="175" spans="1:3">
      <c r="A175" s="153"/>
      <c r="B175" s="154"/>
      <c r="C175" s="108" t="str">
        <f>IF(B175="","",RANK(B175,B:B,0)++COUNTIF($B$1:B174,B175))</f>
        <v/>
      </c>
    </row>
    <row r="176" spans="1:3">
      <c r="A176" s="153"/>
      <c r="B176" s="154"/>
      <c r="C176" s="108" t="str">
        <f>IF(B176="","",RANK(B176,B:B,0)++COUNTIF($B$1:B175,B176))</f>
        <v/>
      </c>
    </row>
    <row r="177" spans="1:3">
      <c r="A177" s="153"/>
      <c r="B177" s="154"/>
      <c r="C177" s="108" t="str">
        <f>IF(B177="","",RANK(B177,B:B,0)++COUNTIF($B$1:B176,B177))</f>
        <v/>
      </c>
    </row>
    <row r="178" spans="1:3">
      <c r="A178" s="153"/>
      <c r="B178" s="154"/>
      <c r="C178" s="108" t="str">
        <f>IF(B178="","",RANK(B178,B:B,0)++COUNTIF($B$1:B177,B178))</f>
        <v/>
      </c>
    </row>
    <row r="179" spans="1:3">
      <c r="A179" s="153"/>
      <c r="B179" s="154"/>
      <c r="C179" s="108" t="str">
        <f>IF(B179="","",RANK(B179,B:B,0)++COUNTIF($B$1:B178,B179))</f>
        <v/>
      </c>
    </row>
    <row r="180" spans="1:3">
      <c r="A180" s="153"/>
      <c r="B180" s="154"/>
      <c r="C180" s="108" t="str">
        <f>IF(B180="","",RANK(B180,B:B,0)++COUNTIF($B$1:B179,B180))</f>
        <v/>
      </c>
    </row>
    <row r="181" spans="1:3">
      <c r="A181" s="153"/>
      <c r="B181" s="154"/>
      <c r="C181" s="108" t="str">
        <f>IF(B181="","",RANK(B181,B:B,0)++COUNTIF($B$1:B180,B181))</f>
        <v/>
      </c>
    </row>
    <row r="182" spans="1:3">
      <c r="A182" s="153"/>
      <c r="B182" s="154"/>
      <c r="C182" s="108" t="str">
        <f>IF(B182="","",RANK(B182,B:B,0)++COUNTIF($B$1:B181,B182))</f>
        <v/>
      </c>
    </row>
    <row r="183" spans="1:3">
      <c r="A183" s="153"/>
      <c r="B183" s="154"/>
      <c r="C183" s="108" t="str">
        <f>IF(B183="","",RANK(B183,B:B,0)++COUNTIF($B$1:B182,B183))</f>
        <v/>
      </c>
    </row>
    <row r="184" spans="1:3">
      <c r="A184" s="153"/>
      <c r="B184" s="154"/>
      <c r="C184" s="108" t="str">
        <f>IF(B184="","",RANK(B184,B:B,0)++COUNTIF($B$1:B183,B184))</f>
        <v/>
      </c>
    </row>
    <row r="185" spans="1:3">
      <c r="A185" s="153"/>
      <c r="B185" s="154"/>
      <c r="C185" s="108" t="str">
        <f>IF(B185="","",RANK(B185,B:B,0)++COUNTIF($B$1:B184,B185))</f>
        <v/>
      </c>
    </row>
    <row r="186" spans="1:3">
      <c r="A186" s="153"/>
      <c r="B186" s="154"/>
      <c r="C186" s="108" t="str">
        <f>IF(B186="","",RANK(B186,B:B,0)++COUNTIF($B$1:B185,B186))</f>
        <v/>
      </c>
    </row>
    <row r="187" spans="1:3">
      <c r="A187" s="153"/>
      <c r="B187" s="154"/>
      <c r="C187" s="108" t="str">
        <f>IF(B187="","",RANK(B187,B:B,0)++COUNTIF($B$1:B186,B187))</f>
        <v/>
      </c>
    </row>
    <row r="188" spans="1:3">
      <c r="A188" s="153"/>
      <c r="B188" s="154"/>
      <c r="C188" s="108" t="str">
        <f>IF(B188="","",RANK(B188,B:B,0)++COUNTIF($B$1:B187,B188))</f>
        <v/>
      </c>
    </row>
    <row r="189" spans="1:3">
      <c r="A189" s="153"/>
      <c r="B189" s="154"/>
      <c r="C189" s="108" t="str">
        <f>IF(B189="","",RANK(B189,B:B,0)++COUNTIF($B$1:B188,B189))</f>
        <v/>
      </c>
    </row>
    <row r="190" spans="1:3">
      <c r="A190" s="153"/>
      <c r="B190" s="154"/>
      <c r="C190" s="108" t="str">
        <f>IF(B190="","",RANK(B190,B:B,0)++COUNTIF($B$1:B189,B190))</f>
        <v/>
      </c>
    </row>
    <row r="191" spans="1:3">
      <c r="A191" s="153"/>
      <c r="B191" s="154"/>
      <c r="C191" s="108" t="str">
        <f>IF(B191="","",RANK(B191,B:B,0)++COUNTIF($B$1:B190,B191))</f>
        <v/>
      </c>
    </row>
    <row r="192" spans="1:3">
      <c r="A192" s="153"/>
      <c r="B192" s="154"/>
      <c r="C192" s="108" t="str">
        <f>IF(B192="","",RANK(B192,B:B,0)++COUNTIF($B$1:B191,B192))</f>
        <v/>
      </c>
    </row>
    <row r="193" spans="1:3">
      <c r="A193" s="153"/>
      <c r="B193" s="154"/>
      <c r="C193" s="108" t="str">
        <f>IF(B193="","",RANK(B193,B:B,0)++COUNTIF($B$1:B192,B193))</f>
        <v/>
      </c>
    </row>
    <row r="194" spans="1:3">
      <c r="A194" s="153"/>
      <c r="B194" s="154"/>
      <c r="C194" s="108" t="str">
        <f>IF(B194="","",RANK(B194,B:B,0)++COUNTIF($B$1:B193,B194))</f>
        <v/>
      </c>
    </row>
    <row r="195" spans="1:3">
      <c r="A195" s="153"/>
      <c r="B195" s="154"/>
      <c r="C195" s="108" t="str">
        <f>IF(B195="","",RANK(B195,B:B,0)++COUNTIF($B$1:B194,B195))</f>
        <v/>
      </c>
    </row>
    <row r="196" spans="1:3">
      <c r="A196" s="153"/>
      <c r="B196" s="154"/>
      <c r="C196" s="108" t="str">
        <f>IF(B196="","",RANK(B196,B:B,0)++COUNTIF($B$1:B195,B196))</f>
        <v/>
      </c>
    </row>
    <row r="197" spans="1:3">
      <c r="A197" s="153"/>
      <c r="B197" s="154"/>
      <c r="C197" s="108" t="str">
        <f>IF(B197="","",RANK(B197,B:B,0)++COUNTIF($B$1:B196,B197))</f>
        <v/>
      </c>
    </row>
    <row r="198" spans="1:3">
      <c r="A198" s="153"/>
      <c r="B198" s="154"/>
      <c r="C198" s="108" t="str">
        <f>IF(B198="","",RANK(B198,B:B,0)++COUNTIF($B$1:B197,B198))</f>
        <v/>
      </c>
    </row>
    <row r="199" spans="1:3">
      <c r="A199" s="153"/>
      <c r="B199" s="154"/>
      <c r="C199" s="108" t="str">
        <f>IF(B199="","",RANK(B199,B:B,0)++COUNTIF($B$1:B198,B199))</f>
        <v/>
      </c>
    </row>
    <row r="200" spans="1:3">
      <c r="A200" s="153"/>
      <c r="B200" s="154"/>
      <c r="C200" s="108" t="str">
        <f>IF(B200="","",RANK(B200,B:B,0)++COUNTIF($B$1:B199,B200))</f>
        <v/>
      </c>
    </row>
    <row r="201" spans="1:3">
      <c r="A201" s="153"/>
      <c r="B201" s="154"/>
      <c r="C201" s="108" t="str">
        <f>IF(B201="","",RANK(B201,B:B,0)++COUNTIF($B$1:B200,B201))</f>
        <v/>
      </c>
    </row>
    <row r="202" spans="1:3">
      <c r="A202" s="153"/>
      <c r="B202" s="154"/>
      <c r="C202" s="108" t="str">
        <f>IF(B202="","",RANK(B202,B:B,0)++COUNTIF($B$1:B201,B202))</f>
        <v/>
      </c>
    </row>
    <row r="203" spans="1:3">
      <c r="A203" s="153"/>
      <c r="B203" s="154"/>
      <c r="C203" s="108" t="str">
        <f>IF(B203="","",RANK(B203,B:B,0)++COUNTIF($B$1:B202,B203))</f>
        <v/>
      </c>
    </row>
    <row r="204" spans="1:3">
      <c r="A204" s="153"/>
      <c r="B204" s="154"/>
      <c r="C204" s="108" t="str">
        <f>IF(B204="","",RANK(B204,B:B,0)++COUNTIF($B$1:B203,B204))</f>
        <v/>
      </c>
    </row>
    <row r="205" spans="1:3">
      <c r="A205" s="153"/>
      <c r="B205" s="154"/>
      <c r="C205" s="108" t="str">
        <f>IF(B205="","",RANK(B205,B:B,0)++COUNTIF($B$1:B204,B205))</f>
        <v/>
      </c>
    </row>
    <row r="206" spans="1:3">
      <c r="A206" s="153"/>
      <c r="B206" s="154"/>
      <c r="C206" s="108" t="str">
        <f>IF(B206="","",RANK(B206,B:B,0)++COUNTIF($B$1:B205,B206))</f>
        <v/>
      </c>
    </row>
    <row r="207" spans="1:3">
      <c r="A207" s="153"/>
      <c r="B207" s="154"/>
      <c r="C207" s="108" t="str">
        <f>IF(B207="","",RANK(B207,B:B,0)++COUNTIF($B$1:B206,B207))</f>
        <v/>
      </c>
    </row>
    <row r="208" spans="1:3">
      <c r="A208" s="153"/>
      <c r="B208" s="154"/>
      <c r="C208" s="108" t="str">
        <f>IF(B208="","",RANK(B208,B:B,0)++COUNTIF($B$1:B207,B208))</f>
        <v/>
      </c>
    </row>
    <row r="209" spans="1:3">
      <c r="A209" s="153"/>
      <c r="B209" s="154"/>
      <c r="C209" s="108" t="str">
        <f>IF(B209="","",RANK(B209,B:B,0)++COUNTIF($B$1:B208,B209))</f>
        <v/>
      </c>
    </row>
    <row r="210" spans="1:3">
      <c r="A210" s="153"/>
      <c r="B210" s="154"/>
      <c r="C210" s="108" t="str">
        <f>IF(B210="","",RANK(B210,B:B,0)++COUNTIF($B$1:B209,B210))</f>
        <v/>
      </c>
    </row>
    <row r="211" spans="1:3">
      <c r="A211" s="153"/>
      <c r="B211" s="154"/>
      <c r="C211" s="108" t="str">
        <f>IF(B211="","",RANK(B211,B:B,0)++COUNTIF($B$1:B210,B211))</f>
        <v/>
      </c>
    </row>
    <row r="212" spans="1:3">
      <c r="A212" s="153"/>
      <c r="B212" s="154"/>
      <c r="C212" s="108" t="str">
        <f>IF(B212="","",RANK(B212,B:B,0)++COUNTIF($B$1:B211,B212))</f>
        <v/>
      </c>
    </row>
    <row r="213" spans="1:3">
      <c r="A213" s="153"/>
      <c r="B213" s="154"/>
      <c r="C213" s="108" t="str">
        <f>IF(B213="","",RANK(B213,B:B,0)++COUNTIF($B$1:B212,B213))</f>
        <v/>
      </c>
    </row>
    <row r="214" spans="1:3">
      <c r="A214" s="153"/>
      <c r="B214" s="154"/>
      <c r="C214" s="108" t="str">
        <f>IF(B214="","",RANK(B214,B:B,0)++COUNTIF($B$1:B213,B214))</f>
        <v/>
      </c>
    </row>
    <row r="215" spans="1:3">
      <c r="A215" s="153"/>
      <c r="B215" s="154"/>
      <c r="C215" s="108" t="str">
        <f>IF(B215="","",RANK(B215,B:B,0)++COUNTIF($B$1:B214,B215))</f>
        <v/>
      </c>
    </row>
    <row r="216" spans="1:3">
      <c r="A216" s="153"/>
      <c r="B216" s="154"/>
      <c r="C216" s="108" t="str">
        <f>IF(B216="","",RANK(B216,B:B,0)++COUNTIF($B$1:B215,B216))</f>
        <v/>
      </c>
    </row>
    <row r="217" spans="1:3">
      <c r="A217" s="153"/>
      <c r="B217" s="154"/>
      <c r="C217" s="108" t="str">
        <f>IF(B217="","",RANK(B217,B:B,0)++COUNTIF($B$1:B216,B217))</f>
        <v/>
      </c>
    </row>
    <row r="218" spans="1:3">
      <c r="A218" s="153"/>
      <c r="B218" s="154"/>
      <c r="C218" s="108" t="str">
        <f>IF(B218="","",RANK(B218,B:B,0)++COUNTIF($B$1:B217,B218))</f>
        <v/>
      </c>
    </row>
    <row r="219" spans="1:3">
      <c r="A219" s="153"/>
      <c r="B219" s="154"/>
      <c r="C219" s="108" t="str">
        <f>IF(B219="","",RANK(B219,B:B,0)++COUNTIF($B$1:B218,B219))</f>
        <v/>
      </c>
    </row>
    <row r="220" spans="1:3">
      <c r="A220" s="153"/>
      <c r="B220" s="154"/>
      <c r="C220" s="108" t="str">
        <f>IF(B220="","",RANK(B220,B:B,0)++COUNTIF($B$1:B219,B220))</f>
        <v/>
      </c>
    </row>
    <row r="221" spans="1:3">
      <c r="A221" s="153"/>
      <c r="B221" s="154"/>
      <c r="C221" s="108" t="str">
        <f>IF(B221="","",RANK(B221,B:B,0)++COUNTIF($B$1:B220,B221))</f>
        <v/>
      </c>
    </row>
    <row r="222" spans="1:3">
      <c r="A222" s="153"/>
      <c r="B222" s="154"/>
      <c r="C222" s="108" t="str">
        <f>IF(B222="","",RANK(B222,B:B,0)++COUNTIF($B$1:B221,B222))</f>
        <v/>
      </c>
    </row>
    <row r="223" spans="1:3">
      <c r="A223" s="153"/>
      <c r="B223" s="154"/>
      <c r="C223" s="108" t="str">
        <f>IF(B223="","",RANK(B223,B:B,0)++COUNTIF($B$1:B222,B223))</f>
        <v/>
      </c>
    </row>
    <row r="224" spans="1:3">
      <c r="A224" s="153"/>
      <c r="B224" s="154"/>
      <c r="C224" s="108" t="str">
        <f>IF(B224="","",RANK(B224,B:B,0)++COUNTIF($B$1:B223,B224))</f>
        <v/>
      </c>
    </row>
    <row r="225" spans="1:3">
      <c r="A225" s="153"/>
      <c r="B225" s="154"/>
      <c r="C225" s="108" t="str">
        <f>IF(B225="","",RANK(B225,B:B,0)++COUNTIF($B$1:B224,B225))</f>
        <v/>
      </c>
    </row>
    <row r="226" spans="1:3">
      <c r="A226" s="153"/>
      <c r="B226" s="154"/>
      <c r="C226" s="108" t="str">
        <f>IF(B226="","",RANK(B226,B:B,0)++COUNTIF($B$1:B225,B226))</f>
        <v/>
      </c>
    </row>
    <row r="227" spans="1:3">
      <c r="A227" s="153"/>
      <c r="B227" s="154"/>
      <c r="C227" s="108" t="str">
        <f>IF(B227="","",RANK(B227,B:B,0)++COUNTIF($B$1:B226,B227))</f>
        <v/>
      </c>
    </row>
    <row r="228" spans="1:3">
      <c r="A228" s="153"/>
      <c r="B228" s="154"/>
      <c r="C228" s="108" t="str">
        <f>IF(B228="","",RANK(B228,B:B,0)++COUNTIF($B$1:B227,B228))</f>
        <v/>
      </c>
    </row>
    <row r="229" spans="1:3">
      <c r="A229" s="153"/>
      <c r="B229" s="154"/>
      <c r="C229" s="108" t="str">
        <f>IF(B229="","",RANK(B229,B:B,0)++COUNTIF($B$1:B228,B229))</f>
        <v/>
      </c>
    </row>
    <row r="230" spans="1:3">
      <c r="A230" s="153"/>
      <c r="B230" s="154"/>
      <c r="C230" s="108" t="str">
        <f>IF(B230="","",RANK(B230,B:B,0)++COUNTIF($B$1:B229,B230))</f>
        <v/>
      </c>
    </row>
    <row r="231" spans="1:3">
      <c r="A231" s="153"/>
      <c r="B231" s="154"/>
      <c r="C231" s="108" t="str">
        <f>IF(B231="","",RANK(B231,B:B,0)++COUNTIF($B$1:B230,B231))</f>
        <v/>
      </c>
    </row>
    <row r="232" spans="1:3">
      <c r="A232" s="153"/>
      <c r="B232" s="154"/>
      <c r="C232" s="108" t="str">
        <f>IF(B232="","",RANK(B232,B:B,0)++COUNTIF($B$1:B231,B232))</f>
        <v/>
      </c>
    </row>
    <row r="233" spans="1:3">
      <c r="A233" s="153"/>
      <c r="B233" s="154"/>
      <c r="C233" s="108" t="str">
        <f>IF(B233="","",RANK(B233,B:B,0)++COUNTIF($B$1:B232,B233))</f>
        <v/>
      </c>
    </row>
    <row r="234" spans="1:3">
      <c r="A234" s="162"/>
      <c r="B234" s="163"/>
      <c r="C234" s="108" t="str">
        <f>IF(B234="","",RANK(B234,B:B,0)++COUNTIF($B$1:B233,B234))</f>
        <v/>
      </c>
    </row>
    <row r="235" spans="1:3">
      <c r="A235" s="162"/>
      <c r="B235" s="163"/>
      <c r="C235" s="108" t="str">
        <f>IF(B235="","",RANK(B235,B:B,0)++COUNTIF($B$1:B234,B235))</f>
        <v/>
      </c>
    </row>
    <row r="236" spans="1:3">
      <c r="A236" s="162"/>
      <c r="B236" s="163"/>
      <c r="C236" s="108" t="str">
        <f>IF(B236="","",RANK(B236,B:B,0)++COUNTIF($B$1:B235,B236))</f>
        <v/>
      </c>
    </row>
    <row r="237" spans="1:3">
      <c r="A237" s="162"/>
      <c r="B237" s="163"/>
      <c r="C237" s="108" t="str">
        <f>IF(B237="","",RANK(B237,B:B,0)++COUNTIF($B$1:B236,B237))</f>
        <v/>
      </c>
    </row>
    <row r="238" spans="1:3">
      <c r="A238" s="162"/>
      <c r="B238" s="163"/>
      <c r="C238" s="108" t="str">
        <f>IF(B238="","",RANK(B238,B:B,0)++COUNTIF($B$1:B237,B238))</f>
        <v/>
      </c>
    </row>
    <row r="239" spans="1:3">
      <c r="A239" s="162"/>
      <c r="B239" s="163"/>
      <c r="C239" s="108" t="str">
        <f>IF(B239="","",RANK(B239,B:B,0)++COUNTIF($B$1:B238,B239))</f>
        <v/>
      </c>
    </row>
    <row r="240" spans="1:3">
      <c r="A240" s="162"/>
      <c r="B240" s="163"/>
      <c r="C240" s="108" t="str">
        <f>IF(B240="","",RANK(B240,B:B,0)++COUNTIF($B$1:B239,B240))</f>
        <v/>
      </c>
    </row>
    <row r="241" spans="1:3">
      <c r="A241" s="162"/>
      <c r="B241" s="163"/>
      <c r="C241" s="108" t="str">
        <f>IF(B241="","",RANK(B241,B:B,0)++COUNTIF($B$1:B240,B241))</f>
        <v/>
      </c>
    </row>
    <row r="242" spans="1:3">
      <c r="A242" s="162"/>
      <c r="B242" s="163"/>
      <c r="C242" s="108" t="str">
        <f>IF(B242="","",RANK(B242,B:B,0)++COUNTIF($B$1:B241,B242))</f>
        <v/>
      </c>
    </row>
    <row r="243" spans="1:3">
      <c r="A243" s="162"/>
      <c r="B243" s="163"/>
      <c r="C243" s="108" t="str">
        <f>IF(B243="","",RANK(B243,B:B,0)++COUNTIF($B$1:B242,B243))</f>
        <v/>
      </c>
    </row>
    <row r="244" spans="1:3">
      <c r="A244" s="162"/>
      <c r="B244" s="163"/>
      <c r="C244" s="108" t="str">
        <f>IF(B244="","",RANK(B244,B:B,0)++COUNTIF($B$1:B243,B244))</f>
        <v/>
      </c>
    </row>
    <row r="245" spans="1:3">
      <c r="A245" s="162"/>
      <c r="B245" s="163"/>
      <c r="C245" s="108" t="str">
        <f>IF(B245="","",RANK(B245,B:B,0)++COUNTIF($B$1:B244,B245))</f>
        <v/>
      </c>
    </row>
    <row r="246" spans="1:3">
      <c r="A246" s="162"/>
      <c r="B246" s="163"/>
      <c r="C246" s="108" t="str">
        <f>IF(B246="","",RANK(B246,B:B,0)++COUNTIF($B$1:B245,B246))</f>
        <v/>
      </c>
    </row>
    <row r="247" spans="1:3">
      <c r="A247" s="162"/>
      <c r="B247" s="163"/>
      <c r="C247" s="108" t="str">
        <f>IF(B247="","",RANK(B247,B:B,0)++COUNTIF($B$1:B246,B247))</f>
        <v/>
      </c>
    </row>
    <row r="248" spans="1:3">
      <c r="A248" s="162"/>
      <c r="B248" s="163"/>
      <c r="C248" s="108" t="str">
        <f>IF(B248="","",RANK(B248,B:B,0)++COUNTIF($B$1:B247,B248))</f>
        <v/>
      </c>
    </row>
    <row r="249" spans="1:3">
      <c r="A249" s="162"/>
      <c r="B249" s="163"/>
      <c r="C249" s="108" t="str">
        <f>IF(B249="","",RANK(B249,B:B,0)++COUNTIF($B$1:B248,B249))</f>
        <v/>
      </c>
    </row>
    <row r="250" spans="1:3">
      <c r="A250" s="162"/>
      <c r="B250" s="163"/>
      <c r="C250" s="108" t="str">
        <f>IF(B250="","",RANK(B250,B:B,0)++COUNTIF($B$1:B249,B250))</f>
        <v/>
      </c>
    </row>
    <row r="251" spans="1:3">
      <c r="A251" s="162"/>
      <c r="B251" s="163"/>
      <c r="C251" s="108" t="str">
        <f>IF(B251="","",RANK(B251,B:B,0)++COUNTIF($B$1:B250,B251))</f>
        <v/>
      </c>
    </row>
    <row r="252" spans="1:3">
      <c r="A252" s="162"/>
      <c r="B252" s="163"/>
      <c r="C252" s="108" t="str">
        <f>IF(B252="","",RANK(B252,B:B,0)++COUNTIF($B$1:B251,B252))</f>
        <v/>
      </c>
    </row>
    <row r="253" spans="1:3">
      <c r="A253" s="162"/>
      <c r="B253" s="163"/>
      <c r="C253" s="108" t="str">
        <f>IF(B253="","",RANK(B253,B:B,0)++COUNTIF($B$1:B252,B253))</f>
        <v/>
      </c>
    </row>
    <row r="254" spans="1:3">
      <c r="A254" s="162"/>
      <c r="B254" s="163"/>
      <c r="C254" s="108" t="str">
        <f>IF(B254="","",RANK(B254,B:B,0)++COUNTIF($B$1:B253,B254))</f>
        <v/>
      </c>
    </row>
    <row r="255" spans="1:3">
      <c r="A255" s="162"/>
      <c r="B255" s="163"/>
      <c r="C255" s="108" t="str">
        <f>IF(B255="","",RANK(B255,B:B,0)++COUNTIF($B$1:B254,B255))</f>
        <v/>
      </c>
    </row>
    <row r="256" spans="1:3">
      <c r="A256" s="162"/>
      <c r="B256" s="163"/>
      <c r="C256" s="108" t="str">
        <f>IF(B256="","",RANK(B256,B:B,0)++COUNTIF($B$1:B255,B256))</f>
        <v/>
      </c>
    </row>
    <row r="257" spans="1:3">
      <c r="A257" s="162"/>
      <c r="B257" s="163"/>
      <c r="C257" s="108" t="str">
        <f>IF(B257="","",RANK(B257,B:B,0)++COUNTIF($B$1:B256,B257))</f>
        <v/>
      </c>
    </row>
    <row r="258" spans="1:3">
      <c r="A258" s="162"/>
      <c r="B258" s="163"/>
      <c r="C258" s="108" t="str">
        <f>IF(B258="","",RANK(B258,B:B,0)++COUNTIF($B$1:B257,B258))</f>
        <v/>
      </c>
    </row>
    <row r="259" spans="1:3">
      <c r="A259" s="162"/>
      <c r="B259" s="163"/>
      <c r="C259" s="108" t="str">
        <f>IF(B259="","",RANK(B259,B:B,0)++COUNTIF($B$1:B258,B259))</f>
        <v/>
      </c>
    </row>
    <row r="260" spans="1:3">
      <c r="A260" s="162"/>
      <c r="B260" s="163"/>
      <c r="C260" s="108" t="str">
        <f>IF(B260="","",RANK(B260,B:B,0)++COUNTIF($B$1:B259,B260))</f>
        <v/>
      </c>
    </row>
    <row r="261" spans="1:3">
      <c r="A261" s="162"/>
      <c r="B261" s="163"/>
      <c r="C261" s="108" t="str">
        <f>IF(B261="","",RANK(B261,B:B,0)++COUNTIF($B$1:B260,B261))</f>
        <v/>
      </c>
    </row>
    <row r="262" spans="1:3">
      <c r="A262" s="162"/>
      <c r="B262" s="163"/>
      <c r="C262" s="108" t="str">
        <f>IF(B262="","",RANK(B262,B:B,0)++COUNTIF($B$1:B261,B262))</f>
        <v/>
      </c>
    </row>
    <row r="263" spans="1:3">
      <c r="A263" s="162"/>
      <c r="B263" s="163"/>
      <c r="C263" s="108" t="str">
        <f>IF(B263="","",RANK(B263,B:B,0)++COUNTIF($B$1:B262,B263))</f>
        <v/>
      </c>
    </row>
    <row r="264" spans="1:3">
      <c r="A264" s="162"/>
      <c r="B264" s="163"/>
      <c r="C264" s="108" t="str">
        <f>IF(B264="","",RANK(B264,B:B,0)++COUNTIF($B$1:B263,B264))</f>
        <v/>
      </c>
    </row>
    <row r="265" spans="1:3">
      <c r="A265" s="162"/>
      <c r="B265" s="163"/>
      <c r="C265" s="108" t="str">
        <f>IF(B265="","",RANK(B265,B:B,0)++COUNTIF($B$1:B264,B265))</f>
        <v/>
      </c>
    </row>
    <row r="266" spans="1:3">
      <c r="A266" s="162"/>
      <c r="B266" s="163"/>
      <c r="C266" s="108" t="str">
        <f>IF(B266="","",RANK(B266,B:B,0)++COUNTIF($B$1:B265,B266))</f>
        <v/>
      </c>
    </row>
    <row r="267" spans="1:3">
      <c r="A267" s="162"/>
      <c r="B267" s="163"/>
      <c r="C267" s="108" t="str">
        <f>IF(B267="","",RANK(B267,B:B,0)++COUNTIF($B$1:B266,B267))</f>
        <v/>
      </c>
    </row>
    <row r="268" spans="1:3">
      <c r="A268" s="162"/>
      <c r="B268" s="163"/>
      <c r="C268" s="108" t="str">
        <f>IF(B268="","",RANK(B268,B:B,0)++COUNTIF($B$1:B267,B268))</f>
        <v/>
      </c>
    </row>
    <row r="269" spans="1:3">
      <c r="A269" s="162"/>
      <c r="B269" s="163"/>
      <c r="C269" s="108" t="str">
        <f>IF(B269="","",RANK(B269,B:B,0)++COUNTIF($B$1:B268,B269))</f>
        <v/>
      </c>
    </row>
    <row r="270" spans="1:3">
      <c r="A270" s="162"/>
      <c r="B270" s="163"/>
      <c r="C270" s="108" t="str">
        <f>IF(B270="","",RANK(B270,B:B,0)++COUNTIF($B$1:B269,B270))</f>
        <v/>
      </c>
    </row>
    <row r="271" spans="1:3">
      <c r="A271" s="162"/>
      <c r="B271" s="163"/>
      <c r="C271" s="108" t="str">
        <f>IF(B271="","",RANK(B271,B:B,0)++COUNTIF($B$1:B270,B271))</f>
        <v/>
      </c>
    </row>
    <row r="272" spans="1:3">
      <c r="A272" s="162"/>
      <c r="B272" s="163"/>
      <c r="C272" s="108" t="str">
        <f>IF(B272="","",RANK(B272,B:B,0)++COUNTIF($B$1:B271,B272))</f>
        <v/>
      </c>
    </row>
    <row r="273" spans="1:3">
      <c r="A273" s="162"/>
      <c r="B273" s="163"/>
      <c r="C273" s="108" t="str">
        <f>IF(B273="","",RANK(B273,B:B,0)++COUNTIF($B$1:B272,B273))</f>
        <v/>
      </c>
    </row>
    <row r="274" spans="1:3">
      <c r="A274" s="162"/>
      <c r="B274" s="163"/>
      <c r="C274" s="108" t="str">
        <f>IF(B274="","",RANK(B274,B:B,0)++COUNTIF($B$1:B273,B274))</f>
        <v/>
      </c>
    </row>
    <row r="275" spans="1:3">
      <c r="A275" s="162"/>
      <c r="B275" s="163"/>
      <c r="C275" s="108" t="str">
        <f>IF(B275="","",RANK(B275,B:B,0)++COUNTIF($B$1:B274,B275))</f>
        <v/>
      </c>
    </row>
    <row r="276" spans="1:3">
      <c r="A276" s="162"/>
      <c r="B276" s="163"/>
      <c r="C276" s="108" t="str">
        <f>IF(B276="","",RANK(B276,B:B,0)++COUNTIF($B$1:B275,B276))</f>
        <v/>
      </c>
    </row>
    <row r="277" spans="1:3">
      <c r="A277" s="162"/>
      <c r="B277" s="163"/>
      <c r="C277" s="108" t="str">
        <f>IF(B277="","",RANK(B277,B:B,0)++COUNTIF($B$1:B276,B277))</f>
        <v/>
      </c>
    </row>
    <row r="278" spans="1:3">
      <c r="A278" s="162"/>
      <c r="B278" s="163"/>
      <c r="C278" s="108" t="str">
        <f>IF(B278="","",RANK(B278,B:B,0)++COUNTIF($B$1:B277,B278))</f>
        <v/>
      </c>
    </row>
    <row r="279" spans="1:3">
      <c r="A279" s="162"/>
      <c r="B279" s="163"/>
      <c r="C279" s="108" t="str">
        <f>IF(B279="","",RANK(B279,B:B,0)++COUNTIF($B$1:B278,B279))</f>
        <v/>
      </c>
    </row>
    <row r="280" spans="1:3">
      <c r="A280" s="162"/>
      <c r="B280" s="163"/>
      <c r="C280" s="108" t="str">
        <f>IF(B280="","",RANK(B280,B:B,0)++COUNTIF($B$1:B279,B280))</f>
        <v/>
      </c>
    </row>
    <row r="281" spans="1:3">
      <c r="A281" s="162"/>
      <c r="B281" s="163"/>
      <c r="C281" s="108" t="str">
        <f>IF(B281="","",RANK(B281,B:B,0)++COUNTIF($B$1:B280,B281))</f>
        <v/>
      </c>
    </row>
    <row r="282" spans="1:3">
      <c r="A282" s="162"/>
      <c r="B282" s="163"/>
      <c r="C282" s="108" t="str">
        <f>IF(B282="","",RANK(B282,B:B,0)++COUNTIF($B$1:B281,B282))</f>
        <v/>
      </c>
    </row>
    <row r="283" spans="1:3">
      <c r="A283" s="162"/>
      <c r="B283" s="163"/>
      <c r="C283" s="108" t="str">
        <f>IF(B283="","",RANK(B283,B:B,0)++COUNTIF($B$1:B282,B283))</f>
        <v/>
      </c>
    </row>
    <row r="284" spans="1:3">
      <c r="A284" s="162"/>
      <c r="B284" s="163"/>
      <c r="C284" s="108" t="str">
        <f>IF(B284="","",RANK(B284,B:B,0)++COUNTIF($B$1:B283,B284))</f>
        <v/>
      </c>
    </row>
    <row r="285" spans="1:3">
      <c r="A285" s="162"/>
      <c r="B285" s="163"/>
      <c r="C285" s="108" t="str">
        <f>IF(B285="","",RANK(B285,B:B,0)++COUNTIF($B$1:B284,B285))</f>
        <v/>
      </c>
    </row>
    <row r="286" spans="1:3">
      <c r="A286" s="162"/>
      <c r="B286" s="163"/>
      <c r="C286" s="108" t="str">
        <f>IF(B286="","",RANK(B286,B:B,0)++COUNTIF($B$1:B285,B286))</f>
        <v/>
      </c>
    </row>
    <row r="287" spans="1:3">
      <c r="A287" s="162"/>
      <c r="B287" s="163"/>
      <c r="C287" s="108" t="str">
        <f>IF(B287="","",RANK(B287,B:B,0)++COUNTIF($B$1:B286,B287))</f>
        <v/>
      </c>
    </row>
    <row r="288" spans="1:3" ht="17.25" thickBot="1">
      <c r="A288" s="164"/>
      <c r="B288" s="165"/>
      <c r="C288" s="108" t="str">
        <f>IF(B288="","",RANK(B288,B:B,0)++COUNTIF($B$1:B287,B288))</f>
        <v/>
      </c>
    </row>
  </sheetData>
  <phoneticPr fontId="1" type="noConversion"/>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8BF8F-5160-4856-BC9F-F5BB473FCD8D}">
  <sheetPr>
    <tabColor theme="9" tint="0.79998168889431442"/>
  </sheetPr>
  <dimension ref="A1:P66"/>
  <sheetViews>
    <sheetView workbookViewId="0">
      <selection activeCell="J2" sqref="J2"/>
    </sheetView>
  </sheetViews>
  <sheetFormatPr defaultRowHeight="16.5"/>
  <cols>
    <col min="1" max="1" width="12.375" bestFit="1" customWidth="1"/>
    <col min="2" max="5" width="8.875" customWidth="1"/>
    <col min="6" max="6" width="12.125" customWidth="1"/>
    <col min="13" max="13" width="11.75" customWidth="1"/>
    <col min="15" max="15" width="9" customWidth="1"/>
  </cols>
  <sheetData>
    <row r="1" spans="1:13" ht="17.25" thickBot="1">
      <c r="H1" s="247" t="s">
        <v>7</v>
      </c>
      <c r="I1" s="248" t="s">
        <v>138</v>
      </c>
      <c r="J1" s="248" t="s">
        <v>643</v>
      </c>
      <c r="K1" s="248" t="s">
        <v>644</v>
      </c>
      <c r="L1" s="248" t="s">
        <v>940</v>
      </c>
      <c r="M1" s="249" t="s">
        <v>645</v>
      </c>
    </row>
    <row r="2" spans="1:13" ht="17.25" thickBot="1">
      <c r="H2" s="250" t="str">
        <f>MONTH('일간 팔로워'!J1)&amp;"월"</f>
        <v>6월</v>
      </c>
      <c r="I2" s="251">
        <f>SUM('일간 팔로워'!D4:D34)</f>
        <v>859</v>
      </c>
      <c r="J2" s="252">
        <f>SUM(visitors!V2:V32)</f>
        <v>4656</v>
      </c>
      <c r="K2" s="272">
        <f>'Follower Ad'!L14</f>
        <v>15796.42136752137</v>
      </c>
      <c r="L2" s="272">
        <f>'Follower Ad'!K14</f>
        <v>857.42579447923924</v>
      </c>
      <c r="M2" s="273">
        <f>'Follower Ad'!F14/10000</f>
        <v>369.63626000000005</v>
      </c>
    </row>
    <row r="3" spans="1:13" ht="17.25" thickBot="1"/>
    <row r="4" spans="1:13" ht="17.25" thickBot="1">
      <c r="A4" s="12" t="s">
        <v>7</v>
      </c>
      <c r="B4" s="208" t="s">
        <v>138</v>
      </c>
      <c r="C4" s="13" t="s">
        <v>643</v>
      </c>
      <c r="D4" s="13" t="s">
        <v>644</v>
      </c>
      <c r="E4" s="13" t="s">
        <v>646</v>
      </c>
      <c r="F4" s="14" t="s">
        <v>645</v>
      </c>
    </row>
    <row r="5" spans="1:13">
      <c r="A5" s="196" t="s">
        <v>638</v>
      </c>
      <c r="B5" s="209">
        <v>593</v>
      </c>
      <c r="C5" s="202">
        <v>3274</v>
      </c>
      <c r="D5" s="202">
        <v>2372</v>
      </c>
      <c r="E5" s="202">
        <v>48</v>
      </c>
      <c r="F5" s="203">
        <v>140</v>
      </c>
    </row>
    <row r="6" spans="1:13">
      <c r="A6" s="195" t="s">
        <v>639</v>
      </c>
      <c r="B6" s="210">
        <v>949</v>
      </c>
      <c r="C6" s="204">
        <v>4055</v>
      </c>
      <c r="D6" s="204">
        <v>1785</v>
      </c>
      <c r="E6" s="204">
        <v>32</v>
      </c>
      <c r="F6" s="205">
        <v>169</v>
      </c>
    </row>
    <row r="7" spans="1:13">
      <c r="A7" s="195" t="s">
        <v>640</v>
      </c>
      <c r="B7" s="210">
        <v>1144</v>
      </c>
      <c r="C7" s="204">
        <v>3492</v>
      </c>
      <c r="D7" s="204">
        <v>2190</v>
      </c>
      <c r="E7" s="204">
        <v>55</v>
      </c>
      <c r="F7" s="205">
        <v>250</v>
      </c>
    </row>
    <row r="8" spans="1:13">
      <c r="A8" s="195" t="s">
        <v>641</v>
      </c>
      <c r="B8" s="210">
        <v>2740</v>
      </c>
      <c r="C8" s="204">
        <v>4656</v>
      </c>
      <c r="D8" s="204">
        <v>1972</v>
      </c>
      <c r="E8" s="204">
        <v>70</v>
      </c>
      <c r="F8" s="205">
        <v>378</v>
      </c>
    </row>
    <row r="9" spans="1:13">
      <c r="A9" s="195" t="s">
        <v>642</v>
      </c>
      <c r="B9" s="204">
        <v>1365</v>
      </c>
      <c r="C9" s="204">
        <v>2673</v>
      </c>
      <c r="D9" s="204">
        <v>1540</v>
      </c>
      <c r="E9" s="204">
        <v>66</v>
      </c>
      <c r="F9" s="205">
        <v>210</v>
      </c>
    </row>
    <row r="10" spans="1:13">
      <c r="A10" s="195" t="s">
        <v>806</v>
      </c>
      <c r="B10" s="210">
        <v>859</v>
      </c>
      <c r="C10" s="204">
        <v>3298</v>
      </c>
      <c r="D10" s="204">
        <v>15796.42136752137</v>
      </c>
      <c r="E10" s="204">
        <v>857.42579447923924</v>
      </c>
      <c r="F10" s="205">
        <v>369.63626000000005</v>
      </c>
    </row>
    <row r="11" spans="1:13">
      <c r="A11" s="195"/>
      <c r="B11" s="210"/>
      <c r="C11" s="204"/>
      <c r="D11" s="204"/>
      <c r="E11" s="204"/>
      <c r="F11" s="205"/>
    </row>
    <row r="12" spans="1:13">
      <c r="A12" s="195"/>
      <c r="B12" s="210"/>
      <c r="C12" s="204"/>
      <c r="D12" s="204"/>
      <c r="E12" s="204"/>
      <c r="F12" s="205"/>
    </row>
    <row r="13" spans="1:13">
      <c r="A13" s="195"/>
      <c r="B13" s="210"/>
      <c r="C13" s="204"/>
      <c r="D13" s="204"/>
      <c r="E13" s="204"/>
      <c r="F13" s="205"/>
    </row>
    <row r="14" spans="1:13">
      <c r="A14" s="195"/>
      <c r="B14" s="210"/>
      <c r="C14" s="204"/>
      <c r="D14" s="204"/>
      <c r="E14" s="204"/>
      <c r="F14" s="205"/>
    </row>
    <row r="15" spans="1:13">
      <c r="A15" s="195"/>
      <c r="B15" s="210"/>
      <c r="C15" s="204"/>
      <c r="D15" s="204"/>
      <c r="E15" s="204"/>
      <c r="F15" s="205"/>
    </row>
    <row r="16" spans="1:13">
      <c r="A16" s="195"/>
      <c r="B16" s="210"/>
      <c r="C16" s="204"/>
      <c r="D16" s="204"/>
      <c r="E16" s="204"/>
      <c r="F16" s="205"/>
      <c r="I16" s="108" t="str">
        <f>"오가닉 "&amp;TEXT(SUM('일간 팔로워'!C4:C34),"#,###")&amp;"명 ("&amp;TEXT(SUM('일간 팔로워'!C4:C34)/SUM('일간 팔로워'!B4:C34),"0%")&amp;"), 광고"&amp;TEXT(SUM('일간 팔로워'!B4:B34),"#,###")&amp;"명 ("&amp;TEXT(SUM('일간 팔로워'!B4:B34)/SUM('일간 팔로워'!B4:C34),"0%")&amp;") 유입"</f>
        <v>오가닉 600명 (70%), 광고259명 (30%) 유입</v>
      </c>
    </row>
    <row r="17" spans="1:16">
      <c r="A17" s="195"/>
      <c r="B17" s="210"/>
      <c r="C17" s="204"/>
      <c r="D17" s="204"/>
      <c r="E17" s="204"/>
      <c r="F17" s="205"/>
      <c r="I17" s="201" t="s">
        <v>647</v>
      </c>
    </row>
    <row r="18" spans="1:16">
      <c r="A18" s="195"/>
      <c r="B18" s="210"/>
      <c r="C18" s="204"/>
      <c r="D18" s="204"/>
      <c r="E18" s="204"/>
      <c r="F18" s="205"/>
      <c r="I18" s="201" t="s">
        <v>648</v>
      </c>
    </row>
    <row r="19" spans="1:16">
      <c r="A19" s="195"/>
      <c r="B19" s="210"/>
      <c r="C19" s="204"/>
      <c r="D19" s="204"/>
      <c r="E19" s="204"/>
      <c r="F19" s="205"/>
      <c r="I19" s="108" t="str">
        <f>(MONTH('일간 팔로워'!J1)+1)&amp;"월 1일 기준 KPI 팔로워 3만명까지 "&amp;TEXT(INDEX($P$26:$P$41,COUNTA($P$26:$P$41)),"#,###")&amp;"명, 매달 "&amp;TEXT((INDEX($P$26:$P$41,COUNTA($P$26:$P$41))/(12-MONTH('일간 팔로워'!J1))),"#,###")&amp;"명 신규 팔로워 유지시 KPI 달성 가능"</f>
        <v>7월 1일 기준 KPI 팔로워 3만명까지 9,531명, 매달 1,589명 신규 팔로워 유지시 KPI 달성 가능</v>
      </c>
    </row>
    <row r="20" spans="1:16">
      <c r="A20" s="195"/>
      <c r="B20" s="210"/>
      <c r="C20" s="204"/>
      <c r="D20" s="204"/>
      <c r="E20" s="204"/>
      <c r="F20" s="205"/>
    </row>
    <row r="21" spans="1:16">
      <c r="A21" s="195"/>
      <c r="B21" s="210"/>
      <c r="C21" s="204"/>
      <c r="D21" s="204"/>
      <c r="E21" s="204"/>
      <c r="F21" s="205"/>
    </row>
    <row r="22" spans="1:16">
      <c r="A22" s="195"/>
      <c r="B22" s="210"/>
      <c r="C22" s="204"/>
      <c r="D22" s="204"/>
      <c r="E22" s="204"/>
      <c r="F22" s="205"/>
    </row>
    <row r="23" spans="1:16">
      <c r="A23" s="195"/>
      <c r="B23" s="210"/>
      <c r="C23" s="204"/>
      <c r="D23" s="204"/>
      <c r="E23" s="204"/>
      <c r="F23" s="205"/>
    </row>
    <row r="24" spans="1:16">
      <c r="A24" s="195"/>
      <c r="B24" s="210"/>
      <c r="C24" s="204"/>
      <c r="D24" s="204"/>
      <c r="E24" s="204"/>
      <c r="F24" s="205"/>
    </row>
    <row r="25" spans="1:16" ht="17.25" thickBot="1">
      <c r="A25" s="195"/>
      <c r="B25" s="210"/>
      <c r="C25" s="204"/>
      <c r="D25" s="204"/>
      <c r="E25" s="204"/>
      <c r="F25" s="205"/>
    </row>
    <row r="26" spans="1:16" ht="17.25" thickBot="1">
      <c r="A26" s="195"/>
      <c r="B26" s="210"/>
      <c r="C26" s="204"/>
      <c r="D26" s="204"/>
      <c r="E26" s="204"/>
      <c r="F26" s="205"/>
      <c r="I26" s="197" t="s">
        <v>0</v>
      </c>
      <c r="J26" s="198" t="s">
        <v>643</v>
      </c>
      <c r="K26" s="198" t="s">
        <v>644</v>
      </c>
      <c r="L26" s="198" t="s">
        <v>646</v>
      </c>
      <c r="M26" s="199" t="s">
        <v>645</v>
      </c>
      <c r="O26" s="212" t="s">
        <v>7</v>
      </c>
      <c r="P26" s="213" t="s">
        <v>138</v>
      </c>
    </row>
    <row r="27" spans="1:16" ht="17.25" thickBot="1">
      <c r="A27" s="195"/>
      <c r="B27" s="210"/>
      <c r="C27" s="204"/>
      <c r="D27" s="204"/>
      <c r="E27" s="204"/>
      <c r="F27" s="205"/>
      <c r="H27">
        <v>5</v>
      </c>
      <c r="I27" s="200" t="str">
        <f t="shared" ref="I27:I32" si="0">INDEX(A:A,COUNTA(A:A)+3-$H27)</f>
        <v>1월</v>
      </c>
      <c r="J27" s="181">
        <f t="shared" ref="J27:M32" si="1">INDEX(C:C,COUNTA(C:C)+3-$H27)</f>
        <v>3274</v>
      </c>
      <c r="K27" s="359">
        <f t="shared" si="1"/>
        <v>2372</v>
      </c>
      <c r="L27" s="359">
        <f t="shared" si="1"/>
        <v>48</v>
      </c>
      <c r="M27" s="360">
        <f t="shared" si="1"/>
        <v>140</v>
      </c>
      <c r="O27" s="122" t="s">
        <v>649</v>
      </c>
      <c r="P27" s="23">
        <v>13640</v>
      </c>
    </row>
    <row r="28" spans="1:16">
      <c r="A28" s="195"/>
      <c r="B28" s="210"/>
      <c r="C28" s="204"/>
      <c r="D28" s="204"/>
      <c r="E28" s="204"/>
      <c r="F28" s="205"/>
      <c r="H28">
        <v>4</v>
      </c>
      <c r="I28" s="200" t="str">
        <f t="shared" si="0"/>
        <v>2월</v>
      </c>
      <c r="J28" s="181">
        <f t="shared" si="1"/>
        <v>4055</v>
      </c>
      <c r="K28" s="359">
        <f t="shared" si="1"/>
        <v>1785</v>
      </c>
      <c r="L28" s="359">
        <f t="shared" si="1"/>
        <v>32</v>
      </c>
      <c r="M28" s="360">
        <f t="shared" si="1"/>
        <v>169</v>
      </c>
      <c r="O28" s="122" t="s">
        <v>638</v>
      </c>
      <c r="P28" s="23">
        <v>593</v>
      </c>
    </row>
    <row r="29" spans="1:16">
      <c r="A29" s="195"/>
      <c r="B29" s="210"/>
      <c r="C29" s="204"/>
      <c r="D29" s="204"/>
      <c r="E29" s="204"/>
      <c r="F29" s="205"/>
      <c r="H29">
        <v>3</v>
      </c>
      <c r="I29" s="155" t="str">
        <f t="shared" si="0"/>
        <v>3월</v>
      </c>
      <c r="J29" s="21">
        <f t="shared" si="1"/>
        <v>3492</v>
      </c>
      <c r="K29" s="361">
        <f t="shared" si="1"/>
        <v>2190</v>
      </c>
      <c r="L29" s="361">
        <f t="shared" si="1"/>
        <v>55</v>
      </c>
      <c r="M29" s="362">
        <f t="shared" si="1"/>
        <v>250</v>
      </c>
      <c r="O29" s="155" t="s">
        <v>639</v>
      </c>
      <c r="P29" s="42">
        <v>949</v>
      </c>
    </row>
    <row r="30" spans="1:16">
      <c r="A30" s="195"/>
      <c r="B30" s="210"/>
      <c r="C30" s="204"/>
      <c r="D30" s="204"/>
      <c r="E30" s="204"/>
      <c r="F30" s="205"/>
      <c r="H30">
        <v>2</v>
      </c>
      <c r="I30" s="155" t="str">
        <f t="shared" si="0"/>
        <v>4월</v>
      </c>
      <c r="J30" s="21">
        <f t="shared" si="1"/>
        <v>4656</v>
      </c>
      <c r="K30" s="361">
        <f t="shared" si="1"/>
        <v>1972</v>
      </c>
      <c r="L30" s="361">
        <f t="shared" si="1"/>
        <v>70</v>
      </c>
      <c r="M30" s="362">
        <f t="shared" si="1"/>
        <v>378</v>
      </c>
      <c r="O30" s="155" t="s">
        <v>640</v>
      </c>
      <c r="P30" s="42">
        <v>1144</v>
      </c>
    </row>
    <row r="31" spans="1:16">
      <c r="A31" s="195"/>
      <c r="B31" s="210"/>
      <c r="C31" s="204"/>
      <c r="D31" s="204"/>
      <c r="E31" s="204"/>
      <c r="F31" s="205"/>
      <c r="H31">
        <v>1</v>
      </c>
      <c r="I31" s="155" t="str">
        <f t="shared" si="0"/>
        <v>5월</v>
      </c>
      <c r="J31" s="21">
        <f t="shared" si="1"/>
        <v>2673</v>
      </c>
      <c r="K31" s="361">
        <f t="shared" si="1"/>
        <v>1540</v>
      </c>
      <c r="L31" s="361">
        <f t="shared" si="1"/>
        <v>66</v>
      </c>
      <c r="M31" s="362">
        <f t="shared" si="1"/>
        <v>210</v>
      </c>
      <c r="O31" s="155" t="s">
        <v>641</v>
      </c>
      <c r="P31" s="42">
        <v>1919</v>
      </c>
    </row>
    <row r="32" spans="1:16" ht="17.25" thickBot="1">
      <c r="A32" s="195"/>
      <c r="B32" s="210"/>
      <c r="C32" s="204"/>
      <c r="D32" s="204"/>
      <c r="E32" s="204"/>
      <c r="F32" s="205"/>
      <c r="H32">
        <v>0</v>
      </c>
      <c r="I32" s="85" t="str">
        <f t="shared" si="0"/>
        <v>6월</v>
      </c>
      <c r="J32" s="43">
        <f t="shared" si="1"/>
        <v>3298</v>
      </c>
      <c r="K32" s="363">
        <f t="shared" si="1"/>
        <v>15796.42136752137</v>
      </c>
      <c r="L32" s="363">
        <f t="shared" si="1"/>
        <v>857.42579447923924</v>
      </c>
      <c r="M32" s="364">
        <f t="shared" si="1"/>
        <v>369.63626000000005</v>
      </c>
      <c r="O32" s="155" t="s">
        <v>642</v>
      </c>
      <c r="P32" s="177">
        <v>1365</v>
      </c>
    </row>
    <row r="33" spans="1:16">
      <c r="A33" s="195"/>
      <c r="B33" s="210"/>
      <c r="C33" s="204"/>
      <c r="D33" s="204"/>
      <c r="E33" s="204"/>
      <c r="F33" s="205"/>
      <c r="O33" s="276" t="s">
        <v>806</v>
      </c>
      <c r="P33" s="277">
        <v>859</v>
      </c>
    </row>
    <row r="34" spans="1:16" ht="17.25" thickBot="1">
      <c r="A34" s="195"/>
      <c r="B34" s="210"/>
      <c r="C34" s="204"/>
      <c r="D34" s="204"/>
      <c r="E34" s="204"/>
      <c r="F34" s="205"/>
      <c r="O34" s="85" t="s">
        <v>650</v>
      </c>
      <c r="P34" s="179">
        <f>30000-SUM(P27:P33)</f>
        <v>9531</v>
      </c>
    </row>
    <row r="35" spans="1:16">
      <c r="A35" s="195"/>
      <c r="B35" s="210"/>
      <c r="C35" s="204"/>
      <c r="D35" s="204"/>
      <c r="E35" s="204"/>
      <c r="F35" s="205"/>
    </row>
    <row r="36" spans="1:16">
      <c r="A36" s="195"/>
      <c r="B36" s="210"/>
      <c r="C36" s="204"/>
      <c r="D36" s="204"/>
      <c r="E36" s="204"/>
      <c r="F36" s="205"/>
    </row>
    <row r="37" spans="1:16">
      <c r="A37" s="195"/>
      <c r="B37" s="210"/>
      <c r="C37" s="204"/>
      <c r="D37" s="204"/>
      <c r="E37" s="204"/>
      <c r="F37" s="205"/>
    </row>
    <row r="38" spans="1:16">
      <c r="A38" s="195"/>
      <c r="B38" s="210"/>
      <c r="C38" s="204"/>
      <c r="D38" s="204"/>
      <c r="E38" s="204"/>
      <c r="F38" s="205"/>
    </row>
    <row r="39" spans="1:16">
      <c r="A39" s="195"/>
      <c r="B39" s="210"/>
      <c r="C39" s="204"/>
      <c r="D39" s="204"/>
      <c r="E39" s="204"/>
      <c r="F39" s="205"/>
    </row>
    <row r="40" spans="1:16">
      <c r="A40" s="195"/>
      <c r="B40" s="210"/>
      <c r="C40" s="204"/>
      <c r="D40" s="204"/>
      <c r="E40" s="204"/>
      <c r="F40" s="205"/>
    </row>
    <row r="41" spans="1:16">
      <c r="A41" s="195"/>
      <c r="B41" s="210"/>
      <c r="C41" s="204"/>
      <c r="D41" s="204"/>
      <c r="E41" s="204"/>
      <c r="F41" s="205"/>
    </row>
    <row r="42" spans="1:16">
      <c r="A42" s="195"/>
      <c r="B42" s="210"/>
      <c r="C42" s="204"/>
      <c r="D42" s="204"/>
      <c r="E42" s="204"/>
      <c r="F42" s="205"/>
    </row>
    <row r="43" spans="1:16">
      <c r="A43" s="195"/>
      <c r="B43" s="210"/>
      <c r="C43" s="204"/>
      <c r="D43" s="204"/>
      <c r="E43" s="204"/>
      <c r="F43" s="205"/>
    </row>
    <row r="44" spans="1:16">
      <c r="A44" s="195"/>
      <c r="B44" s="210"/>
      <c r="C44" s="204"/>
      <c r="D44" s="204"/>
      <c r="E44" s="204"/>
      <c r="F44" s="205"/>
    </row>
    <row r="45" spans="1:16">
      <c r="A45" s="195"/>
      <c r="B45" s="210"/>
      <c r="C45" s="204"/>
      <c r="D45" s="204"/>
      <c r="E45" s="204"/>
      <c r="F45" s="205"/>
    </row>
    <row r="46" spans="1:16">
      <c r="A46" s="195"/>
      <c r="B46" s="210"/>
      <c r="C46" s="204"/>
      <c r="D46" s="204"/>
      <c r="E46" s="204"/>
      <c r="F46" s="205"/>
    </row>
    <row r="47" spans="1:16">
      <c r="A47" s="195"/>
      <c r="B47" s="210"/>
      <c r="C47" s="204"/>
      <c r="D47" s="204"/>
      <c r="E47" s="204"/>
      <c r="F47" s="205"/>
    </row>
    <row r="48" spans="1:16">
      <c r="A48" s="195"/>
      <c r="B48" s="210"/>
      <c r="C48" s="204"/>
      <c r="D48" s="204"/>
      <c r="E48" s="204"/>
      <c r="F48" s="205"/>
    </row>
    <row r="49" spans="1:6">
      <c r="A49" s="195"/>
      <c r="B49" s="210"/>
      <c r="C49" s="204"/>
      <c r="D49" s="204"/>
      <c r="E49" s="204"/>
      <c r="F49" s="205"/>
    </row>
    <row r="50" spans="1:6">
      <c r="A50" s="195"/>
      <c r="B50" s="210"/>
      <c r="C50" s="204"/>
      <c r="D50" s="204"/>
      <c r="E50" s="204"/>
      <c r="F50" s="205"/>
    </row>
    <row r="51" spans="1:6">
      <c r="A51" s="195"/>
      <c r="B51" s="210"/>
      <c r="C51" s="204"/>
      <c r="D51" s="204"/>
      <c r="E51" s="204"/>
      <c r="F51" s="205"/>
    </row>
    <row r="52" spans="1:6">
      <c r="A52" s="195"/>
      <c r="B52" s="210"/>
      <c r="C52" s="204"/>
      <c r="D52" s="204"/>
      <c r="E52" s="204"/>
      <c r="F52" s="205"/>
    </row>
    <row r="53" spans="1:6">
      <c r="A53" s="195"/>
      <c r="B53" s="210"/>
      <c r="C53" s="204"/>
      <c r="D53" s="204"/>
      <c r="E53" s="204"/>
      <c r="F53" s="205"/>
    </row>
    <row r="54" spans="1:6">
      <c r="A54" s="195"/>
      <c r="B54" s="210"/>
      <c r="C54" s="204"/>
      <c r="D54" s="204"/>
      <c r="E54" s="204"/>
      <c r="F54" s="205"/>
    </row>
    <row r="55" spans="1:6">
      <c r="A55" s="195"/>
      <c r="B55" s="210"/>
      <c r="C55" s="204"/>
      <c r="D55" s="204"/>
      <c r="E55" s="204"/>
      <c r="F55" s="205"/>
    </row>
    <row r="56" spans="1:6">
      <c r="A56" s="195"/>
      <c r="B56" s="210"/>
      <c r="C56" s="204"/>
      <c r="D56" s="204"/>
      <c r="E56" s="204"/>
      <c r="F56" s="205"/>
    </row>
    <row r="57" spans="1:6">
      <c r="A57" s="195"/>
      <c r="B57" s="210"/>
      <c r="C57" s="204"/>
      <c r="D57" s="204"/>
      <c r="E57" s="204"/>
      <c r="F57" s="205"/>
    </row>
    <row r="58" spans="1:6">
      <c r="A58" s="195"/>
      <c r="B58" s="210"/>
      <c r="C58" s="204"/>
      <c r="D58" s="204"/>
      <c r="E58" s="204"/>
      <c r="F58" s="205"/>
    </row>
    <row r="59" spans="1:6">
      <c r="A59" s="195"/>
      <c r="B59" s="210"/>
      <c r="C59" s="204"/>
      <c r="D59" s="204"/>
      <c r="E59" s="204"/>
      <c r="F59" s="205"/>
    </row>
    <row r="60" spans="1:6">
      <c r="A60" s="195"/>
      <c r="B60" s="210"/>
      <c r="C60" s="204"/>
      <c r="D60" s="204"/>
      <c r="E60" s="204"/>
      <c r="F60" s="205"/>
    </row>
    <row r="61" spans="1:6">
      <c r="A61" s="195"/>
      <c r="B61" s="210"/>
      <c r="C61" s="204"/>
      <c r="D61" s="204"/>
      <c r="E61" s="204"/>
      <c r="F61" s="205"/>
    </row>
    <row r="62" spans="1:6">
      <c r="A62" s="195"/>
      <c r="B62" s="210"/>
      <c r="C62" s="204"/>
      <c r="D62" s="204"/>
      <c r="E62" s="204"/>
      <c r="F62" s="205"/>
    </row>
    <row r="63" spans="1:6">
      <c r="A63" s="195"/>
      <c r="B63" s="210"/>
      <c r="C63" s="204"/>
      <c r="D63" s="204"/>
      <c r="E63" s="204"/>
      <c r="F63" s="205"/>
    </row>
    <row r="64" spans="1:6">
      <c r="A64" s="195"/>
      <c r="B64" s="210"/>
      <c r="C64" s="204"/>
      <c r="D64" s="204"/>
      <c r="E64" s="204"/>
      <c r="F64" s="205"/>
    </row>
    <row r="65" spans="1:6">
      <c r="A65" s="195"/>
      <c r="B65" s="210"/>
      <c r="C65" s="204"/>
      <c r="D65" s="204"/>
      <c r="E65" s="204"/>
      <c r="F65" s="205"/>
    </row>
    <row r="66" spans="1:6" ht="17.25" thickBot="1">
      <c r="A66" s="81"/>
      <c r="B66" s="211"/>
      <c r="C66" s="206"/>
      <c r="D66" s="206"/>
      <c r="E66" s="206"/>
      <c r="F66" s="207"/>
    </row>
  </sheetData>
  <phoneticPr fontId="1" type="noConversion"/>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7E928-7125-466C-80EF-9488921B48AA}">
  <sheetPr>
    <tabColor theme="7" tint="0.79998168889431442"/>
  </sheetPr>
  <dimension ref="A3:CT45"/>
  <sheetViews>
    <sheetView topLeftCell="N1" zoomScale="85" zoomScaleNormal="85" workbookViewId="0">
      <selection activeCell="AB6" sqref="AB6"/>
    </sheetView>
  </sheetViews>
  <sheetFormatPr defaultRowHeight="16.5"/>
  <cols>
    <col min="1" max="3" width="9" style="37"/>
    <col min="4" max="4" width="11.875" style="37" bestFit="1" customWidth="1"/>
    <col min="5" max="5" width="27.125" style="37" bestFit="1" customWidth="1"/>
    <col min="6" max="6" width="15.625" style="37" bestFit="1" customWidth="1"/>
    <col min="7" max="7" width="17.625" style="37" bestFit="1" customWidth="1"/>
    <col min="8" max="8" width="19.125" style="37" customWidth="1"/>
    <col min="9" max="12" width="11.125" style="37" bestFit="1" customWidth="1"/>
    <col min="13" max="13" width="9.125" style="37" bestFit="1" customWidth="1"/>
    <col min="14" max="14" width="9" style="37"/>
    <col min="15" max="16" width="13" style="37" bestFit="1" customWidth="1"/>
    <col min="17" max="91" width="9" style="37"/>
    <col min="92" max="93" width="12.5" bestFit="1" customWidth="1"/>
    <col min="95" max="95" width="10.5" bestFit="1" customWidth="1"/>
    <col min="97" max="98" width="11.625" bestFit="1" customWidth="1"/>
  </cols>
  <sheetData>
    <row r="3" spans="1:98">
      <c r="CO3" s="76"/>
    </row>
    <row r="6" spans="1:98">
      <c r="A6" s="37" t="s">
        <v>822</v>
      </c>
      <c r="B6" s="37" t="s">
        <v>823</v>
      </c>
      <c r="C6" s="37" t="s">
        <v>824</v>
      </c>
      <c r="D6" s="37" t="s">
        <v>825</v>
      </c>
      <c r="E6" s="37" t="s">
        <v>826</v>
      </c>
      <c r="F6" s="37" t="s">
        <v>827</v>
      </c>
      <c r="G6" s="37" t="s">
        <v>828</v>
      </c>
      <c r="H6" s="37" t="s">
        <v>829</v>
      </c>
      <c r="I6" s="37" t="s">
        <v>830</v>
      </c>
      <c r="J6" s="37" t="s">
        <v>831</v>
      </c>
      <c r="K6" s="37" t="s">
        <v>832</v>
      </c>
      <c r="L6" s="37" t="s">
        <v>833</v>
      </c>
      <c r="M6" s="37" t="s">
        <v>834</v>
      </c>
      <c r="N6" s="37" t="s">
        <v>835</v>
      </c>
      <c r="O6" s="37" t="s">
        <v>836</v>
      </c>
      <c r="P6" s="37" t="s">
        <v>837</v>
      </c>
      <c r="Q6" s="37" t="s">
        <v>838</v>
      </c>
      <c r="R6" s="37" t="s">
        <v>839</v>
      </c>
      <c r="S6" s="37" t="s">
        <v>840</v>
      </c>
      <c r="T6" s="37" t="s">
        <v>65</v>
      </c>
      <c r="U6" s="37" t="s">
        <v>68</v>
      </c>
      <c r="V6" s="37" t="s">
        <v>841</v>
      </c>
      <c r="W6" s="37" t="s">
        <v>842</v>
      </c>
      <c r="X6" s="37" t="s">
        <v>843</v>
      </c>
      <c r="Y6" s="37" t="s">
        <v>844</v>
      </c>
      <c r="Z6" s="37" t="s">
        <v>71</v>
      </c>
      <c r="AA6" s="37" t="s">
        <v>845</v>
      </c>
      <c r="AB6" s="37" t="s">
        <v>73</v>
      </c>
      <c r="AC6" s="37" t="s">
        <v>846</v>
      </c>
      <c r="AD6" s="37" t="s">
        <v>847</v>
      </c>
      <c r="AE6" s="37" t="s">
        <v>848</v>
      </c>
      <c r="AF6" s="37" t="s">
        <v>849</v>
      </c>
      <c r="AG6" s="37" t="s">
        <v>850</v>
      </c>
      <c r="AH6" s="37" t="s">
        <v>851</v>
      </c>
      <c r="AI6" s="37" t="s">
        <v>852</v>
      </c>
      <c r="AJ6" s="37" t="s">
        <v>853</v>
      </c>
      <c r="AK6" s="37" t="s">
        <v>854</v>
      </c>
      <c r="AL6" s="37" t="s">
        <v>855</v>
      </c>
      <c r="AM6" s="37" t="s">
        <v>856</v>
      </c>
      <c r="AN6" s="37" t="s">
        <v>857</v>
      </c>
      <c r="AO6" s="37" t="s">
        <v>858</v>
      </c>
      <c r="AP6" s="37" t="s">
        <v>859</v>
      </c>
      <c r="AQ6" s="37" t="s">
        <v>860</v>
      </c>
      <c r="AR6" s="37" t="s">
        <v>861</v>
      </c>
      <c r="AS6" s="37" t="s">
        <v>862</v>
      </c>
      <c r="AT6" s="37" t="s">
        <v>863</v>
      </c>
      <c r="AU6" s="37" t="s">
        <v>864</v>
      </c>
      <c r="AV6" s="37" t="s">
        <v>865</v>
      </c>
      <c r="AW6" s="37" t="s">
        <v>866</v>
      </c>
      <c r="AX6" s="37" t="s">
        <v>867</v>
      </c>
      <c r="AY6" s="37" t="s">
        <v>868</v>
      </c>
      <c r="AZ6" s="37" t="s">
        <v>869</v>
      </c>
      <c r="BA6" s="37" t="s">
        <v>870</v>
      </c>
      <c r="BB6" s="37" t="s">
        <v>871</v>
      </c>
      <c r="BC6" s="37" t="s">
        <v>872</v>
      </c>
      <c r="BD6" s="37" t="s">
        <v>873</v>
      </c>
      <c r="BE6" s="37" t="s">
        <v>874</v>
      </c>
      <c r="BF6" s="37" t="s">
        <v>875</v>
      </c>
      <c r="BG6" s="37" t="s">
        <v>876</v>
      </c>
      <c r="BH6" s="37" t="s">
        <v>877</v>
      </c>
      <c r="BI6" s="37" t="s">
        <v>878</v>
      </c>
      <c r="BJ6" s="37" t="s">
        <v>879</v>
      </c>
      <c r="BK6" s="37" t="s">
        <v>880</v>
      </c>
      <c r="BL6" s="37" t="s">
        <v>881</v>
      </c>
      <c r="BM6" s="37" t="s">
        <v>882</v>
      </c>
      <c r="BN6" s="37" t="s">
        <v>883</v>
      </c>
      <c r="BO6" s="37" t="s">
        <v>884</v>
      </c>
      <c r="BP6" s="37" t="s">
        <v>885</v>
      </c>
      <c r="BQ6" s="37" t="s">
        <v>886</v>
      </c>
      <c r="BR6" s="37" t="s">
        <v>887</v>
      </c>
      <c r="BS6" s="37" t="s">
        <v>888</v>
      </c>
      <c r="BT6" s="37" t="s">
        <v>889</v>
      </c>
      <c r="BU6" s="37" t="s">
        <v>890</v>
      </c>
      <c r="BV6" s="37" t="s">
        <v>891</v>
      </c>
      <c r="BW6" s="37" t="s">
        <v>892</v>
      </c>
      <c r="BX6" s="37" t="s">
        <v>893</v>
      </c>
      <c r="BY6" s="37" t="s">
        <v>894</v>
      </c>
      <c r="BZ6" s="37" t="s">
        <v>895</v>
      </c>
      <c r="CA6" s="37" t="s">
        <v>896</v>
      </c>
      <c r="CB6" s="37" t="s">
        <v>897</v>
      </c>
      <c r="CC6" s="37" t="s">
        <v>898</v>
      </c>
      <c r="CD6" s="37" t="s">
        <v>899</v>
      </c>
      <c r="CE6" s="37" t="s">
        <v>900</v>
      </c>
      <c r="CF6" s="37" t="s">
        <v>901</v>
      </c>
      <c r="CP6" t="s">
        <v>838</v>
      </c>
      <c r="CQ6" t="s">
        <v>839</v>
      </c>
    </row>
    <row r="7" spans="1:98">
      <c r="A7" s="37" t="s">
        <v>804</v>
      </c>
      <c r="B7" s="37" t="s">
        <v>902</v>
      </c>
      <c r="C7" s="37" t="s">
        <v>903</v>
      </c>
      <c r="D7" s="37">
        <v>689661506</v>
      </c>
      <c r="E7" s="37" t="s">
        <v>910</v>
      </c>
      <c r="F7" s="37" t="s">
        <v>904</v>
      </c>
      <c r="G7" s="37" t="s">
        <v>911</v>
      </c>
      <c r="J7" s="37">
        <v>314090686</v>
      </c>
      <c r="K7" s="37" t="s">
        <v>803</v>
      </c>
      <c r="L7" s="37" t="s">
        <v>905</v>
      </c>
      <c r="M7" s="37" t="s">
        <v>906</v>
      </c>
      <c r="N7" s="37" t="s">
        <v>907</v>
      </c>
      <c r="O7" s="37" t="s">
        <v>908</v>
      </c>
      <c r="P7" s="37">
        <v>1000</v>
      </c>
      <c r="Q7" s="37" t="s">
        <v>911</v>
      </c>
      <c r="R7" s="37" t="s">
        <v>909</v>
      </c>
      <c r="S7" s="37">
        <v>169.27</v>
      </c>
      <c r="T7" s="37">
        <v>23038</v>
      </c>
      <c r="U7" s="287">
        <v>173</v>
      </c>
      <c r="V7" s="37">
        <v>7.5100000000000002E-3</v>
      </c>
      <c r="W7" s="37">
        <v>7.35</v>
      </c>
      <c r="X7" s="37">
        <v>0.98</v>
      </c>
      <c r="Y7" s="37">
        <v>11</v>
      </c>
      <c r="Z7" s="37">
        <v>0</v>
      </c>
      <c r="AA7" s="37">
        <v>0</v>
      </c>
      <c r="AB7" s="37">
        <v>24</v>
      </c>
      <c r="AC7" s="37">
        <v>32</v>
      </c>
      <c r="AD7" s="37">
        <v>67</v>
      </c>
      <c r="AE7" s="287">
        <v>173</v>
      </c>
      <c r="AF7" s="37">
        <v>7.5100000000000002E-3</v>
      </c>
      <c r="AG7" s="37">
        <v>1</v>
      </c>
      <c r="AH7" s="37">
        <v>0</v>
      </c>
      <c r="AI7" s="37">
        <v>0</v>
      </c>
      <c r="AJ7" s="37">
        <v>0</v>
      </c>
      <c r="AK7" s="37">
        <v>0</v>
      </c>
      <c r="AL7" s="37">
        <v>0</v>
      </c>
      <c r="AM7" s="37">
        <v>0</v>
      </c>
      <c r="AN7" s="37">
        <v>0</v>
      </c>
      <c r="AO7" s="37">
        <v>0</v>
      </c>
      <c r="AP7" s="288">
        <v>0</v>
      </c>
      <c r="AQ7" s="37">
        <v>0</v>
      </c>
      <c r="AR7" s="37">
        <v>0</v>
      </c>
      <c r="AS7" s="37">
        <v>0</v>
      </c>
      <c r="AT7" s="37">
        <v>0</v>
      </c>
      <c r="AU7" s="37">
        <v>0</v>
      </c>
      <c r="AV7" s="37">
        <v>0</v>
      </c>
      <c r="AW7" s="37">
        <v>0</v>
      </c>
      <c r="AX7" s="37">
        <v>0</v>
      </c>
      <c r="AY7" s="37">
        <v>0</v>
      </c>
      <c r="AZ7" s="37">
        <v>0</v>
      </c>
      <c r="BA7" s="37">
        <v>0</v>
      </c>
      <c r="BB7" s="37">
        <v>10598</v>
      </c>
      <c r="BC7" s="37">
        <v>2.1739999999999999</v>
      </c>
      <c r="BD7" s="37">
        <v>15.97</v>
      </c>
      <c r="BE7" s="37">
        <v>0</v>
      </c>
      <c r="BF7" s="37">
        <v>0</v>
      </c>
      <c r="BG7" s="37">
        <v>0</v>
      </c>
      <c r="BH7" s="37">
        <v>0</v>
      </c>
      <c r="BI7" s="37">
        <v>0</v>
      </c>
      <c r="BJ7" s="37">
        <v>0</v>
      </c>
      <c r="BK7" s="37">
        <v>5.64</v>
      </c>
      <c r="BL7" s="37">
        <v>100</v>
      </c>
      <c r="BM7" s="37">
        <v>6</v>
      </c>
      <c r="BZ7" s="37">
        <v>0</v>
      </c>
      <c r="CA7" s="37">
        <v>0</v>
      </c>
      <c r="CB7" s="37">
        <v>0</v>
      </c>
      <c r="CC7" s="37">
        <v>0</v>
      </c>
      <c r="CD7" s="37">
        <v>0</v>
      </c>
      <c r="CE7" s="37">
        <v>0</v>
      </c>
      <c r="CF7" s="37">
        <v>0</v>
      </c>
      <c r="CN7" s="1">
        <f>IFERROR(DATE(RIGHT(CP7,4),LEFT(CP7,FIND("/",LEFT(CP7,LEN(CP7)-5))-1),MID(LEFT(CP7,LEN(CP7)-5),FIND("/",LEFT(CP7,LEN(CP7)-5))+1,2)),"")</f>
        <v>45446</v>
      </c>
      <c r="CO7" s="1">
        <f>IFERROR(DATE(RIGHT(CQ7,4),LEFT(CQ7,FIND("/",LEFT(CQ7,LEN(CQ7)-5))-1),MID(LEFT(CQ7,LEN(CQ7)-5),FIND("/",LEFT(CQ7,LEN(CQ7)-5))+1,2)),"")</f>
        <v>45449</v>
      </c>
      <c r="CP7" t="str">
        <f t="shared" ref="CP7:CP45" si="0">IF(INDEX($A$1:$AX$45,CR7,MATCH(CP$6,$6:$6,0))=0,"",INDEX($A$1:$AX$45,CR7,MATCH(CP$6,$6:$6,0)))</f>
        <v>6/3/2024</v>
      </c>
      <c r="CQ7" t="str">
        <f>IF(INDEX($A$1:$AX$45,CR7,MATCH($CQ$6,$6:$6,0))=0,"",INDEX($A$1:AX45,CR7,MATCH($CQ$6,$6:$6,0)))</f>
        <v>6/6/2024</v>
      </c>
      <c r="CR7">
        <v>7</v>
      </c>
      <c r="CS7" s="1"/>
      <c r="CT7" s="214"/>
    </row>
    <row r="8" spans="1:98">
      <c r="A8" s="37" t="s">
        <v>804</v>
      </c>
      <c r="B8" s="37" t="s">
        <v>902</v>
      </c>
      <c r="C8" s="37" t="s">
        <v>903</v>
      </c>
      <c r="D8" s="37">
        <v>692147746</v>
      </c>
      <c r="E8" s="37" t="s">
        <v>912</v>
      </c>
      <c r="F8" s="37" t="s">
        <v>904</v>
      </c>
      <c r="G8" s="37" t="s">
        <v>913</v>
      </c>
      <c r="J8" s="37">
        <v>317361056</v>
      </c>
      <c r="K8" s="37" t="s">
        <v>794</v>
      </c>
      <c r="L8" s="37" t="s">
        <v>905</v>
      </c>
      <c r="M8" s="37" t="s">
        <v>906</v>
      </c>
      <c r="N8" s="37" t="s">
        <v>907</v>
      </c>
      <c r="O8" s="37" t="s">
        <v>908</v>
      </c>
      <c r="P8" s="37">
        <v>2000</v>
      </c>
      <c r="Q8" s="37" t="s">
        <v>913</v>
      </c>
      <c r="R8" s="37" t="s">
        <v>914</v>
      </c>
      <c r="S8" s="37">
        <v>1028.42</v>
      </c>
      <c r="T8" s="37">
        <v>62823</v>
      </c>
      <c r="U8" s="287">
        <v>1761</v>
      </c>
      <c r="V8" s="37">
        <v>2.8029999999999999E-2</v>
      </c>
      <c r="W8" s="37">
        <v>16.37</v>
      </c>
      <c r="X8" s="37">
        <v>0.57999999999999996</v>
      </c>
      <c r="Y8" s="37">
        <v>152</v>
      </c>
      <c r="Z8" s="37">
        <v>4</v>
      </c>
      <c r="AA8" s="37">
        <v>1</v>
      </c>
      <c r="AB8" s="37">
        <v>103</v>
      </c>
      <c r="AC8" s="37">
        <v>1531</v>
      </c>
      <c r="AD8" s="37">
        <v>1791</v>
      </c>
      <c r="AE8" s="287">
        <v>2126</v>
      </c>
      <c r="AF8" s="37">
        <v>3.3840000000000002E-2</v>
      </c>
      <c r="AG8" s="37">
        <v>87</v>
      </c>
      <c r="AH8" s="37">
        <v>4</v>
      </c>
      <c r="AI8" s="37">
        <v>0</v>
      </c>
      <c r="AJ8" s="37">
        <v>0</v>
      </c>
      <c r="AK8" s="37">
        <v>0</v>
      </c>
      <c r="AL8" s="37">
        <v>0</v>
      </c>
      <c r="AM8" s="37">
        <v>4</v>
      </c>
      <c r="AN8" s="37">
        <v>0</v>
      </c>
      <c r="AO8" s="37">
        <v>0</v>
      </c>
      <c r="AP8" s="288">
        <v>0</v>
      </c>
      <c r="AQ8" s="37">
        <v>0</v>
      </c>
      <c r="AR8" s="37">
        <v>0</v>
      </c>
      <c r="AS8" s="37">
        <v>0</v>
      </c>
      <c r="AT8" s="37">
        <v>0</v>
      </c>
      <c r="AU8" s="37">
        <v>0</v>
      </c>
      <c r="AV8" s="37">
        <v>0</v>
      </c>
      <c r="AW8" s="37">
        <v>0</v>
      </c>
      <c r="AX8" s="37">
        <v>0</v>
      </c>
      <c r="AY8" s="37">
        <v>0</v>
      </c>
      <c r="AZ8" s="37">
        <v>0</v>
      </c>
      <c r="BA8" s="37">
        <v>0</v>
      </c>
      <c r="BB8" s="37">
        <v>60211</v>
      </c>
      <c r="BC8" s="37">
        <v>1.0429999999999999</v>
      </c>
      <c r="BD8" s="37">
        <v>17.079999999999998</v>
      </c>
      <c r="BE8" s="37">
        <v>0</v>
      </c>
      <c r="BF8" s="37">
        <v>0</v>
      </c>
      <c r="BG8" s="37">
        <v>0</v>
      </c>
      <c r="BH8" s="37">
        <v>0</v>
      </c>
      <c r="BI8" s="37">
        <v>0</v>
      </c>
      <c r="BJ8" s="37">
        <v>0</v>
      </c>
      <c r="BK8" s="37">
        <v>34.28</v>
      </c>
      <c r="BL8" s="37">
        <v>68</v>
      </c>
      <c r="BM8" s="37">
        <v>71</v>
      </c>
      <c r="BN8" s="37">
        <v>196</v>
      </c>
      <c r="BO8" s="37">
        <v>0</v>
      </c>
      <c r="BP8" s="37">
        <v>63723</v>
      </c>
      <c r="BQ8" s="37">
        <v>88</v>
      </c>
      <c r="BR8" s="37">
        <v>63723</v>
      </c>
      <c r="BS8" s="37">
        <v>88</v>
      </c>
      <c r="BT8" s="37">
        <v>63723</v>
      </c>
      <c r="BU8" s="37">
        <v>88</v>
      </c>
      <c r="BV8" s="37">
        <v>63723</v>
      </c>
      <c r="BW8" s="37">
        <v>88</v>
      </c>
      <c r="BX8" s="37">
        <v>0</v>
      </c>
      <c r="BY8" s="37">
        <v>0</v>
      </c>
      <c r="BZ8" s="37">
        <v>0</v>
      </c>
      <c r="CA8" s="37">
        <v>0</v>
      </c>
      <c r="CB8" s="37">
        <v>0</v>
      </c>
      <c r="CC8" s="37">
        <v>0</v>
      </c>
      <c r="CD8" s="37">
        <v>0</v>
      </c>
      <c r="CE8" s="37">
        <v>0</v>
      </c>
      <c r="CF8" s="37">
        <v>0</v>
      </c>
      <c r="CN8" s="1">
        <f t="shared" ref="CN8:CO45" si="1">IFERROR(DATE(RIGHT(CP8,4),LEFT(CP8,FIND("/",LEFT(CP8,LEN(CP8)-5))-1),MID(LEFT(CP8,LEN(CP8)-5),FIND("/",LEFT(CP8,LEN(CP8)-5))+1,2)),"")</f>
        <v>45456</v>
      </c>
      <c r="CO8" s="1">
        <f t="shared" si="1"/>
        <v>45463</v>
      </c>
      <c r="CP8" t="str">
        <f t="shared" si="0"/>
        <v>6/13/2024</v>
      </c>
      <c r="CQ8" t="str">
        <f>IF(INDEX($A$1:$AX$45,CR8,MATCH($CQ$6,$6:$6,0))=0,"",INDEX($A$1:AX46,CR8,MATCH($CQ$6,$6:$6,0)))</f>
        <v>6/20/2024</v>
      </c>
      <c r="CR8">
        <v>8</v>
      </c>
      <c r="CT8" s="214"/>
    </row>
    <row r="9" spans="1:98">
      <c r="A9" s="37" t="s">
        <v>804</v>
      </c>
      <c r="B9" s="37" t="s">
        <v>902</v>
      </c>
      <c r="C9" s="37" t="s">
        <v>903</v>
      </c>
      <c r="D9" s="37">
        <v>692233846</v>
      </c>
      <c r="E9" s="37" t="s">
        <v>915</v>
      </c>
      <c r="F9" s="37" t="s">
        <v>904</v>
      </c>
      <c r="G9" s="37" t="s">
        <v>916</v>
      </c>
      <c r="J9" s="37">
        <v>317458576</v>
      </c>
      <c r="K9" s="37" t="s">
        <v>791</v>
      </c>
      <c r="L9" s="37" t="s">
        <v>905</v>
      </c>
      <c r="M9" s="37" t="s">
        <v>906</v>
      </c>
      <c r="N9" s="37" t="s">
        <v>907</v>
      </c>
      <c r="O9" s="37" t="s">
        <v>908</v>
      </c>
      <c r="P9" s="37">
        <v>2000</v>
      </c>
      <c r="Q9" s="37" t="s">
        <v>916</v>
      </c>
      <c r="R9" s="37" t="s">
        <v>917</v>
      </c>
      <c r="S9" s="37">
        <v>788.68</v>
      </c>
      <c r="T9" s="37">
        <v>24879</v>
      </c>
      <c r="U9" s="287">
        <v>311</v>
      </c>
      <c r="V9" s="37">
        <v>1.2500000000000001E-2</v>
      </c>
      <c r="W9" s="37">
        <v>31.7</v>
      </c>
      <c r="X9" s="37">
        <v>2.54</v>
      </c>
      <c r="Y9" s="37">
        <v>37</v>
      </c>
      <c r="Z9" s="37">
        <v>0</v>
      </c>
      <c r="AA9" s="37">
        <v>0</v>
      </c>
      <c r="AB9" s="37">
        <v>25</v>
      </c>
      <c r="AC9" s="37">
        <v>217</v>
      </c>
      <c r="AD9" s="37">
        <v>279</v>
      </c>
      <c r="AE9" s="287">
        <v>442</v>
      </c>
      <c r="AF9" s="37">
        <v>1.7770000000000001E-2</v>
      </c>
      <c r="AG9" s="37">
        <v>38</v>
      </c>
      <c r="AH9" s="37">
        <v>1</v>
      </c>
      <c r="AI9" s="37">
        <v>0</v>
      </c>
      <c r="AJ9" s="37">
        <v>0</v>
      </c>
      <c r="AK9" s="37">
        <v>0</v>
      </c>
      <c r="AL9" s="37">
        <v>0</v>
      </c>
      <c r="AM9" s="37">
        <v>1</v>
      </c>
      <c r="AN9" s="37">
        <v>0</v>
      </c>
      <c r="AO9" s="37">
        <v>0</v>
      </c>
      <c r="AP9" s="288">
        <v>0</v>
      </c>
      <c r="AQ9" s="37">
        <v>0</v>
      </c>
      <c r="AR9" s="37">
        <v>0</v>
      </c>
      <c r="AS9" s="37">
        <v>0</v>
      </c>
      <c r="AT9" s="37">
        <v>0</v>
      </c>
      <c r="AU9" s="37">
        <v>0</v>
      </c>
      <c r="AV9" s="37">
        <v>0</v>
      </c>
      <c r="AW9" s="37">
        <v>0</v>
      </c>
      <c r="AX9" s="37">
        <v>0</v>
      </c>
      <c r="AY9" s="37">
        <v>0</v>
      </c>
      <c r="AZ9" s="37">
        <v>0</v>
      </c>
      <c r="BA9" s="37">
        <v>0</v>
      </c>
      <c r="BB9" s="37">
        <v>24879</v>
      </c>
      <c r="BC9" s="37">
        <v>1</v>
      </c>
      <c r="BD9" s="37">
        <v>31.7</v>
      </c>
      <c r="BE9" s="37">
        <v>0</v>
      </c>
      <c r="BF9" s="37">
        <v>0</v>
      </c>
      <c r="BG9" s="37">
        <v>0</v>
      </c>
      <c r="BH9" s="37">
        <v>0</v>
      </c>
      <c r="BI9" s="37">
        <v>0</v>
      </c>
      <c r="BJ9" s="37">
        <v>0</v>
      </c>
      <c r="BK9" s="37">
        <v>26.29</v>
      </c>
      <c r="BL9" s="37">
        <v>27</v>
      </c>
      <c r="BM9" s="37">
        <v>21</v>
      </c>
      <c r="BN9" s="37">
        <v>115</v>
      </c>
      <c r="BO9" s="37">
        <v>0</v>
      </c>
      <c r="BP9" s="37">
        <v>24882</v>
      </c>
      <c r="BQ9" s="37">
        <v>39</v>
      </c>
      <c r="BR9" s="37">
        <v>24882</v>
      </c>
      <c r="BS9" s="37">
        <v>39</v>
      </c>
      <c r="BT9" s="37">
        <v>24882</v>
      </c>
      <c r="BU9" s="37">
        <v>39</v>
      </c>
      <c r="BV9" s="37">
        <v>24882</v>
      </c>
      <c r="BW9" s="37">
        <v>39</v>
      </c>
      <c r="BX9" s="37">
        <v>0</v>
      </c>
      <c r="BY9" s="37">
        <v>0</v>
      </c>
      <c r="BZ9" s="37">
        <v>0</v>
      </c>
      <c r="CA9" s="37">
        <v>0</v>
      </c>
      <c r="CB9" s="37">
        <v>0</v>
      </c>
      <c r="CC9" s="37">
        <v>0</v>
      </c>
      <c r="CD9" s="37">
        <v>0</v>
      </c>
      <c r="CE9" s="37">
        <v>0</v>
      </c>
      <c r="CF9" s="37">
        <v>0</v>
      </c>
      <c r="CN9" s="1">
        <f t="shared" si="1"/>
        <v>45457</v>
      </c>
      <c r="CO9" s="1">
        <f t="shared" si="1"/>
        <v>45464</v>
      </c>
      <c r="CP9" t="str">
        <f t="shared" si="0"/>
        <v>6/14/2024</v>
      </c>
      <c r="CQ9" t="str">
        <f>IF(INDEX($A$1:$AX$45,CR9,MATCH($CQ$6,$6:$6,0))=0,"",INDEX($A$1:AX47,CR9,MATCH($CQ$6,$6:$6,0)))</f>
        <v>6/21/2024</v>
      </c>
      <c r="CR9">
        <v>9</v>
      </c>
      <c r="CT9" s="214"/>
    </row>
    <row r="10" spans="1:98">
      <c r="A10" s="37" t="s">
        <v>804</v>
      </c>
      <c r="B10" s="37" t="s">
        <v>902</v>
      </c>
      <c r="C10" s="37" t="s">
        <v>903</v>
      </c>
      <c r="D10" s="37">
        <v>692772056</v>
      </c>
      <c r="E10" s="37" t="s">
        <v>918</v>
      </c>
      <c r="F10" s="37" t="s">
        <v>904</v>
      </c>
      <c r="G10" s="37" t="s">
        <v>919</v>
      </c>
      <c r="J10" s="37">
        <v>320724176</v>
      </c>
      <c r="K10" s="37" t="s">
        <v>780</v>
      </c>
      <c r="L10" s="37" t="s">
        <v>905</v>
      </c>
      <c r="M10" s="37" t="s">
        <v>906</v>
      </c>
      <c r="N10" s="37" t="s">
        <v>907</v>
      </c>
      <c r="O10" s="37" t="s">
        <v>908</v>
      </c>
      <c r="P10" s="37">
        <v>2000</v>
      </c>
      <c r="Q10" s="37" t="s">
        <v>919</v>
      </c>
      <c r="R10" s="37" t="s">
        <v>805</v>
      </c>
      <c r="S10" s="37">
        <v>687.31</v>
      </c>
      <c r="T10" s="37">
        <v>147007</v>
      </c>
      <c r="U10" s="287">
        <v>2066</v>
      </c>
      <c r="V10" s="37">
        <v>1.405E-2</v>
      </c>
      <c r="W10" s="37">
        <v>4.68</v>
      </c>
      <c r="X10" s="37">
        <v>0.33</v>
      </c>
      <c r="Y10" s="37">
        <v>124</v>
      </c>
      <c r="Z10" s="37">
        <v>0</v>
      </c>
      <c r="AA10" s="37">
        <v>1</v>
      </c>
      <c r="AB10" s="37">
        <v>82</v>
      </c>
      <c r="AC10" s="37">
        <v>831</v>
      </c>
      <c r="AD10" s="37">
        <v>1038</v>
      </c>
      <c r="AE10" s="287">
        <v>2067</v>
      </c>
      <c r="AF10" s="37">
        <v>1.406E-2</v>
      </c>
      <c r="AG10" s="37">
        <v>37</v>
      </c>
      <c r="AH10" s="37">
        <v>2</v>
      </c>
      <c r="AI10" s="37">
        <v>0</v>
      </c>
      <c r="AJ10" s="37">
        <v>0</v>
      </c>
      <c r="AK10" s="37">
        <v>0</v>
      </c>
      <c r="AL10" s="37">
        <v>0</v>
      </c>
      <c r="AM10" s="37">
        <v>2</v>
      </c>
      <c r="AN10" s="37">
        <v>0</v>
      </c>
      <c r="AO10" s="37">
        <v>0</v>
      </c>
      <c r="AP10" s="288">
        <v>0</v>
      </c>
      <c r="AQ10" s="37">
        <v>0</v>
      </c>
      <c r="AR10" s="37">
        <v>0</v>
      </c>
      <c r="AS10" s="37">
        <v>0</v>
      </c>
      <c r="AT10" s="37">
        <v>0</v>
      </c>
      <c r="AU10" s="37">
        <v>0</v>
      </c>
      <c r="AV10" s="37">
        <v>0</v>
      </c>
      <c r="AW10" s="37">
        <v>0</v>
      </c>
      <c r="AX10" s="37">
        <v>0</v>
      </c>
      <c r="AY10" s="37">
        <v>0</v>
      </c>
      <c r="AZ10" s="37">
        <v>0</v>
      </c>
      <c r="BA10" s="37">
        <v>0</v>
      </c>
      <c r="BB10" s="37">
        <v>103932</v>
      </c>
      <c r="BC10" s="37">
        <v>1.4139999999999999</v>
      </c>
      <c r="BD10" s="37">
        <v>6.61</v>
      </c>
      <c r="BE10" s="37">
        <v>0</v>
      </c>
      <c r="BF10" s="37">
        <v>0</v>
      </c>
      <c r="BG10" s="37">
        <v>0</v>
      </c>
      <c r="BH10" s="37">
        <v>0</v>
      </c>
      <c r="BI10" s="37">
        <v>0</v>
      </c>
      <c r="BJ10" s="37">
        <v>0</v>
      </c>
      <c r="BK10" s="37">
        <v>22.91</v>
      </c>
      <c r="BL10" s="37">
        <v>999</v>
      </c>
      <c r="BM10" s="37">
        <v>23</v>
      </c>
      <c r="BZ10" s="37">
        <v>0</v>
      </c>
      <c r="CA10" s="37">
        <v>0</v>
      </c>
      <c r="CB10" s="37">
        <v>0</v>
      </c>
      <c r="CC10" s="37">
        <v>0</v>
      </c>
      <c r="CD10" s="37">
        <v>0</v>
      </c>
      <c r="CE10" s="37">
        <v>0</v>
      </c>
      <c r="CF10" s="37">
        <v>0</v>
      </c>
      <c r="CN10" s="1">
        <f t="shared" si="1"/>
        <v>45469</v>
      </c>
      <c r="CO10" s="1">
        <f t="shared" si="1"/>
        <v>45473</v>
      </c>
      <c r="CP10" t="str">
        <f t="shared" si="0"/>
        <v>6/26/2024</v>
      </c>
      <c r="CQ10" t="str">
        <f>IF(INDEX($A$1:$AX$45,CR10,MATCH($CQ$6,$6:$6,0))=0,"",INDEX($A$1:AX48,CR10,MATCH($CQ$6,$6:$6,0)))</f>
        <v>6/30/2024</v>
      </c>
      <c r="CR10">
        <v>10</v>
      </c>
    </row>
    <row r="11" spans="1:98">
      <c r="U11" s="287"/>
      <c r="AE11" s="287"/>
      <c r="AP11" s="288"/>
      <c r="CN11" s="1" t="str">
        <f t="shared" si="1"/>
        <v/>
      </c>
      <c r="CO11" s="1" t="str">
        <f t="shared" si="1"/>
        <v/>
      </c>
      <c r="CP11" t="str">
        <f t="shared" si="0"/>
        <v/>
      </c>
      <c r="CQ11" t="str">
        <f>IF(INDEX($A$1:$AX$45,CR11,MATCH($CQ$6,$6:$6,0))=0,"",INDEX($A$1:AX49,CR11,MATCH($CQ$6,$6:$6,0)))</f>
        <v/>
      </c>
      <c r="CR11">
        <v>11</v>
      </c>
    </row>
    <row r="12" spans="1:98">
      <c r="U12" s="287"/>
      <c r="AE12" s="287"/>
      <c r="AP12" s="288"/>
      <c r="CN12" s="1" t="str">
        <f t="shared" si="1"/>
        <v/>
      </c>
      <c r="CO12" s="1" t="str">
        <f t="shared" si="1"/>
        <v/>
      </c>
      <c r="CP12" t="str">
        <f t="shared" si="0"/>
        <v/>
      </c>
      <c r="CQ12" t="str">
        <f>IF(INDEX($A$1:$AX$45,CR12,MATCH($CQ$6,$6:$6,0))=0,"",INDEX($A$1:AX50,CR12,MATCH($CQ$6,$6:$6,0)))</f>
        <v/>
      </c>
      <c r="CR12">
        <v>12</v>
      </c>
    </row>
    <row r="13" spans="1:98">
      <c r="U13" s="287"/>
      <c r="AE13" s="287"/>
      <c r="AP13" s="288"/>
      <c r="CN13" s="1" t="str">
        <f t="shared" si="1"/>
        <v/>
      </c>
      <c r="CO13" s="1" t="str">
        <f t="shared" si="1"/>
        <v/>
      </c>
      <c r="CP13" t="str">
        <f t="shared" si="0"/>
        <v/>
      </c>
      <c r="CQ13" t="str">
        <f>IF(INDEX($A$1:$AX$45,CR13,MATCH($CQ$6,$6:$6,0))=0,"",INDEX($A$1:AX51,CR13,MATCH($CQ$6,$6:$6,0)))</f>
        <v/>
      </c>
      <c r="CR13">
        <v>13</v>
      </c>
    </row>
    <row r="14" spans="1:98">
      <c r="U14" s="287"/>
      <c r="AE14" s="287"/>
      <c r="AP14" s="288"/>
      <c r="CN14" s="1" t="str">
        <f t="shared" si="1"/>
        <v/>
      </c>
      <c r="CO14" s="1" t="str">
        <f t="shared" si="1"/>
        <v/>
      </c>
      <c r="CP14" t="str">
        <f t="shared" si="0"/>
        <v/>
      </c>
      <c r="CQ14" t="str">
        <f>IF(INDEX($A$1:$AX$45,CR14,MATCH($CQ$6,$6:$6,0))=0,"",INDEX($A$1:AX52,CR14,MATCH($CQ$6,$6:$6,0)))</f>
        <v/>
      </c>
      <c r="CR14">
        <v>14</v>
      </c>
    </row>
    <row r="15" spans="1:98">
      <c r="CN15" s="1" t="str">
        <f t="shared" si="1"/>
        <v/>
      </c>
      <c r="CO15" s="1" t="str">
        <f t="shared" si="1"/>
        <v/>
      </c>
      <c r="CP15" t="str">
        <f t="shared" si="0"/>
        <v/>
      </c>
      <c r="CQ15" t="str">
        <f>IF(INDEX($A$1:$AX$45,CR15,MATCH($CQ$6,$6:$6,0))=0,"",INDEX($A$1:AX53,CR15,MATCH($CQ$6,$6:$6,0)))</f>
        <v/>
      </c>
      <c r="CR15">
        <v>15</v>
      </c>
    </row>
    <row r="16" spans="1:98">
      <c r="CN16" s="1" t="str">
        <f t="shared" si="1"/>
        <v/>
      </c>
      <c r="CO16" s="1" t="str">
        <f t="shared" si="1"/>
        <v/>
      </c>
      <c r="CP16" t="str">
        <f t="shared" si="0"/>
        <v/>
      </c>
      <c r="CQ16" t="str">
        <f>IF(INDEX($A$1:$AX$45,CR16,MATCH($CQ$6,$6:$6,0))=0,"",INDEX($A$1:AX54,CR16,MATCH($CQ$6,$6:$6,0)))</f>
        <v/>
      </c>
      <c r="CR16">
        <v>16</v>
      </c>
    </row>
    <row r="17" spans="92:96">
      <c r="CN17" s="1" t="str">
        <f t="shared" si="1"/>
        <v/>
      </c>
      <c r="CO17" s="1" t="str">
        <f t="shared" si="1"/>
        <v/>
      </c>
      <c r="CP17" t="str">
        <f t="shared" si="0"/>
        <v/>
      </c>
      <c r="CQ17" t="str">
        <f>IF(INDEX($A$1:$AX$45,CR17,MATCH($CQ$6,$6:$6,0))=0,"",INDEX($A$1:AX55,CR17,MATCH($CQ$6,$6:$6,0)))</f>
        <v/>
      </c>
      <c r="CR17">
        <v>17</v>
      </c>
    </row>
    <row r="18" spans="92:96">
      <c r="CN18" s="1" t="str">
        <f t="shared" si="1"/>
        <v/>
      </c>
      <c r="CO18" s="1" t="str">
        <f t="shared" si="1"/>
        <v/>
      </c>
      <c r="CP18" t="str">
        <f t="shared" si="0"/>
        <v/>
      </c>
      <c r="CQ18" t="str">
        <f>IF(INDEX($A$1:$AX$45,CR18,MATCH($CQ$6,$6:$6,0))=0,"",INDEX($A$1:AX56,CR18,MATCH($CQ$6,$6:$6,0)))</f>
        <v/>
      </c>
      <c r="CR18">
        <v>18</v>
      </c>
    </row>
    <row r="19" spans="92:96">
      <c r="CN19" s="1" t="str">
        <f t="shared" si="1"/>
        <v/>
      </c>
      <c r="CO19" s="1" t="str">
        <f t="shared" si="1"/>
        <v/>
      </c>
      <c r="CP19" t="str">
        <f t="shared" si="0"/>
        <v/>
      </c>
      <c r="CQ19" t="str">
        <f>IF(INDEX($A$1:$AX$45,CR19,MATCH($CQ$6,$6:$6,0))=0,"",INDEX($A$1:AX57,CR19,MATCH($CQ$6,$6:$6,0)))</f>
        <v/>
      </c>
      <c r="CR19">
        <v>19</v>
      </c>
    </row>
    <row r="20" spans="92:96">
      <c r="CN20" s="1" t="str">
        <f t="shared" si="1"/>
        <v/>
      </c>
      <c r="CO20" s="1" t="str">
        <f t="shared" si="1"/>
        <v/>
      </c>
      <c r="CP20" t="str">
        <f t="shared" si="0"/>
        <v/>
      </c>
      <c r="CQ20" t="str">
        <f>IF(INDEX($A$1:$AX$45,CR20,MATCH($CQ$6,$6:$6,0))=0,"",INDEX($A$1:AX58,CR20,MATCH($CQ$6,$6:$6,0)))</f>
        <v/>
      </c>
      <c r="CR20">
        <v>20</v>
      </c>
    </row>
    <row r="21" spans="92:96">
      <c r="CN21" s="1" t="str">
        <f t="shared" si="1"/>
        <v/>
      </c>
      <c r="CO21" s="1" t="str">
        <f t="shared" si="1"/>
        <v/>
      </c>
      <c r="CP21" t="str">
        <f t="shared" si="0"/>
        <v/>
      </c>
      <c r="CQ21" t="str">
        <f>IF(INDEX($A$1:$AX$45,CR21,MATCH($CQ$6,$6:$6,0))=0,"",INDEX($A$1:AX59,CR21,MATCH($CQ$6,$6:$6,0)))</f>
        <v/>
      </c>
      <c r="CR21">
        <v>21</v>
      </c>
    </row>
    <row r="22" spans="92:96">
      <c r="CN22" s="1" t="str">
        <f t="shared" si="1"/>
        <v/>
      </c>
      <c r="CO22" s="1" t="str">
        <f t="shared" si="1"/>
        <v/>
      </c>
      <c r="CP22" t="str">
        <f t="shared" si="0"/>
        <v/>
      </c>
      <c r="CQ22" t="str">
        <f>IF(INDEX($A$1:$AX$45,CR22,MATCH($CQ$6,$6:$6,0))=0,"",INDEX($A$1:AX60,CR22,MATCH($CQ$6,$6:$6,0)))</f>
        <v/>
      </c>
      <c r="CR22">
        <v>22</v>
      </c>
    </row>
    <row r="23" spans="92:96">
      <c r="CN23" s="1" t="str">
        <f t="shared" si="1"/>
        <v/>
      </c>
      <c r="CO23" s="1" t="str">
        <f t="shared" si="1"/>
        <v/>
      </c>
      <c r="CP23" t="str">
        <f t="shared" si="0"/>
        <v/>
      </c>
      <c r="CQ23" t="str">
        <f>IF(INDEX($A$1:$AX$45,CR23,MATCH($CQ$6,$6:$6,0))=0,"",INDEX($A$1:AX61,CR23,MATCH($CQ$6,$6:$6,0)))</f>
        <v/>
      </c>
      <c r="CR23">
        <v>23</v>
      </c>
    </row>
    <row r="24" spans="92:96">
      <c r="CN24" s="1" t="str">
        <f t="shared" si="1"/>
        <v/>
      </c>
      <c r="CO24" s="1" t="str">
        <f t="shared" si="1"/>
        <v/>
      </c>
      <c r="CP24" t="str">
        <f t="shared" si="0"/>
        <v/>
      </c>
      <c r="CQ24" t="str">
        <f>IF(INDEX($A$1:$AX$45,CR24,MATCH($CQ$6,$6:$6,0))=0,"",INDEX($A$1:AX62,CR24,MATCH($CQ$6,$6:$6,0)))</f>
        <v/>
      </c>
      <c r="CR24">
        <v>24</v>
      </c>
    </row>
    <row r="25" spans="92:96">
      <c r="CN25" s="1" t="str">
        <f t="shared" si="1"/>
        <v/>
      </c>
      <c r="CO25" s="1" t="str">
        <f t="shared" si="1"/>
        <v/>
      </c>
      <c r="CP25" t="str">
        <f t="shared" si="0"/>
        <v/>
      </c>
      <c r="CQ25" t="str">
        <f>IF(INDEX($A$1:$AX$45,CR25,MATCH($CQ$6,$6:$6,0))=0,"",INDEX($A$1:AX63,CR25,MATCH($CQ$6,$6:$6,0)))</f>
        <v/>
      </c>
      <c r="CR25">
        <v>25</v>
      </c>
    </row>
    <row r="26" spans="92:96">
      <c r="CN26" s="1" t="str">
        <f t="shared" si="1"/>
        <v/>
      </c>
      <c r="CO26" s="1" t="str">
        <f t="shared" si="1"/>
        <v/>
      </c>
      <c r="CP26" t="str">
        <f t="shared" si="0"/>
        <v/>
      </c>
      <c r="CQ26" t="str">
        <f>IF(INDEX($A$1:$AX$45,CR26,MATCH($CQ$6,$6:$6,0))=0,"",INDEX($A$1:AX64,CR26,MATCH($CQ$6,$6:$6,0)))</f>
        <v/>
      </c>
      <c r="CR26">
        <v>26</v>
      </c>
    </row>
    <row r="27" spans="92:96">
      <c r="CN27" s="1" t="str">
        <f t="shared" si="1"/>
        <v/>
      </c>
      <c r="CO27" s="1" t="str">
        <f t="shared" si="1"/>
        <v/>
      </c>
      <c r="CP27" t="str">
        <f t="shared" si="0"/>
        <v/>
      </c>
      <c r="CQ27" t="str">
        <f>IF(INDEX($A$1:$AX$45,CR27,MATCH($CQ$6,$6:$6,0))=0,"",INDEX($A$1:AX65,CR27,MATCH($CQ$6,$6:$6,0)))</f>
        <v/>
      </c>
      <c r="CR27">
        <v>27</v>
      </c>
    </row>
    <row r="28" spans="92:96">
      <c r="CN28" s="1" t="str">
        <f t="shared" si="1"/>
        <v/>
      </c>
      <c r="CO28" s="1" t="str">
        <f t="shared" si="1"/>
        <v/>
      </c>
      <c r="CP28" t="str">
        <f t="shared" si="0"/>
        <v/>
      </c>
      <c r="CQ28" t="str">
        <f>IF(INDEX($A$1:$AX$45,CR28,MATCH($CQ$6,$6:$6,0))=0,"",INDEX($A$1:AX66,CR28,MATCH($CQ$6,$6:$6,0)))</f>
        <v/>
      </c>
      <c r="CR28">
        <v>28</v>
      </c>
    </row>
    <row r="29" spans="92:96">
      <c r="CN29" s="1" t="str">
        <f t="shared" si="1"/>
        <v/>
      </c>
      <c r="CO29" s="1" t="str">
        <f t="shared" si="1"/>
        <v/>
      </c>
      <c r="CP29" t="str">
        <f t="shared" si="0"/>
        <v/>
      </c>
      <c r="CQ29" t="str">
        <f>IF(INDEX($A$1:$AX$45,CR29,MATCH($CQ$6,$6:$6,0))=0,"",INDEX($A$1:AX67,CR29,MATCH($CQ$6,$6:$6,0)))</f>
        <v/>
      </c>
      <c r="CR29">
        <v>29</v>
      </c>
    </row>
    <row r="30" spans="92:96">
      <c r="CN30" s="1" t="str">
        <f t="shared" si="1"/>
        <v/>
      </c>
      <c r="CO30" s="1" t="str">
        <f t="shared" si="1"/>
        <v/>
      </c>
      <c r="CP30" t="str">
        <f t="shared" si="0"/>
        <v/>
      </c>
      <c r="CQ30" t="str">
        <f>IF(INDEX($A$1:$AX$45,CR30,MATCH($CQ$6,$6:$6,0))=0,"",INDEX($A$1:AX68,CR30,MATCH($CQ$6,$6:$6,0)))</f>
        <v/>
      </c>
      <c r="CR30">
        <v>30</v>
      </c>
    </row>
    <row r="31" spans="92:96">
      <c r="CN31" s="1" t="str">
        <f t="shared" si="1"/>
        <v/>
      </c>
      <c r="CO31" s="1" t="str">
        <f t="shared" si="1"/>
        <v/>
      </c>
      <c r="CP31" t="str">
        <f t="shared" si="0"/>
        <v/>
      </c>
      <c r="CQ31" t="str">
        <f>IF(INDEX($A$1:$AX$45,CR31,MATCH($CQ$6,$6:$6,0))=0,"",INDEX($A$1:AX69,CR31,MATCH($CQ$6,$6:$6,0)))</f>
        <v/>
      </c>
      <c r="CR31">
        <v>31</v>
      </c>
    </row>
    <row r="32" spans="92:96">
      <c r="CN32" s="1" t="str">
        <f t="shared" si="1"/>
        <v/>
      </c>
      <c r="CO32" s="1" t="str">
        <f t="shared" si="1"/>
        <v/>
      </c>
      <c r="CP32" t="str">
        <f t="shared" si="0"/>
        <v/>
      </c>
      <c r="CQ32" t="str">
        <f>IF(INDEX($A$1:$AX$45,CR32,MATCH($CQ$6,$6:$6,0))=0,"",INDEX($A$1:AX70,CR32,MATCH($CQ$6,$6:$6,0)))</f>
        <v/>
      </c>
      <c r="CR32">
        <v>32</v>
      </c>
    </row>
    <row r="33" spans="92:96">
      <c r="CN33" s="1" t="str">
        <f t="shared" si="1"/>
        <v/>
      </c>
      <c r="CO33" s="1" t="str">
        <f t="shared" si="1"/>
        <v/>
      </c>
      <c r="CP33" t="str">
        <f t="shared" si="0"/>
        <v/>
      </c>
      <c r="CQ33" t="str">
        <f>IF(INDEX($A$1:$AX$45,CR33,MATCH($CQ$6,$6:$6,0))=0,"",INDEX($A$1:AX71,CR33,MATCH($CQ$6,$6:$6,0)))</f>
        <v/>
      </c>
      <c r="CR33">
        <v>33</v>
      </c>
    </row>
    <row r="34" spans="92:96">
      <c r="CN34" s="1" t="str">
        <f t="shared" si="1"/>
        <v/>
      </c>
      <c r="CO34" s="1" t="str">
        <f t="shared" si="1"/>
        <v/>
      </c>
      <c r="CP34" t="str">
        <f t="shared" si="0"/>
        <v/>
      </c>
      <c r="CQ34" t="str">
        <f>IF(INDEX($A$1:$AX$45,CR34,MATCH($CQ$6,$6:$6,0))=0,"",INDEX($A$1:AX72,CR34,MATCH($CQ$6,$6:$6,0)))</f>
        <v/>
      </c>
      <c r="CR34">
        <v>34</v>
      </c>
    </row>
    <row r="35" spans="92:96">
      <c r="CN35" s="1" t="str">
        <f t="shared" si="1"/>
        <v/>
      </c>
      <c r="CO35" s="1" t="str">
        <f t="shared" si="1"/>
        <v/>
      </c>
      <c r="CP35" t="str">
        <f t="shared" si="0"/>
        <v/>
      </c>
      <c r="CQ35" t="str">
        <f>IF(INDEX($A$1:$AX$45,CR35,MATCH($CQ$6,$6:$6,0))=0,"",INDEX($A$1:AX73,CR35,MATCH($CQ$6,$6:$6,0)))</f>
        <v/>
      </c>
      <c r="CR35">
        <v>35</v>
      </c>
    </row>
    <row r="36" spans="92:96">
      <c r="CN36" s="1" t="str">
        <f t="shared" si="1"/>
        <v/>
      </c>
      <c r="CO36" s="1" t="str">
        <f t="shared" si="1"/>
        <v/>
      </c>
      <c r="CP36" t="str">
        <f t="shared" si="0"/>
        <v/>
      </c>
      <c r="CQ36" t="str">
        <f>IF(INDEX($A$1:$AX$45,CR36,MATCH($CQ$6,$6:$6,0))=0,"",INDEX($A$1:AX74,CR36,MATCH($CQ$6,$6:$6,0)))</f>
        <v/>
      </c>
      <c r="CR36">
        <v>36</v>
      </c>
    </row>
    <row r="37" spans="92:96">
      <c r="CN37" s="1" t="str">
        <f t="shared" si="1"/>
        <v/>
      </c>
      <c r="CO37" s="1" t="str">
        <f t="shared" si="1"/>
        <v/>
      </c>
      <c r="CP37" t="str">
        <f t="shared" si="0"/>
        <v/>
      </c>
      <c r="CQ37" t="str">
        <f>IF(INDEX($A$1:$AX$45,CR37,MATCH($CQ$6,$6:$6,0))=0,"",INDEX($A$1:AX75,CR37,MATCH($CQ$6,$6:$6,0)))</f>
        <v/>
      </c>
      <c r="CR37">
        <v>37</v>
      </c>
    </row>
    <row r="38" spans="92:96">
      <c r="CN38" s="1" t="str">
        <f t="shared" si="1"/>
        <v/>
      </c>
      <c r="CO38" s="1" t="str">
        <f t="shared" si="1"/>
        <v/>
      </c>
      <c r="CP38" t="str">
        <f t="shared" si="0"/>
        <v/>
      </c>
      <c r="CQ38" t="str">
        <f>IF(INDEX($A$1:$AX$45,CR38,MATCH($CQ$6,$6:$6,0))=0,"",INDEX($A$1:AX76,CR38,MATCH($CQ$6,$6:$6,0)))</f>
        <v/>
      </c>
      <c r="CR38">
        <v>38</v>
      </c>
    </row>
    <row r="39" spans="92:96">
      <c r="CN39" s="1" t="str">
        <f t="shared" si="1"/>
        <v/>
      </c>
      <c r="CO39" s="1" t="str">
        <f t="shared" si="1"/>
        <v/>
      </c>
      <c r="CP39" t="str">
        <f t="shared" si="0"/>
        <v/>
      </c>
      <c r="CQ39" t="str">
        <f>IF(INDEX($A$1:$AX$45,CR39,MATCH($CQ$6,$6:$6,0))=0,"",INDEX($A$1:AX77,CR39,MATCH($CQ$6,$6:$6,0)))</f>
        <v/>
      </c>
      <c r="CR39">
        <v>39</v>
      </c>
    </row>
    <row r="40" spans="92:96">
      <c r="CN40" s="1" t="str">
        <f t="shared" si="1"/>
        <v/>
      </c>
      <c r="CO40" s="1" t="str">
        <f t="shared" si="1"/>
        <v/>
      </c>
      <c r="CP40" t="str">
        <f t="shared" si="0"/>
        <v/>
      </c>
      <c r="CQ40" t="str">
        <f>IF(INDEX($A$1:$AX$45,CR40,MATCH($CQ$6,$6:$6,0))=0,"",INDEX($A$1:AX78,CR40,MATCH($CQ$6,$6:$6,0)))</f>
        <v/>
      </c>
      <c r="CR40">
        <v>40</v>
      </c>
    </row>
    <row r="41" spans="92:96">
      <c r="CN41" s="1" t="str">
        <f t="shared" si="1"/>
        <v/>
      </c>
      <c r="CO41" s="1" t="str">
        <f t="shared" si="1"/>
        <v/>
      </c>
      <c r="CP41" t="str">
        <f t="shared" si="0"/>
        <v/>
      </c>
      <c r="CQ41" t="str">
        <f>IF(INDEX($A$1:$AX$45,CR41,MATCH($CQ$6,$6:$6,0))=0,"",INDEX($A$1:AX79,CR41,MATCH($CQ$6,$6:$6,0)))</f>
        <v/>
      </c>
      <c r="CR41">
        <v>41</v>
      </c>
    </row>
    <row r="42" spans="92:96">
      <c r="CN42" s="1" t="str">
        <f t="shared" si="1"/>
        <v/>
      </c>
      <c r="CO42" s="1" t="str">
        <f t="shared" si="1"/>
        <v/>
      </c>
      <c r="CP42" t="str">
        <f t="shared" si="0"/>
        <v/>
      </c>
      <c r="CQ42" t="str">
        <f>IF(INDEX($A$1:$AX$45,CR42,MATCH($CQ$6,$6:$6,0))=0,"",INDEX($A$1:AX80,CR42,MATCH($CQ$6,$6:$6,0)))</f>
        <v/>
      </c>
      <c r="CR42">
        <v>41</v>
      </c>
    </row>
    <row r="43" spans="92:96">
      <c r="CN43" s="1" t="str">
        <f t="shared" si="1"/>
        <v/>
      </c>
      <c r="CO43" s="1" t="str">
        <f t="shared" si="1"/>
        <v/>
      </c>
      <c r="CP43" t="str">
        <f t="shared" si="0"/>
        <v/>
      </c>
      <c r="CQ43" t="str">
        <f>IF(INDEX($A$1:$AX$45,CR43,MATCH($CQ$6,$6:$6,0))=0,"",INDEX($A$1:AX81,CR43,MATCH($CQ$6,$6:$6,0)))</f>
        <v/>
      </c>
      <c r="CR43">
        <v>41</v>
      </c>
    </row>
    <row r="44" spans="92:96">
      <c r="CN44" s="1" t="str">
        <f t="shared" si="1"/>
        <v/>
      </c>
      <c r="CO44" s="1" t="str">
        <f t="shared" si="1"/>
        <v/>
      </c>
      <c r="CP44" t="str">
        <f t="shared" si="0"/>
        <v/>
      </c>
      <c r="CQ44" t="str">
        <f>IF(INDEX($A$1:$AX$45,CR44,MATCH($CQ$6,$6:$6,0))=0,"",INDEX($A$1:AX82,CR44,MATCH($CQ$6,$6:$6,0)))</f>
        <v/>
      </c>
      <c r="CR44">
        <v>41</v>
      </c>
    </row>
    <row r="45" spans="92:96">
      <c r="CN45" s="1" t="str">
        <f t="shared" si="1"/>
        <v/>
      </c>
      <c r="CO45" s="1" t="str">
        <f t="shared" si="1"/>
        <v/>
      </c>
      <c r="CP45" t="str">
        <f t="shared" si="0"/>
        <v/>
      </c>
      <c r="CQ45" t="str">
        <f>IF(INDEX($A$1:$AX$45,CR45,MATCH($CQ$6,$6:$6,0))=0,"",INDEX($A$1:AX83,CR45,MATCH($CQ$6,$6:$6,0)))</f>
        <v/>
      </c>
      <c r="CR45">
        <v>41</v>
      </c>
    </row>
  </sheetData>
  <phoneticPr fontId="1" type="noConversion"/>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8976D-8D96-40ED-BEE0-FFD2D44C7E75}">
  <sheetPr>
    <tabColor theme="9" tint="0.79998168889431442"/>
  </sheetPr>
  <dimension ref="A1:S35"/>
  <sheetViews>
    <sheetView topLeftCell="B1" zoomScale="85" zoomScaleNormal="85" workbookViewId="0">
      <selection activeCell="Q16" sqref="Q16"/>
    </sheetView>
  </sheetViews>
  <sheetFormatPr defaultRowHeight="16.5"/>
  <cols>
    <col min="4" max="4" width="11.125" customWidth="1"/>
    <col min="5" max="5" width="66.125" customWidth="1"/>
    <col min="6" max="6" width="10.625" bestFit="1" customWidth="1"/>
    <col min="7" max="7" width="12" bestFit="1" customWidth="1"/>
    <col min="9" max="9" width="10.875" bestFit="1" customWidth="1"/>
    <col min="10" max="10" width="10.875" customWidth="1"/>
    <col min="11" max="11" width="10.625" bestFit="1" customWidth="1"/>
    <col min="12" max="12" width="9.625" bestFit="1" customWidth="1"/>
    <col min="16" max="19" width="18.875" customWidth="1"/>
  </cols>
  <sheetData>
    <row r="1" spans="1:19">
      <c r="A1" t="s">
        <v>810</v>
      </c>
      <c r="B1" s="278" t="s">
        <v>961</v>
      </c>
    </row>
    <row r="2" spans="1:19" ht="17.25" thickBot="1">
      <c r="B2" t="s">
        <v>921</v>
      </c>
      <c r="C2" t="s">
        <v>922</v>
      </c>
      <c r="F2" t="s">
        <v>920</v>
      </c>
      <c r="G2" t="s">
        <v>923</v>
      </c>
      <c r="H2" t="s">
        <v>924</v>
      </c>
      <c r="I2" t="s">
        <v>938</v>
      </c>
      <c r="J2" t="s">
        <v>939</v>
      </c>
      <c r="K2" t="s">
        <v>941</v>
      </c>
      <c r="M2" t="s">
        <v>925</v>
      </c>
    </row>
    <row r="3" spans="1:19" ht="17.25">
      <c r="A3" s="410" t="s">
        <v>811</v>
      </c>
      <c r="B3" s="412" t="s">
        <v>815</v>
      </c>
      <c r="C3" s="413"/>
      <c r="D3" s="404" t="s">
        <v>936</v>
      </c>
      <c r="E3" s="280" t="s">
        <v>814</v>
      </c>
      <c r="F3" s="404" t="s">
        <v>813</v>
      </c>
      <c r="G3" s="404" t="s">
        <v>816</v>
      </c>
      <c r="H3" s="404" t="s">
        <v>926</v>
      </c>
      <c r="I3" s="404" t="s">
        <v>937</v>
      </c>
      <c r="J3" s="404" t="s">
        <v>932</v>
      </c>
      <c r="K3" s="404" t="s">
        <v>940</v>
      </c>
      <c r="L3" s="406" t="s">
        <v>644</v>
      </c>
      <c r="P3" s="358" t="s">
        <v>960</v>
      </c>
      <c r="Q3" s="358" t="s">
        <v>927</v>
      </c>
      <c r="R3" s="358" t="s">
        <v>962</v>
      </c>
      <c r="S3" s="358" t="s">
        <v>963</v>
      </c>
    </row>
    <row r="4" spans="1:19" ht="17.25">
      <c r="A4" s="411"/>
      <c r="B4" s="282" t="s">
        <v>820</v>
      </c>
      <c r="C4" s="282" t="s">
        <v>821</v>
      </c>
      <c r="D4" s="405"/>
      <c r="E4" s="282" t="s">
        <v>819</v>
      </c>
      <c r="F4" s="405"/>
      <c r="G4" s="405"/>
      <c r="H4" s="405"/>
      <c r="I4" s="405"/>
      <c r="J4" s="405"/>
      <c r="K4" s="405"/>
      <c r="L4" s="407"/>
      <c r="P4" s="355">
        <f>(H14+H33)/(G14+G33)</f>
        <v>1.6725703887921099E-2</v>
      </c>
      <c r="Q4" s="356">
        <f>M14+M33</f>
        <v>468</v>
      </c>
      <c r="R4" s="357">
        <f>(F14+F33)/(H14+H33)</f>
        <v>857.42579447923924</v>
      </c>
      <c r="S4" s="357">
        <f>(F14+F33)/(M14+M33)</f>
        <v>15796.42136752137</v>
      </c>
    </row>
    <row r="5" spans="1:19">
      <c r="A5" s="332">
        <v>1</v>
      </c>
      <c r="B5" s="333" t="str">
        <f>IF(
'Follower Ad data'!CN7="",
"",
TEXT('Follower Ad data'!CN7,"m/d"))</f>
        <v>6/3</v>
      </c>
      <c r="C5" s="333" t="str">
        <f>IF('Follower Ad data'!CO7="","",TEXT('Follower Ad data'!CO7,"m/d"))</f>
        <v>6/6</v>
      </c>
      <c r="D5" s="334" t="s">
        <v>959</v>
      </c>
      <c r="E5" s="283" t="s">
        <v>954</v>
      </c>
      <c r="F5" s="335">
        <f>IF($E$5="","",INDEX('Follower Ad data'!$A$1:$AX$15,7,MATCH(F$2,'Follower Ad data'!$6:$6,0))*P11)</f>
        <v>234015.77500000002</v>
      </c>
      <c r="G5" s="336">
        <f>IF($E$5="","",INDEX('Follower Ad data'!$A$1:$AX$15,7,MATCH(G$2,'Follower Ad data'!$6:$6,0)))</f>
        <v>23038</v>
      </c>
      <c r="H5" s="336">
        <f>IF($E$5="","",INDEX('Follower Ad data'!$A$1:$AX$15,7,MATCH(H$2,'Follower Ad data'!$6:$6,0)))</f>
        <v>173</v>
      </c>
      <c r="I5" s="337">
        <f>IF(
$E5="",
"",
INDEX(
광고데이터,
$A5+1,
MATCH(I$2,'Follower Ad data'!$6:$6,0))
*$P$11)</f>
        <v>10161.375</v>
      </c>
      <c r="J5" s="338">
        <f>IF(
$E5="",
"",
INDEX(
광고데이터,
$A5+1,
MATCH(J$2,'Follower Ad data'!$6:$6,0)))</f>
        <v>7.5100000000000002E-3</v>
      </c>
      <c r="K5" s="337">
        <f>IFERROR(F5/H5,"")</f>
        <v>1352.6923410404625</v>
      </c>
      <c r="L5" s="337">
        <f>IFERROR(F5/M5,"")</f>
        <v>9750.6572916666682</v>
      </c>
      <c r="M5" s="295">
        <f>IF($E$5="","",INDEX('Follower Ad data'!$A$1:$AX$15,7,MATCH(M$2,'Follower Ad data'!$6:$6,0)))</f>
        <v>24</v>
      </c>
      <c r="N5" s="296"/>
      <c r="O5" s="296"/>
      <c r="Q5" s="285"/>
    </row>
    <row r="6" spans="1:19">
      <c r="A6" s="332">
        <v>2</v>
      </c>
      <c r="B6" s="333" t="str">
        <f>IF(
'Follower Ad data'!CN8="",
"",
TEXT('Follower Ad data'!CN8,"m/d"))</f>
        <v>6/13</v>
      </c>
      <c r="C6" s="333" t="str">
        <f>IF('Follower Ad data'!CO8="","",TEXT('Follower Ad data'!CO8,"m/d"))</f>
        <v>6/20</v>
      </c>
      <c r="D6" s="334" t="s">
        <v>959</v>
      </c>
      <c r="E6" s="283" t="s">
        <v>955</v>
      </c>
      <c r="F6" s="335">
        <f>IF($E$6="","",INDEX('Follower Ad data'!$A$1:$AX$15,8,MATCH(F$2,'Follower Ad data'!$6:$6,0))*P11)</f>
        <v>1421790.6500000001</v>
      </c>
      <c r="G6" s="336">
        <f>IF($E$6="","",INDEX('Follower Ad data'!$A$1:$AX$15,8,MATCH(G$2,'Follower Ad data'!$6:$6,0)))</f>
        <v>62823</v>
      </c>
      <c r="H6" s="336">
        <f>IF($E$6="","",INDEX('Follower Ad data'!$A$1:$AX$15,8,MATCH(H$2,'Follower Ad data'!$6:$6,0)))</f>
        <v>1761</v>
      </c>
      <c r="I6" s="337">
        <f>IF(
$E6="",
"",
INDEX(
광고데이터,
$A6+1,
MATCH(I$2,'Follower Ad data'!$6:$6,0))
*$P$11)</f>
        <v>22631.525000000001</v>
      </c>
      <c r="J6" s="338">
        <f>IF(
$E6="",
"",
INDEX(
광고데이터,
$A6+1,
MATCH(J$2,'Follower Ad data'!$6:$6,0)))</f>
        <v>2.8029999999999999E-2</v>
      </c>
      <c r="K6" s="337">
        <f t="shared" ref="K6:K14" si="0">IFERROR(F6/H6,"")</f>
        <v>807.3768597387849</v>
      </c>
      <c r="L6" s="337">
        <f t="shared" ref="L6:L14" si="1">IFERROR(F6/M6,"")</f>
        <v>13803.792718446603</v>
      </c>
      <c r="M6" s="295">
        <f>IF($E$6="","",INDEX('Follower Ad data'!$A$1:$AX$15,8,MATCH(M$2,'Follower Ad data'!$6:$6,0)))</f>
        <v>103</v>
      </c>
      <c r="N6" s="296"/>
      <c r="O6" s="296"/>
    </row>
    <row r="7" spans="1:19" ht="17.25" thickBot="1">
      <c r="A7" s="332">
        <v>3</v>
      </c>
      <c r="B7" s="333" t="str">
        <f>IF(
'Follower Ad data'!CN9="",
"",
TEXT('Follower Ad data'!CN9,"m/d"))</f>
        <v>6/14</v>
      </c>
      <c r="C7" s="333" t="str">
        <f>IF('Follower Ad data'!CO9="","",TEXT('Follower Ad data'!CO9,"m/d"))</f>
        <v>6/21</v>
      </c>
      <c r="D7" s="334" t="s">
        <v>959</v>
      </c>
      <c r="E7" s="283" t="s">
        <v>957</v>
      </c>
      <c r="F7" s="335">
        <f>IF($E$7="","",INDEX('Follower Ad data'!$A$1:$AX$15,9,MATCH(F$2,'Follower Ad data'!$6:$6,0))*P11)</f>
        <v>1090350.0999999999</v>
      </c>
      <c r="G7" s="336">
        <f>IF($E$7="","",INDEX('Follower Ad data'!$A$1:$AX$15,9,MATCH(G$2,'Follower Ad data'!$6:$6,0)))</f>
        <v>24879</v>
      </c>
      <c r="H7" s="336">
        <f>IF($E$7="","",INDEX('Follower Ad data'!$A$1:$AX$15,9,MATCH(H$2,'Follower Ad data'!$6:$6,0)))</f>
        <v>311</v>
      </c>
      <c r="I7" s="337">
        <f>IF(
$E7="",
"",
INDEX(
광고데이터,
$A7+1,
MATCH(I$2,'Follower Ad data'!$6:$6,0))
*$P$11)</f>
        <v>43825.25</v>
      </c>
      <c r="J7" s="338">
        <f>IF(
$E7="",
"",
INDEX(
광고데이터,
$A7+1,
MATCH(J$2,'Follower Ad data'!$6:$6,0)))</f>
        <v>1.2500000000000001E-2</v>
      </c>
      <c r="K7" s="337">
        <f t="shared" si="0"/>
        <v>3505.9488745980702</v>
      </c>
      <c r="L7" s="337">
        <f t="shared" si="1"/>
        <v>43614.003999999994</v>
      </c>
      <c r="M7" s="295">
        <f>IF($E$7="","",INDEX('Follower Ad data'!$A$1:$AX$15,9,MATCH(M$2,'Follower Ad data'!$6:$6,0)))</f>
        <v>25</v>
      </c>
      <c r="N7" s="296"/>
      <c r="O7" s="296"/>
    </row>
    <row r="8" spans="1:19">
      <c r="A8" s="332">
        <v>4</v>
      </c>
      <c r="B8" s="333" t="str">
        <f>IF(
'Follower Ad data'!CN10="",
"",
TEXT('Follower Ad data'!CN10,"m/d"))</f>
        <v>6/26</v>
      </c>
      <c r="C8" s="333" t="str">
        <f>IF('Follower Ad data'!CO10="","",TEXT('Follower Ad data'!CO10,"m/d"))</f>
        <v>6/30</v>
      </c>
      <c r="D8" s="334" t="s">
        <v>959</v>
      </c>
      <c r="E8" s="283" t="s">
        <v>958</v>
      </c>
      <c r="F8" s="335">
        <f>IF($E$8="","",INDEX('Follower Ad data'!$A$1:$AX$15,10,MATCH(F$2,'Follower Ad data'!$6:$6,0))*P11)</f>
        <v>950206.07499999995</v>
      </c>
      <c r="G8" s="336">
        <f>IF($E$8="","",INDEX('Follower Ad data'!$A$1:$AX$15,10,MATCH(G$2,'Follower Ad data'!$6:$6,0)))</f>
        <v>147007</v>
      </c>
      <c r="H8" s="336">
        <f>IF($E$8="","",INDEX('Follower Ad data'!$A$1:$AX$15,10,MATCH(H$2,'Follower Ad data'!$6:$6,0)))</f>
        <v>2066</v>
      </c>
      <c r="I8" s="337">
        <f>IF(
$E8="",
"",
INDEX(
광고데이터,
$A8+1,
MATCH(I$2,'Follower Ad data'!$6:$6,0))
*$P$11)</f>
        <v>6470.0999999999995</v>
      </c>
      <c r="J8" s="338">
        <f>IF(
$E8="",
"",
INDEX(
광고데이터,
$A8+1,
MATCH(J$2,'Follower Ad data'!$6:$6,0)))</f>
        <v>1.405E-2</v>
      </c>
      <c r="K8" s="337">
        <f t="shared" si="0"/>
        <v>459.92549612778311</v>
      </c>
      <c r="L8" s="337">
        <f t="shared" si="1"/>
        <v>11587.878963414634</v>
      </c>
      <c r="M8" s="295">
        <f>IF($E$8="","",INDEX('Follower Ad data'!$A$1:$AX$15,10,MATCH(M$2,'Follower Ad data'!$6:$6,0)))</f>
        <v>82</v>
      </c>
      <c r="N8" s="296"/>
      <c r="O8" s="296"/>
      <c r="P8" s="289" t="s">
        <v>928</v>
      </c>
    </row>
    <row r="9" spans="1:19">
      <c r="A9" s="332">
        <v>5</v>
      </c>
      <c r="B9" s="333" t="str">
        <f>IF(
'Follower Ad data'!CN11="",
"",
TEXT('Follower Ad data'!CN11,"m/d"))</f>
        <v/>
      </c>
      <c r="C9" s="333" t="str">
        <f>IF('Follower Ad data'!CO11="","",TEXT('Follower Ad data'!CO11,"m/d"))</f>
        <v/>
      </c>
      <c r="D9" s="334"/>
      <c r="E9" s="283"/>
      <c r="F9" s="335" t="str">
        <f>IF($E$9="","",INDEX('Follower Ad data'!$A$1:$AX$15,11,MATCH(F$2,'Follower Ad data'!$6:$6,0))*P11)</f>
        <v/>
      </c>
      <c r="G9" s="336" t="str">
        <f>IF($E$9="","",INDEX('Follower Ad data'!$A$1:$AX$15,11,MATCH(G$2,'Follower Ad data'!$6:$6,0)))</f>
        <v/>
      </c>
      <c r="H9" s="336" t="str">
        <f>IF($E$9="","",INDEX('Follower Ad data'!$A$1:$AX$15,11,MATCH(H$2,'Follower Ad data'!$6:$6,0)))</f>
        <v/>
      </c>
      <c r="I9" s="337" t="str">
        <f>IF(
$E9="",
"",
INDEX(
광고데이터,
$A9+1,
MATCH(I$2,'Follower Ad data'!$6:$6,0))
*$P$11)</f>
        <v/>
      </c>
      <c r="J9" s="338" t="str">
        <f>IF(
$E9="",
"",
INDEX(
광고데이터,
$A9+1,
MATCH(J$2,'Follower Ad data'!$6:$6,0)))</f>
        <v/>
      </c>
      <c r="K9" s="337" t="str">
        <f t="shared" si="0"/>
        <v/>
      </c>
      <c r="L9" s="337" t="str">
        <f t="shared" si="1"/>
        <v/>
      </c>
      <c r="M9" s="295" t="str">
        <f>IF($E$9="","",INDEX('Follower Ad data'!$A$1:$AX$15,11,MATCH(M$2,'Follower Ad data'!$6:$6,0)))</f>
        <v/>
      </c>
      <c r="N9" s="296"/>
      <c r="O9" s="296"/>
      <c r="P9" s="290">
        <v>45501.713888888888</v>
      </c>
    </row>
    <row r="10" spans="1:19">
      <c r="A10" s="332">
        <v>6</v>
      </c>
      <c r="B10" s="333" t="str">
        <f>IF(
'Follower Ad data'!CN12="",
"",
TEXT('Follower Ad data'!CN12,"m/d"))</f>
        <v/>
      </c>
      <c r="C10" s="333" t="str">
        <f>IF('Follower Ad data'!CO12="","",TEXT('Follower Ad data'!CO12,"m/d"))</f>
        <v/>
      </c>
      <c r="D10" s="334"/>
      <c r="E10" s="283"/>
      <c r="F10" s="335" t="str">
        <f>IF($E$10="","",INDEX('Follower Ad data'!$A$1:$AX$15,12,MATCH(F$2,'Follower Ad data'!$6:$6,0))*P11)</f>
        <v/>
      </c>
      <c r="G10" s="336" t="str">
        <f>IF($E$10="","",INDEX('Follower Ad data'!$A$1:$AX$15,12,MATCH(G$2,'Follower Ad data'!$6:$6,0)))</f>
        <v/>
      </c>
      <c r="H10" s="336" t="str">
        <f>IF($E$10="","",INDEX('Follower Ad data'!$A$1:$AX$15,12,MATCH(H$2,'Follower Ad data'!$6:$6,0)))</f>
        <v/>
      </c>
      <c r="I10" s="337" t="str">
        <f>IF(
$E10="",
"",
INDEX(
광고데이터,
$A10+1,
MATCH(I$2,'Follower Ad data'!$6:$6,0))
*$P$11)</f>
        <v/>
      </c>
      <c r="J10" s="338" t="str">
        <f>IF(
$E10="",
"",
INDEX(
광고데이터,
$A10+1,
MATCH(J$2,'Follower Ad data'!$6:$6,0)))</f>
        <v/>
      </c>
      <c r="K10" s="337" t="str">
        <f t="shared" si="0"/>
        <v/>
      </c>
      <c r="L10" s="337" t="str">
        <f t="shared" si="1"/>
        <v/>
      </c>
      <c r="M10" s="295" t="str">
        <f>IF($E$10="","",INDEX('Follower Ad data'!$A$1:$AX$15,12,MATCH(M$2,'Follower Ad data'!$6:$6,0)))</f>
        <v/>
      </c>
      <c r="N10" s="296"/>
      <c r="O10" s="296"/>
      <c r="P10" s="291" t="s">
        <v>929</v>
      </c>
    </row>
    <row r="11" spans="1:19" ht="17.25" thickBot="1">
      <c r="A11" s="332">
        <v>7</v>
      </c>
      <c r="B11" s="333" t="str">
        <f>IF(
'Follower Ad data'!CN13="",
"",
TEXT('Follower Ad data'!CN13,"m/d"))</f>
        <v/>
      </c>
      <c r="C11" s="333" t="str">
        <f>IF('Follower Ad data'!CO13="","",TEXT('Follower Ad data'!CO13,"m/d"))</f>
        <v/>
      </c>
      <c r="D11" s="339"/>
      <c r="E11" s="284"/>
      <c r="F11" s="335" t="str">
        <f>IF($E$11="","",INDEX('Follower Ad data'!$A$1:$AX$15,13,MATCH(F$2,'Follower Ad data'!$6:$6,0))*P11)</f>
        <v/>
      </c>
      <c r="G11" s="336" t="str">
        <f>IF($E$11="","",INDEX('Follower Ad data'!$A$1:$AX$15,13,MATCH(G$2,'Follower Ad data'!$6:$6,0)))</f>
        <v/>
      </c>
      <c r="H11" s="336" t="str">
        <f>IF($E$11="","",INDEX('Follower Ad data'!$A$1:$AX$15,13,MATCH(H$2,'Follower Ad data'!$6:$6,0)))</f>
        <v/>
      </c>
      <c r="I11" s="337" t="str">
        <f>IF(
$E11="",
"",
INDEX(
광고데이터,
$A11+1,
MATCH(I$2,'Follower Ad data'!$6:$6,0))
*$P$11)</f>
        <v/>
      </c>
      <c r="J11" s="338" t="str">
        <f>IF(
$E11="",
"",
INDEX(
광고데이터,
$A11+1,
MATCH(J$2,'Follower Ad data'!$6:$6,0)))</f>
        <v/>
      </c>
      <c r="K11" s="337" t="str">
        <f t="shared" si="0"/>
        <v/>
      </c>
      <c r="L11" s="337" t="str">
        <f t="shared" si="1"/>
        <v/>
      </c>
      <c r="M11" s="295" t="str">
        <f>IF($E$11="","",INDEX('Follower Ad data'!$A$1:$AX$15,13,MATCH(M$2,'Follower Ad data'!$6:$6,0)))</f>
        <v/>
      </c>
      <c r="N11" s="296"/>
      <c r="O11" s="296"/>
      <c r="P11" s="292">
        <v>1382.5</v>
      </c>
    </row>
    <row r="12" spans="1:19">
      <c r="A12" s="332">
        <v>8</v>
      </c>
      <c r="B12" s="333" t="str">
        <f>IF(
'Follower Ad data'!CN14="",
"",
TEXT('Follower Ad data'!CN14,"m/d"))</f>
        <v/>
      </c>
      <c r="C12" s="333" t="str">
        <f>IF('Follower Ad data'!CO14="","",TEXT('Follower Ad data'!CO14,"m/d"))</f>
        <v/>
      </c>
      <c r="D12" s="339"/>
      <c r="E12" s="284"/>
      <c r="F12" s="335" t="str">
        <f>IF($E$12="","",INDEX('Follower Ad data'!$A$1:$AX$15,14,MATCH(F$2,'Follower Ad data'!$6:$6,0))*P11)</f>
        <v/>
      </c>
      <c r="G12" s="336" t="str">
        <f>IF($E$12="","",INDEX('Follower Ad data'!$A$1:$AX$15,14,MATCH(G$2,'Follower Ad data'!$6:$6,0)))</f>
        <v/>
      </c>
      <c r="H12" s="336" t="str">
        <f>IF($E$12="","",INDEX('Follower Ad data'!$A$1:$AX$15,14,MATCH(H$2,'Follower Ad data'!$6:$6,0)))</f>
        <v/>
      </c>
      <c r="I12" s="337" t="str">
        <f>IF(
$E12="",
"",
INDEX(
광고데이터,
$A12+1,
MATCH(I$2,'Follower Ad data'!$6:$6,0))
*$P$11)</f>
        <v/>
      </c>
      <c r="J12" s="338" t="str">
        <f>IF(
$E12="",
"",
INDEX(
광고데이터,
$A12+1,
MATCH(J$2,'Follower Ad data'!$6:$6,0)))</f>
        <v/>
      </c>
      <c r="K12" s="337" t="str">
        <f t="shared" si="0"/>
        <v/>
      </c>
      <c r="L12" s="337" t="str">
        <f t="shared" si="1"/>
        <v/>
      </c>
      <c r="M12" s="295" t="str">
        <f>IF($E$12="","",INDEX('Follower Ad data'!$A$1:$AX$15,14,MATCH(M$2,'Follower Ad data'!$6:$6,0)))</f>
        <v/>
      </c>
      <c r="N12" s="296"/>
      <c r="O12" s="296"/>
    </row>
    <row r="13" spans="1:19">
      <c r="A13" s="332">
        <v>9</v>
      </c>
      <c r="B13" s="333" t="str">
        <f>IF(
'Follower Ad data'!CN15="",
"",
TEXT('Follower Ad data'!CN15,"m/d"))</f>
        <v/>
      </c>
      <c r="C13" s="333" t="str">
        <f>IF('Follower Ad data'!CO15="","",TEXT('Follower Ad data'!CO15,"m/d"))</f>
        <v/>
      </c>
      <c r="D13" s="339"/>
      <c r="E13" s="284"/>
      <c r="F13" s="335" t="str">
        <f>IF($E$13="","",INDEX('Follower Ad data'!$A$1:$AX$15,15,MATCH(F$2,'Follower Ad data'!$6:$6,0))*P11)</f>
        <v/>
      </c>
      <c r="G13" s="336" t="str">
        <f>IF($E$13="","",INDEX('Follower Ad data'!$A$1:$AX$15,15,MATCH(G$2,'Follower Ad data'!$6:$6,0)))</f>
        <v/>
      </c>
      <c r="H13" s="336" t="str">
        <f>IF($E$13="","",INDEX('Follower Ad data'!$A$1:$AX$15,15,MATCH(H$2,'Follower Ad data'!$6:$6,0)))</f>
        <v/>
      </c>
      <c r="I13" s="337" t="str">
        <f>IF(
$E13="",
"",
INDEX(
광고데이터,
$A13+1,
MATCH(I$2,'Follower Ad data'!$6:$6,0))
*$P$11)</f>
        <v/>
      </c>
      <c r="J13" s="338" t="str">
        <f>IF(
$E13="",
"",
INDEX(
광고데이터,
$A13+1,
MATCH(J$2,'Follower Ad data'!$6:$6,0)))</f>
        <v/>
      </c>
      <c r="K13" s="337" t="str">
        <f t="shared" si="0"/>
        <v/>
      </c>
      <c r="L13" s="337" t="str">
        <f t="shared" si="1"/>
        <v/>
      </c>
      <c r="M13" s="295" t="str">
        <f>IF($E$13="","",INDEX('Follower Ad data'!$A$1:$AX$15,15,MATCH(M$2,'Follower Ad data'!$6:$6,0)))</f>
        <v/>
      </c>
      <c r="N13" s="296"/>
      <c r="O13" s="296"/>
    </row>
    <row r="14" spans="1:19" ht="17.25" thickBot="1">
      <c r="A14" s="408" t="s">
        <v>82</v>
      </c>
      <c r="B14" s="408"/>
      <c r="C14" s="408"/>
      <c r="D14" s="408"/>
      <c r="E14" s="409"/>
      <c r="F14" s="340">
        <f>SUM(F5:F13)</f>
        <v>3696362.6000000006</v>
      </c>
      <c r="G14" s="341">
        <f>SUM(G5:G13)</f>
        <v>257747</v>
      </c>
      <c r="H14" s="342">
        <f>SUM(H5:H13)</f>
        <v>4311</v>
      </c>
      <c r="I14" s="343">
        <f>SUM(I5:I13)</f>
        <v>83088.25</v>
      </c>
      <c r="J14" s="344">
        <f>H14/G14</f>
        <v>1.6725703887921099E-2</v>
      </c>
      <c r="K14" s="343">
        <f t="shared" si="0"/>
        <v>857.42579447923924</v>
      </c>
      <c r="L14" s="343">
        <f t="shared" si="1"/>
        <v>15796.42136752137</v>
      </c>
      <c r="M14" s="295">
        <f>SUM(M5:M13)</f>
        <v>234</v>
      </c>
      <c r="N14" s="296"/>
      <c r="O14" s="296"/>
    </row>
    <row r="15" spans="1:19" ht="17.45" customHeight="1"/>
    <row r="17" spans="1:16" ht="17.25">
      <c r="E17" s="293" t="str">
        <f>"("&amp;B1&amp;") 총 지출비용 "&amp;TEXT(F14,"\#,##0")&amp;" / 총 클릭 "&amp;TEXT(H14, "#,##0")&amp;" / 신규 팔로워 "&amp;TEXT(Q4,"#,##0")&amp;" 명"</f>
        <v>(5-6월) 총 지출비용 ₩3,696,363 / 총 클릭 4,311 / 신규 팔로워 468 명</v>
      </c>
    </row>
    <row r="18" spans="1:16" ht="26.25">
      <c r="E18" s="286"/>
    </row>
    <row r="21" spans="1:16" ht="17.25" thickBot="1">
      <c r="A21" t="s">
        <v>950</v>
      </c>
      <c r="G21" t="s">
        <v>930</v>
      </c>
      <c r="H21" t="s">
        <v>931</v>
      </c>
      <c r="I21" t="s">
        <v>932</v>
      </c>
      <c r="K21" t="s">
        <v>938</v>
      </c>
      <c r="L21" t="s">
        <v>933</v>
      </c>
      <c r="M21" t="s">
        <v>925</v>
      </c>
    </row>
    <row r="22" spans="1:16">
      <c r="A22" s="410" t="s">
        <v>811</v>
      </c>
      <c r="B22" s="412" t="s">
        <v>815</v>
      </c>
      <c r="C22" s="413"/>
      <c r="D22" s="404" t="s">
        <v>812</v>
      </c>
      <c r="E22" s="280" t="s">
        <v>814</v>
      </c>
      <c r="F22" s="404" t="s">
        <v>813</v>
      </c>
      <c r="G22" s="404" t="s">
        <v>816</v>
      </c>
      <c r="H22" s="404" t="s">
        <v>926</v>
      </c>
      <c r="I22" s="404" t="s">
        <v>932</v>
      </c>
      <c r="J22" s="279"/>
      <c r="K22" s="404" t="s">
        <v>817</v>
      </c>
      <c r="L22" s="406" t="s">
        <v>818</v>
      </c>
    </row>
    <row r="23" spans="1:16">
      <c r="A23" s="411"/>
      <c r="B23" s="282" t="s">
        <v>820</v>
      </c>
      <c r="C23" s="282" t="s">
        <v>821</v>
      </c>
      <c r="D23" s="405"/>
      <c r="E23" s="282" t="s">
        <v>819</v>
      </c>
      <c r="F23" s="405"/>
      <c r="G23" s="405"/>
      <c r="H23" s="405"/>
      <c r="I23" s="405"/>
      <c r="J23" s="281"/>
      <c r="K23" s="405"/>
      <c r="L23" s="407"/>
    </row>
    <row r="24" spans="1:16">
      <c r="A24" s="345">
        <v>1</v>
      </c>
      <c r="B24" s="346" t="s">
        <v>942</v>
      </c>
      <c r="C24" s="346" t="s">
        <v>943</v>
      </c>
      <c r="D24" s="334" t="s">
        <v>99</v>
      </c>
      <c r="E24" s="283" t="s">
        <v>951</v>
      </c>
      <c r="F24" s="347">
        <v>234015.77500000002</v>
      </c>
      <c r="G24" s="348">
        <v>23038</v>
      </c>
      <c r="H24" s="348">
        <v>173</v>
      </c>
      <c r="I24" s="349">
        <v>10161.375</v>
      </c>
      <c r="J24" s="349">
        <v>7.5100000000000002E-3</v>
      </c>
      <c r="K24" s="347">
        <v>1352.6923410404625</v>
      </c>
      <c r="L24" s="347">
        <v>9750.6572916666682</v>
      </c>
      <c r="M24" s="295">
        <v>24</v>
      </c>
      <c r="P24" s="294" t="s">
        <v>934</v>
      </c>
    </row>
    <row r="25" spans="1:16">
      <c r="A25" s="345">
        <v>2</v>
      </c>
      <c r="B25" s="346" t="s">
        <v>944</v>
      </c>
      <c r="C25" s="346" t="s">
        <v>945</v>
      </c>
      <c r="D25" s="334" t="s">
        <v>99</v>
      </c>
      <c r="E25" s="283" t="s">
        <v>952</v>
      </c>
      <c r="F25" s="347">
        <v>1421790.6500000001</v>
      </c>
      <c r="G25" s="348">
        <v>62823</v>
      </c>
      <c r="H25" s="348">
        <v>1761</v>
      </c>
      <c r="I25" s="349">
        <v>22631.525000000001</v>
      </c>
      <c r="J25" s="349">
        <v>2.8029999999999999E-2</v>
      </c>
      <c r="K25" s="347">
        <v>807.3768597387849</v>
      </c>
      <c r="L25" s="347">
        <v>13803.792718446603</v>
      </c>
      <c r="M25" s="295">
        <v>103</v>
      </c>
    </row>
    <row r="26" spans="1:16">
      <c r="A26" s="345">
        <v>3</v>
      </c>
      <c r="B26" s="346" t="s">
        <v>946</v>
      </c>
      <c r="C26" s="346" t="s">
        <v>947</v>
      </c>
      <c r="D26" s="334" t="s">
        <v>99</v>
      </c>
      <c r="E26" s="283" t="s">
        <v>956</v>
      </c>
      <c r="F26" s="347">
        <v>1090350.0999999999</v>
      </c>
      <c r="G26" s="348">
        <v>24879</v>
      </c>
      <c r="H26" s="348">
        <v>311</v>
      </c>
      <c r="I26" s="349">
        <v>43825.25</v>
      </c>
      <c r="J26" s="349">
        <v>1.2500000000000001E-2</v>
      </c>
      <c r="K26" s="347">
        <v>3505.9488745980702</v>
      </c>
      <c r="L26" s="347">
        <v>43614.003999999994</v>
      </c>
      <c r="M26" s="295">
        <v>25</v>
      </c>
    </row>
    <row r="27" spans="1:16">
      <c r="A27" s="345">
        <v>4</v>
      </c>
      <c r="B27" s="346" t="s">
        <v>948</v>
      </c>
      <c r="C27" s="346" t="s">
        <v>949</v>
      </c>
      <c r="D27" s="334" t="s">
        <v>99</v>
      </c>
      <c r="E27" s="283" t="s">
        <v>953</v>
      </c>
      <c r="F27" s="347">
        <v>950206.07499999995</v>
      </c>
      <c r="G27" s="348">
        <v>147007</v>
      </c>
      <c r="H27" s="348">
        <v>2066</v>
      </c>
      <c r="I27" s="349">
        <v>6470.0999999999995</v>
      </c>
      <c r="J27" s="349">
        <v>1.405E-2</v>
      </c>
      <c r="K27" s="347">
        <v>459.92549612778311</v>
      </c>
      <c r="L27" s="347">
        <v>11587.878963414634</v>
      </c>
      <c r="M27" s="295">
        <v>82</v>
      </c>
    </row>
    <row r="28" spans="1:16">
      <c r="A28" s="345">
        <v>5</v>
      </c>
      <c r="B28" s="346" t="s">
        <v>39</v>
      </c>
      <c r="C28" s="346" t="s">
        <v>39</v>
      </c>
      <c r="D28" s="334"/>
      <c r="E28" s="283"/>
      <c r="F28" s="347" t="s">
        <v>39</v>
      </c>
      <c r="G28" s="348" t="s">
        <v>39</v>
      </c>
      <c r="H28" s="348" t="s">
        <v>39</v>
      </c>
      <c r="I28" s="349" t="s">
        <v>39</v>
      </c>
      <c r="J28" s="349" t="s">
        <v>39</v>
      </c>
      <c r="K28" s="347" t="s">
        <v>39</v>
      </c>
      <c r="L28" s="347" t="s">
        <v>39</v>
      </c>
      <c r="M28" s="295" t="s">
        <v>39</v>
      </c>
    </row>
    <row r="29" spans="1:16">
      <c r="A29" s="345">
        <v>6</v>
      </c>
      <c r="B29" s="346" t="s">
        <v>39</v>
      </c>
      <c r="C29" s="346" t="s">
        <v>39</v>
      </c>
      <c r="D29" s="334"/>
      <c r="E29" s="283"/>
      <c r="F29" s="347" t="s">
        <v>39</v>
      </c>
      <c r="G29" s="348" t="s">
        <v>39</v>
      </c>
      <c r="H29" s="348" t="s">
        <v>39</v>
      </c>
      <c r="I29" s="349" t="s">
        <v>39</v>
      </c>
      <c r="J29" s="349" t="s">
        <v>39</v>
      </c>
      <c r="K29" s="347" t="s">
        <v>39</v>
      </c>
      <c r="L29" s="347" t="s">
        <v>39</v>
      </c>
      <c r="M29" s="295" t="s">
        <v>39</v>
      </c>
    </row>
    <row r="30" spans="1:16">
      <c r="A30" s="345">
        <v>7</v>
      </c>
      <c r="B30" s="346" t="s">
        <v>39</v>
      </c>
      <c r="C30" s="346" t="s">
        <v>39</v>
      </c>
      <c r="D30" s="334"/>
      <c r="E30" s="283"/>
      <c r="F30" s="347" t="s">
        <v>39</v>
      </c>
      <c r="G30" s="348" t="s">
        <v>39</v>
      </c>
      <c r="H30" s="348" t="s">
        <v>39</v>
      </c>
      <c r="I30" s="349" t="s">
        <v>39</v>
      </c>
      <c r="J30" s="349" t="s">
        <v>39</v>
      </c>
      <c r="K30" s="347" t="s">
        <v>39</v>
      </c>
      <c r="L30" s="347" t="s">
        <v>39</v>
      </c>
      <c r="M30" s="295" t="s">
        <v>39</v>
      </c>
    </row>
    <row r="31" spans="1:16">
      <c r="A31" s="345">
        <v>8</v>
      </c>
      <c r="B31" s="346" t="s">
        <v>39</v>
      </c>
      <c r="C31" s="346" t="s">
        <v>39</v>
      </c>
      <c r="D31" s="334"/>
      <c r="E31" s="283"/>
      <c r="F31" s="347" t="s">
        <v>39</v>
      </c>
      <c r="G31" s="348" t="s">
        <v>39</v>
      </c>
      <c r="H31" s="348" t="s">
        <v>39</v>
      </c>
      <c r="I31" s="349" t="s">
        <v>39</v>
      </c>
      <c r="J31" s="349" t="s">
        <v>39</v>
      </c>
      <c r="K31" s="347" t="s">
        <v>39</v>
      </c>
      <c r="L31" s="347" t="s">
        <v>39</v>
      </c>
      <c r="M31" s="295" t="s">
        <v>39</v>
      </c>
    </row>
    <row r="32" spans="1:16">
      <c r="A32" s="345">
        <v>9</v>
      </c>
      <c r="B32" s="346" t="s">
        <v>39</v>
      </c>
      <c r="C32" s="346" t="s">
        <v>39</v>
      </c>
      <c r="D32" s="334"/>
      <c r="E32" s="283"/>
      <c r="F32" s="347" t="s">
        <v>39</v>
      </c>
      <c r="G32" s="348" t="s">
        <v>39</v>
      </c>
      <c r="H32" s="348" t="s">
        <v>39</v>
      </c>
      <c r="I32" s="349" t="s">
        <v>39</v>
      </c>
      <c r="J32" s="349" t="s">
        <v>39</v>
      </c>
      <c r="K32" s="347" t="s">
        <v>39</v>
      </c>
      <c r="L32" s="347" t="s">
        <v>39</v>
      </c>
      <c r="M32" s="295" t="s">
        <v>39</v>
      </c>
    </row>
    <row r="33" spans="1:13" ht="17.25" thickBot="1">
      <c r="A33" s="402" t="s">
        <v>82</v>
      </c>
      <c r="B33" s="402"/>
      <c r="C33" s="402"/>
      <c r="D33" s="402"/>
      <c r="E33" s="403"/>
      <c r="F33" s="350">
        <v>3696362.6000000006</v>
      </c>
      <c r="G33" s="351">
        <v>257747</v>
      </c>
      <c r="H33" s="352">
        <v>4311</v>
      </c>
      <c r="I33" s="353">
        <v>83088.25</v>
      </c>
      <c r="J33" s="353">
        <v>1.6725703887921099E-2</v>
      </c>
      <c r="K33" s="350">
        <v>857.42579447923924</v>
      </c>
      <c r="L33" s="354">
        <v>15796.42136752137</v>
      </c>
      <c r="M33" s="295">
        <v>234</v>
      </c>
    </row>
    <row r="35" spans="1:13">
      <c r="E35" t="s">
        <v>935</v>
      </c>
    </row>
  </sheetData>
  <mergeCells count="21">
    <mergeCell ref="D3:D4"/>
    <mergeCell ref="F3:F4"/>
    <mergeCell ref="B3:C3"/>
    <mergeCell ref="G3:G4"/>
    <mergeCell ref="H3:H4"/>
    <mergeCell ref="A33:E33"/>
    <mergeCell ref="I22:I23"/>
    <mergeCell ref="K22:K23"/>
    <mergeCell ref="L22:L23"/>
    <mergeCell ref="J3:J4"/>
    <mergeCell ref="A14:E14"/>
    <mergeCell ref="I3:I4"/>
    <mergeCell ref="K3:K4"/>
    <mergeCell ref="L3:L4"/>
    <mergeCell ref="A22:A23"/>
    <mergeCell ref="D22:D23"/>
    <mergeCell ref="F22:F23"/>
    <mergeCell ref="B22:C22"/>
    <mergeCell ref="G22:G23"/>
    <mergeCell ref="H22:H23"/>
    <mergeCell ref="A3:A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20</vt:i4>
      </vt:variant>
      <vt:variant>
        <vt:lpstr>이름 지정된 범위</vt:lpstr>
      </vt:variant>
      <vt:variant>
        <vt:i4>1</vt:i4>
      </vt:variant>
    </vt:vector>
  </HeadingPairs>
  <TitlesOfParts>
    <vt:vector size="21" baseType="lpstr">
      <vt:lpstr>월간 HL</vt:lpstr>
      <vt:lpstr>일간 팔로워</vt:lpstr>
      <vt:lpstr>visitors</vt:lpstr>
      <vt:lpstr>일간 PV</vt:lpstr>
      <vt:lpstr>월간 지표비교</vt:lpstr>
      <vt:lpstr>PC PV 월별 비교</vt:lpstr>
      <vt:lpstr>모바일 PV 월별 비교</vt:lpstr>
      <vt:lpstr>contents</vt:lpstr>
      <vt:lpstr>contents 추가정보</vt:lpstr>
      <vt:lpstr>contents(daily)</vt:lpstr>
      <vt:lpstr>contents 장표</vt:lpstr>
      <vt:lpstr>사진추가</vt:lpstr>
      <vt:lpstr>일일 노출,참여</vt:lpstr>
      <vt:lpstr>일일 노출,참여(오가닉)</vt:lpstr>
      <vt:lpstr>지역 data</vt:lpstr>
      <vt:lpstr>경쟁사</vt:lpstr>
      <vt:lpstr>visitor demographic</vt:lpstr>
      <vt:lpstr>KPI</vt:lpstr>
      <vt:lpstr>Follower Ad data</vt:lpstr>
      <vt:lpstr>Follower Ad</vt:lpstr>
      <vt:lpstr>광고데이터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Joon Young Lee</dc:creator>
  <cp:lastModifiedBy>Joon Young Lee</cp:lastModifiedBy>
  <cp:lastPrinted>2024-07-21T08:48:51Z</cp:lastPrinted>
  <dcterms:created xsi:type="dcterms:W3CDTF">2024-07-15T09:03:09Z</dcterms:created>
  <dcterms:modified xsi:type="dcterms:W3CDTF">2024-07-29T03:00:39Z</dcterms:modified>
</cp:coreProperties>
</file>