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ml.chartshapes+xml"/>
  <Override PartName="/xl/drawings/drawing4.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7.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drawings/drawing9.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HOME\OneDrive\바탕 화면\Prain Global\SK hynix\3월\"/>
    </mc:Choice>
  </mc:AlternateContent>
  <xr:revisionPtr revIDLastSave="0" documentId="13_ncr:1_{D1C7AFEA-9359-4E15-A2AA-7199F7117411}" xr6:coauthVersionLast="47" xr6:coauthVersionMax="47" xr10:uidLastSave="{00000000-0000-0000-0000-000000000000}"/>
  <bookViews>
    <workbookView xWindow="-120" yWindow="-120" windowWidth="29040" windowHeight="15720" tabRatio="836" firstSheet="11" activeTab="22" xr2:uid="{00000000-000D-0000-FFFF-FFFF00000000}"/>
  </bookViews>
  <sheets>
    <sheet name="3p" sheetId="1" r:id="rId1"/>
    <sheet name="5p" sheetId="3" r:id="rId2"/>
    <sheet name="followers" sheetId="2" r:id="rId3"/>
    <sheet name="6p" sheetId="4" r:id="rId4"/>
    <sheet name="모바일 PV 월별 비교" sheetId="14" r:id="rId5"/>
    <sheet name="PC PV 월별 비교" sheetId="15" r:id="rId6"/>
    <sheet name="월간비교" sheetId="16" r:id="rId7"/>
    <sheet name="visitors" sheetId="6" r:id="rId8"/>
    <sheet name="지역 data" sheetId="24" r:id="rId9"/>
    <sheet name="Competitors" sheetId="22" r:id="rId10"/>
    <sheet name="contents" sheetId="5" r:id="rId11"/>
    <sheet name="contents 추가정보" sheetId="23" r:id="rId12"/>
    <sheet name="8p" sheetId="7" r:id="rId13"/>
    <sheet name="contents(daily)" sheetId="8" r:id="rId14"/>
    <sheet name="노출,참여 추이" sheetId="17" r:id="rId15"/>
    <sheet name="Visitor Demographic" sheetId="18" r:id="rId16"/>
    <sheet name="영상 콘텐츠 지표" sheetId="19" r:id="rId17"/>
    <sheet name="일일 업로드 현황" sheetId="20" r:id="rId18"/>
    <sheet name="Follower Ad data" sheetId="26" r:id="rId19"/>
    <sheet name="Follower Ad" sheetId="25" r:id="rId20"/>
    <sheet name="X contents" sheetId="27" r:id="rId21"/>
    <sheet name="X contents 추가정보" sheetId="28" r:id="rId22"/>
    <sheet name="X contents 장표" sheetId="29" r:id="rId23"/>
  </sheets>
  <definedNames>
    <definedName name="_xlnm._FilterDatabase" localSheetId="12" hidden="1">'8p'!$B$6:$P$50</definedName>
    <definedName name="_xlnm._FilterDatabase" localSheetId="10" hidden="1">contents!$A$1:$Y$48</definedName>
    <definedName name="_xlnm._FilterDatabase" localSheetId="11" hidden="1">'contents 추가정보'!$A$1:$H$74</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31" i="25" l="1"/>
  <c r="K32" i="25"/>
  <c r="K30" i="25"/>
  <c r="K29" i="25"/>
  <c r="K28" i="25"/>
  <c r="J32" i="25"/>
  <c r="J31" i="25"/>
  <c r="J30" i="25"/>
  <c r="J29" i="25"/>
  <c r="J28" i="25"/>
  <c r="K27" i="25"/>
  <c r="J27" i="25"/>
  <c r="D3" i="29"/>
  <c r="E3" i="29"/>
  <c r="F3" i="29"/>
  <c r="G3" i="29"/>
  <c r="D4" i="29"/>
  <c r="E4" i="29"/>
  <c r="F4" i="29"/>
  <c r="G4" i="29"/>
  <c r="D5" i="29"/>
  <c r="E5" i="29"/>
  <c r="F5" i="29"/>
  <c r="G5" i="29"/>
  <c r="D6" i="29"/>
  <c r="E6" i="29"/>
  <c r="F6" i="29"/>
  <c r="G6" i="29"/>
  <c r="D7" i="29"/>
  <c r="E7" i="29"/>
  <c r="F7" i="29"/>
  <c r="G7" i="29"/>
  <c r="D8" i="29"/>
  <c r="E8" i="29"/>
  <c r="F8" i="29"/>
  <c r="G8" i="29"/>
  <c r="D9" i="29"/>
  <c r="E9" i="29"/>
  <c r="F9" i="29"/>
  <c r="G9" i="29"/>
  <c r="D10" i="29"/>
  <c r="E10" i="29"/>
  <c r="F10" i="29"/>
  <c r="G10" i="29"/>
  <c r="D11" i="29"/>
  <c r="E11" i="29"/>
  <c r="F11" i="29"/>
  <c r="G11" i="29"/>
  <c r="D12" i="29"/>
  <c r="E12" i="29"/>
  <c r="F12" i="29"/>
  <c r="G12" i="29"/>
  <c r="D13" i="29"/>
  <c r="E13" i="29"/>
  <c r="F13" i="29"/>
  <c r="G13" i="29"/>
  <c r="D14" i="29"/>
  <c r="E14" i="29"/>
  <c r="F14" i="29"/>
  <c r="G14" i="29"/>
  <c r="D15" i="29"/>
  <c r="E15" i="29"/>
  <c r="F15" i="29"/>
  <c r="G15" i="29"/>
  <c r="D16" i="29"/>
  <c r="E16" i="29"/>
  <c r="F16" i="29"/>
  <c r="G16" i="29"/>
  <c r="D17" i="29"/>
  <c r="E17" i="29"/>
  <c r="F17" i="29"/>
  <c r="G17" i="29"/>
  <c r="D18" i="29"/>
  <c r="E18" i="29"/>
  <c r="F18" i="29"/>
  <c r="G18" i="29"/>
  <c r="D19" i="29"/>
  <c r="E19" i="29"/>
  <c r="F19" i="29"/>
  <c r="G19" i="29"/>
  <c r="D20" i="29"/>
  <c r="E20" i="29"/>
  <c r="F20" i="29"/>
  <c r="G20" i="29"/>
  <c r="D21" i="29"/>
  <c r="E21" i="29"/>
  <c r="F21" i="29"/>
  <c r="G21" i="29"/>
  <c r="D22" i="29"/>
  <c r="E22" i="29"/>
  <c r="F22" i="29"/>
  <c r="G22" i="29"/>
  <c r="D23" i="29"/>
  <c r="E23" i="29"/>
  <c r="F23" i="29"/>
  <c r="G23" i="29"/>
  <c r="D24" i="29"/>
  <c r="E24" i="29"/>
  <c r="F24" i="29"/>
  <c r="G24" i="29"/>
  <c r="D25" i="29"/>
  <c r="E25" i="29"/>
  <c r="F25" i="29"/>
  <c r="G25" i="29"/>
  <c r="D26" i="29"/>
  <c r="E26" i="29"/>
  <c r="F26" i="29"/>
  <c r="G26" i="29"/>
  <c r="D27" i="29"/>
  <c r="E27" i="29"/>
  <c r="F27" i="29"/>
  <c r="G27" i="29"/>
  <c r="D28" i="29"/>
  <c r="E28" i="29"/>
  <c r="F28" i="29"/>
  <c r="G28" i="29"/>
  <c r="D29" i="29"/>
  <c r="E29" i="29"/>
  <c r="F29" i="29"/>
  <c r="G29" i="29"/>
  <c r="D30" i="29"/>
  <c r="E30" i="29"/>
  <c r="F30" i="29"/>
  <c r="G30" i="29"/>
  <c r="D31" i="29"/>
  <c r="E31" i="29"/>
  <c r="F31" i="29"/>
  <c r="G31" i="29"/>
  <c r="D32" i="29"/>
  <c r="E32" i="29"/>
  <c r="F32" i="29"/>
  <c r="G32" i="29"/>
  <c r="D33" i="29"/>
  <c r="E33" i="29"/>
  <c r="F33" i="29"/>
  <c r="G33" i="29"/>
  <c r="D34" i="29"/>
  <c r="E34" i="29"/>
  <c r="F34" i="29"/>
  <c r="G34" i="29"/>
  <c r="D35" i="29"/>
  <c r="E35" i="29"/>
  <c r="F35" i="29"/>
  <c r="G35" i="29"/>
  <c r="D36" i="29"/>
  <c r="E36" i="29"/>
  <c r="F36" i="29"/>
  <c r="G36" i="29"/>
  <c r="D37" i="29"/>
  <c r="E37" i="29"/>
  <c r="F37" i="29"/>
  <c r="G37" i="29"/>
  <c r="D38" i="29"/>
  <c r="E38" i="29"/>
  <c r="F38" i="29"/>
  <c r="G38" i="29"/>
  <c r="D39" i="29"/>
  <c r="E39" i="29"/>
  <c r="F39" i="29"/>
  <c r="G39" i="29"/>
  <c r="D40" i="29"/>
  <c r="E40" i="29"/>
  <c r="F40" i="29"/>
  <c r="G40" i="29"/>
  <c r="D41" i="29"/>
  <c r="E41" i="29"/>
  <c r="F41" i="29"/>
  <c r="G41" i="29"/>
  <c r="D42" i="29"/>
  <c r="E42" i="29"/>
  <c r="F42" i="29"/>
  <c r="G42" i="29"/>
  <c r="D43" i="29"/>
  <c r="E43" i="29"/>
  <c r="F43" i="29"/>
  <c r="G43" i="29"/>
  <c r="D44" i="29"/>
  <c r="E44" i="29"/>
  <c r="F44" i="29"/>
  <c r="G44" i="29"/>
  <c r="D45" i="29"/>
  <c r="E45" i="29"/>
  <c r="F45" i="29"/>
  <c r="G45" i="29"/>
  <c r="D46" i="29"/>
  <c r="E46" i="29"/>
  <c r="F46" i="29"/>
  <c r="G46" i="29"/>
  <c r="D47" i="29"/>
  <c r="E47" i="29"/>
  <c r="F47" i="29"/>
  <c r="G47" i="29"/>
  <c r="D48" i="29"/>
  <c r="E48" i="29"/>
  <c r="F48" i="29"/>
  <c r="G48" i="29"/>
  <c r="D49" i="29"/>
  <c r="E49" i="29"/>
  <c r="F49" i="29"/>
  <c r="G49" i="29"/>
  <c r="D50" i="29"/>
  <c r="E50" i="29"/>
  <c r="F50" i="29"/>
  <c r="G50" i="29"/>
  <c r="G2" i="29"/>
  <c r="F2" i="29"/>
  <c r="E2" i="29"/>
  <c r="D2" i="29"/>
  <c r="H3" i="29"/>
  <c r="I3" i="29"/>
  <c r="J3" i="29"/>
  <c r="H4" i="29"/>
  <c r="I4" i="29"/>
  <c r="J4" i="29"/>
  <c r="H5" i="29"/>
  <c r="I5" i="29"/>
  <c r="J5" i="29"/>
  <c r="H6" i="29"/>
  <c r="I6" i="29"/>
  <c r="J6" i="29"/>
  <c r="H7" i="29"/>
  <c r="I7" i="29"/>
  <c r="J7" i="29"/>
  <c r="H8" i="29"/>
  <c r="I8" i="29"/>
  <c r="J8" i="29"/>
  <c r="H9" i="29"/>
  <c r="I9" i="29"/>
  <c r="J9" i="29"/>
  <c r="H10" i="29"/>
  <c r="I10" i="29"/>
  <c r="J10" i="29"/>
  <c r="H11" i="29"/>
  <c r="I11" i="29"/>
  <c r="J11" i="29"/>
  <c r="H12" i="29"/>
  <c r="I12" i="29"/>
  <c r="J12" i="29"/>
  <c r="H13" i="29"/>
  <c r="I13" i="29"/>
  <c r="J13" i="29"/>
  <c r="H14" i="29"/>
  <c r="I14" i="29"/>
  <c r="J14" i="29"/>
  <c r="H15" i="29"/>
  <c r="I15" i="29"/>
  <c r="J15" i="29"/>
  <c r="H16" i="29"/>
  <c r="I16" i="29"/>
  <c r="J16" i="29"/>
  <c r="H17" i="29"/>
  <c r="I17" i="29"/>
  <c r="J17" i="29"/>
  <c r="H18" i="29"/>
  <c r="I18" i="29"/>
  <c r="J18" i="29"/>
  <c r="H19" i="29"/>
  <c r="I19" i="29"/>
  <c r="J19" i="29"/>
  <c r="H20" i="29"/>
  <c r="I20" i="29"/>
  <c r="J20" i="29"/>
  <c r="H21" i="29"/>
  <c r="I21" i="29"/>
  <c r="J21" i="29"/>
  <c r="H22" i="29"/>
  <c r="I22" i="29"/>
  <c r="J22" i="29"/>
  <c r="H23" i="29"/>
  <c r="I23" i="29"/>
  <c r="J23" i="29"/>
  <c r="H24" i="29"/>
  <c r="I24" i="29"/>
  <c r="J24" i="29"/>
  <c r="H25" i="29"/>
  <c r="I25" i="29"/>
  <c r="J25" i="29"/>
  <c r="H26" i="29"/>
  <c r="I26" i="29"/>
  <c r="J26" i="29"/>
  <c r="H27" i="29"/>
  <c r="I27" i="29"/>
  <c r="J27" i="29"/>
  <c r="H28" i="29"/>
  <c r="I28" i="29"/>
  <c r="J28" i="29"/>
  <c r="H29" i="29"/>
  <c r="I29" i="29"/>
  <c r="J29" i="29"/>
  <c r="H30" i="29"/>
  <c r="I30" i="29"/>
  <c r="J30" i="29"/>
  <c r="H31" i="29"/>
  <c r="I31" i="29"/>
  <c r="J31" i="29"/>
  <c r="H32" i="29"/>
  <c r="I32" i="29"/>
  <c r="J32" i="29"/>
  <c r="H33" i="29"/>
  <c r="I33" i="29"/>
  <c r="J33" i="29"/>
  <c r="H34" i="29"/>
  <c r="I34" i="29"/>
  <c r="J34" i="29"/>
  <c r="H35" i="29"/>
  <c r="I35" i="29"/>
  <c r="J35" i="29"/>
  <c r="H36" i="29"/>
  <c r="I36" i="29"/>
  <c r="J36" i="29"/>
  <c r="H37" i="29"/>
  <c r="I37" i="29"/>
  <c r="J37" i="29"/>
  <c r="H38" i="29"/>
  <c r="I38" i="29"/>
  <c r="J38" i="29"/>
  <c r="H39" i="29"/>
  <c r="I39" i="29"/>
  <c r="J39" i="29"/>
  <c r="H40" i="29"/>
  <c r="I40" i="29"/>
  <c r="J40" i="29"/>
  <c r="H41" i="29"/>
  <c r="I41" i="29"/>
  <c r="J41" i="29"/>
  <c r="H42" i="29"/>
  <c r="I42" i="29"/>
  <c r="J42" i="29"/>
  <c r="H43" i="29"/>
  <c r="I43" i="29"/>
  <c r="J43" i="29"/>
  <c r="H44" i="29"/>
  <c r="I44" i="29"/>
  <c r="J44" i="29"/>
  <c r="H45" i="29"/>
  <c r="I45" i="29"/>
  <c r="J45" i="29"/>
  <c r="H46" i="29"/>
  <c r="I46" i="29"/>
  <c r="J46" i="29"/>
  <c r="H47" i="29"/>
  <c r="I47" i="29"/>
  <c r="J47" i="29"/>
  <c r="H48" i="29"/>
  <c r="I48" i="29"/>
  <c r="J48" i="29"/>
  <c r="H49" i="29"/>
  <c r="I49" i="29"/>
  <c r="J49" i="29"/>
  <c r="H50" i="29"/>
  <c r="I50" i="29"/>
  <c r="J50" i="29"/>
  <c r="J2" i="29"/>
  <c r="I2" i="29"/>
  <c r="H2" i="29"/>
  <c r="C3" i="29"/>
  <c r="C4" i="29"/>
  <c r="C5" i="29"/>
  <c r="C6" i="29"/>
  <c r="C7" i="29"/>
  <c r="C8" i="29"/>
  <c r="C9" i="29"/>
  <c r="C10" i="29"/>
  <c r="C11" i="29"/>
  <c r="C12" i="29"/>
  <c r="C13" i="29"/>
  <c r="C14" i="29"/>
  <c r="C15" i="29"/>
  <c r="C16" i="29"/>
  <c r="C17" i="29"/>
  <c r="C18" i="29"/>
  <c r="C19" i="29"/>
  <c r="C20" i="29"/>
  <c r="C21" i="29"/>
  <c r="C22" i="29"/>
  <c r="C23" i="29"/>
  <c r="C24" i="29"/>
  <c r="C25" i="29"/>
  <c r="C26" i="29"/>
  <c r="C27" i="29"/>
  <c r="C28" i="29"/>
  <c r="C29" i="29"/>
  <c r="C30" i="29"/>
  <c r="C31" i="29"/>
  <c r="C32" i="29"/>
  <c r="C33" i="29"/>
  <c r="C34" i="29"/>
  <c r="C35" i="29"/>
  <c r="C36" i="29"/>
  <c r="C37" i="29"/>
  <c r="C38" i="29"/>
  <c r="C39" i="29"/>
  <c r="C40" i="29"/>
  <c r="C41" i="29"/>
  <c r="C42" i="29"/>
  <c r="C43" i="29"/>
  <c r="C44" i="29"/>
  <c r="C45" i="29"/>
  <c r="C46" i="29"/>
  <c r="C47" i="29"/>
  <c r="C48" i="29"/>
  <c r="C49" i="29"/>
  <c r="C50" i="29"/>
  <c r="C2" i="29"/>
  <c r="B3" i="29"/>
  <c r="B4" i="29"/>
  <c r="B5" i="29"/>
  <c r="B6" i="29"/>
  <c r="B7" i="29"/>
  <c r="B8" i="29"/>
  <c r="B9" i="29"/>
  <c r="B10" i="29"/>
  <c r="B11" i="29"/>
  <c r="B12" i="29"/>
  <c r="B13" i="29"/>
  <c r="B14" i="29"/>
  <c r="B15" i="29"/>
  <c r="B16" i="29"/>
  <c r="B17" i="29"/>
  <c r="B18" i="29"/>
  <c r="B19" i="29"/>
  <c r="B20" i="29"/>
  <c r="B21" i="29"/>
  <c r="B22" i="29"/>
  <c r="B23" i="29"/>
  <c r="B24" i="29"/>
  <c r="B25" i="29"/>
  <c r="B26" i="29"/>
  <c r="B27" i="29"/>
  <c r="B28" i="29"/>
  <c r="B29" i="29"/>
  <c r="B30" i="29"/>
  <c r="B31" i="29"/>
  <c r="B32" i="29"/>
  <c r="B33" i="29"/>
  <c r="B34" i="29"/>
  <c r="B35" i="29"/>
  <c r="B36" i="29"/>
  <c r="B37" i="29"/>
  <c r="B38" i="29"/>
  <c r="B39" i="29"/>
  <c r="B40" i="29"/>
  <c r="B41" i="29"/>
  <c r="B42" i="29"/>
  <c r="B43" i="29"/>
  <c r="B44" i="29"/>
  <c r="B45" i="29"/>
  <c r="B46" i="29"/>
  <c r="B47" i="29"/>
  <c r="B48" i="29"/>
  <c r="B49" i="29"/>
  <c r="B50" i="29"/>
  <c r="B2" i="29"/>
  <c r="H3" i="28"/>
  <c r="H4" i="28"/>
  <c r="H5" i="28"/>
  <c r="H6" i="28"/>
  <c r="H7" i="28"/>
  <c r="H8" i="28"/>
  <c r="H9" i="28"/>
  <c r="H10" i="28"/>
  <c r="H11" i="28"/>
  <c r="H12" i="28"/>
  <c r="H13" i="28"/>
  <c r="H14" i="28"/>
  <c r="H15" i="28"/>
  <c r="H16" i="28"/>
  <c r="H17" i="28"/>
  <c r="H18" i="28"/>
  <c r="H19" i="28"/>
  <c r="H20" i="28"/>
  <c r="H21" i="28"/>
  <c r="H22" i="28"/>
  <c r="H23" i="28"/>
  <c r="H24" i="28"/>
  <c r="H25" i="28"/>
  <c r="H26" i="28"/>
  <c r="H27" i="28"/>
  <c r="H28" i="28"/>
  <c r="H29" i="28"/>
  <c r="H30" i="28"/>
  <c r="H31" i="28"/>
  <c r="H32" i="28"/>
  <c r="H33" i="28"/>
  <c r="H34" i="28"/>
  <c r="H35" i="28"/>
  <c r="H36" i="28"/>
  <c r="H37" i="28"/>
  <c r="H38" i="28"/>
  <c r="H39" i="28"/>
  <c r="H40" i="28"/>
  <c r="H41" i="28"/>
  <c r="H42" i="28"/>
  <c r="H43" i="28"/>
  <c r="H44" i="28"/>
  <c r="H45" i="28"/>
  <c r="H46" i="28"/>
  <c r="H47" i="28"/>
  <c r="H48" i="28"/>
  <c r="H49" i="28"/>
  <c r="H50" i="28"/>
  <c r="H2" i="28"/>
  <c r="B3" i="28"/>
  <c r="B4" i="28"/>
  <c r="B5" i="28"/>
  <c r="B6" i="28"/>
  <c r="B7" i="28"/>
  <c r="B8" i="28"/>
  <c r="B9" i="28"/>
  <c r="B10" i="28"/>
  <c r="B11" i="28"/>
  <c r="B12" i="28"/>
  <c r="B13" i="28"/>
  <c r="B14" i="28"/>
  <c r="B15" i="28"/>
  <c r="B16" i="28"/>
  <c r="B17" i="28"/>
  <c r="B18" i="28"/>
  <c r="B19" i="28"/>
  <c r="B20" i="28"/>
  <c r="B21" i="28"/>
  <c r="B22" i="28"/>
  <c r="B23" i="28"/>
  <c r="B24" i="28"/>
  <c r="B25" i="28"/>
  <c r="B26" i="28"/>
  <c r="B27" i="28"/>
  <c r="B28" i="28"/>
  <c r="B29" i="28"/>
  <c r="B30" i="28"/>
  <c r="B31" i="28"/>
  <c r="B32" i="28"/>
  <c r="B33" i="28"/>
  <c r="B34" i="28"/>
  <c r="B35" i="28"/>
  <c r="B36" i="28"/>
  <c r="B37" i="28"/>
  <c r="B38" i="28"/>
  <c r="B39" i="28"/>
  <c r="B40" i="28"/>
  <c r="B41" i="28"/>
  <c r="B42" i="28"/>
  <c r="B43" i="28"/>
  <c r="B44" i="28"/>
  <c r="B45" i="28"/>
  <c r="B46" i="28"/>
  <c r="B47" i="28"/>
  <c r="B48" i="28"/>
  <c r="B49" i="28"/>
  <c r="B50" i="28"/>
  <c r="B2" i="28"/>
  <c r="AS3" i="27"/>
  <c r="AS4" i="27"/>
  <c r="AS5" i="27"/>
  <c r="AS6" i="27"/>
  <c r="AS7" i="27"/>
  <c r="AS8" i="27"/>
  <c r="AS9" i="27"/>
  <c r="AS10" i="27"/>
  <c r="AS11" i="27"/>
  <c r="AS12" i="27"/>
  <c r="AS13" i="27"/>
  <c r="AS14" i="27"/>
  <c r="AS15" i="27"/>
  <c r="AS16" i="27"/>
  <c r="AS17" i="27"/>
  <c r="AS18" i="27"/>
  <c r="AS19" i="27"/>
  <c r="AS20" i="27"/>
  <c r="AS21" i="27"/>
  <c r="AS22" i="27"/>
  <c r="AS23" i="27"/>
  <c r="AS24" i="27"/>
  <c r="AS25" i="27"/>
  <c r="AS26" i="27"/>
  <c r="AS27" i="27"/>
  <c r="AS28" i="27"/>
  <c r="AS29" i="27"/>
  <c r="AS30" i="27"/>
  <c r="AS31" i="27"/>
  <c r="AS32" i="27"/>
  <c r="AS33" i="27"/>
  <c r="AS34" i="27"/>
  <c r="AS2" i="27"/>
  <c r="AR3" i="27"/>
  <c r="AR4" i="27"/>
  <c r="AR5" i="27"/>
  <c r="AR6" i="27"/>
  <c r="AR7" i="27"/>
  <c r="AR8" i="27"/>
  <c r="AR9" i="27"/>
  <c r="AR10" i="27"/>
  <c r="AR11" i="27"/>
  <c r="AR12" i="27"/>
  <c r="AR13" i="27"/>
  <c r="AR14" i="27"/>
  <c r="AR15" i="27"/>
  <c r="AR16" i="27"/>
  <c r="AR17" i="27"/>
  <c r="AR18" i="27"/>
  <c r="AR19" i="27"/>
  <c r="AR20" i="27"/>
  <c r="AR21" i="27"/>
  <c r="AR22" i="27"/>
  <c r="AR23" i="27"/>
  <c r="AR24" i="27"/>
  <c r="AR25" i="27"/>
  <c r="AR26" i="27"/>
  <c r="AR27" i="27"/>
  <c r="AR28" i="27"/>
  <c r="AR29" i="27"/>
  <c r="AR30" i="27"/>
  <c r="AR31" i="27"/>
  <c r="AR32" i="27"/>
  <c r="AR33" i="27"/>
  <c r="AR34" i="27"/>
  <c r="AR2" i="27"/>
  <c r="K26" i="25"/>
  <c r="K25" i="25"/>
  <c r="K24" i="25"/>
  <c r="J26" i="25"/>
  <c r="J25" i="25"/>
  <c r="J24" i="25"/>
  <c r="D17" i="25"/>
  <c r="C13" i="25"/>
  <c r="C12" i="25"/>
  <c r="C31" i="25" s="1"/>
  <c r="C11" i="25"/>
  <c r="C10" i="25"/>
  <c r="C9" i="25"/>
  <c r="C8" i="25"/>
  <c r="C27" i="25" s="1"/>
  <c r="C7" i="25"/>
  <c r="C6" i="25"/>
  <c r="C25" i="25" s="1"/>
  <c r="C5" i="25"/>
  <c r="P25" i="22"/>
  <c r="P26" i="22"/>
  <c r="P27" i="22"/>
  <c r="P28" i="22"/>
  <c r="P29" i="22"/>
  <c r="P30" i="22"/>
  <c r="P31" i="22"/>
  <c r="P32" i="22"/>
  <c r="P33" i="22"/>
  <c r="P24" i="22"/>
  <c r="I4" i="22"/>
  <c r="I5" i="22"/>
  <c r="I6" i="22"/>
  <c r="I7" i="22"/>
  <c r="I8" i="22"/>
  <c r="I9" i="22"/>
  <c r="I10" i="22"/>
  <c r="I11" i="22"/>
  <c r="I12" i="22"/>
  <c r="I13" i="22"/>
  <c r="I14" i="22"/>
  <c r="I15" i="22"/>
  <c r="I16" i="22"/>
  <c r="I17" i="22"/>
  <c r="I18" i="22"/>
  <c r="I19" i="22"/>
  <c r="I20" i="22"/>
  <c r="I3" i="22"/>
  <c r="A11" i="3"/>
  <c r="W6" i="22"/>
  <c r="W7" i="22"/>
  <c r="W8" i="22"/>
  <c r="W9" i="22"/>
  <c r="W10" i="22"/>
  <c r="W11" i="22"/>
  <c r="W12" i="22"/>
  <c r="W13" i="22"/>
  <c r="W14" i="22"/>
  <c r="W5" i="22"/>
  <c r="V14" i="22"/>
  <c r="V13" i="22"/>
  <c r="V12" i="22"/>
  <c r="V11" i="22"/>
  <c r="V10" i="22"/>
  <c r="V9" i="22"/>
  <c r="V8" i="22"/>
  <c r="V7" i="22"/>
  <c r="V6" i="22"/>
  <c r="V5" i="22"/>
  <c r="C29" i="25"/>
  <c r="BH45" i="26"/>
  <c r="BF45" i="26" s="1"/>
  <c r="BG45" i="26"/>
  <c r="BE45" i="26" s="1"/>
  <c r="BH44" i="26"/>
  <c r="BF44" i="26" s="1"/>
  <c r="BG44" i="26"/>
  <c r="BE44" i="26" s="1"/>
  <c r="BH43" i="26"/>
  <c r="BF43" i="26" s="1"/>
  <c r="BG43" i="26"/>
  <c r="BE43" i="26" s="1"/>
  <c r="BH42" i="26"/>
  <c r="BF42" i="26" s="1"/>
  <c r="BG42" i="26"/>
  <c r="BE42" i="26" s="1"/>
  <c r="BH41" i="26"/>
  <c r="BF41" i="26" s="1"/>
  <c r="BG41" i="26"/>
  <c r="BE41" i="26" s="1"/>
  <c r="BH40" i="26"/>
  <c r="BF40" i="26" s="1"/>
  <c r="BG40" i="26"/>
  <c r="BE40" i="26" s="1"/>
  <c r="BH39" i="26"/>
  <c r="BF39" i="26" s="1"/>
  <c r="BG39" i="26"/>
  <c r="BE39" i="26" s="1"/>
  <c r="BH38" i="26"/>
  <c r="BF38" i="26" s="1"/>
  <c r="BG38" i="26"/>
  <c r="BE38" i="26" s="1"/>
  <c r="BH37" i="26"/>
  <c r="BF37" i="26" s="1"/>
  <c r="BG37" i="26"/>
  <c r="BE37" i="26" s="1"/>
  <c r="BH36" i="26"/>
  <c r="BF36" i="26" s="1"/>
  <c r="BG36" i="26"/>
  <c r="BE36" i="26" s="1"/>
  <c r="BH35" i="26"/>
  <c r="BF35" i="26" s="1"/>
  <c r="BG35" i="26"/>
  <c r="BE35" i="26" s="1"/>
  <c r="BH34" i="26"/>
  <c r="BF34" i="26" s="1"/>
  <c r="BG34" i="26"/>
  <c r="BE34" i="26" s="1"/>
  <c r="BH33" i="26"/>
  <c r="BF33" i="26" s="1"/>
  <c r="BG33" i="26"/>
  <c r="BE33" i="26" s="1"/>
  <c r="BH32" i="26"/>
  <c r="BF32" i="26" s="1"/>
  <c r="BG32" i="26"/>
  <c r="BE32" i="26" s="1"/>
  <c r="BH31" i="26"/>
  <c r="BF31" i="26" s="1"/>
  <c r="BG31" i="26"/>
  <c r="BE31" i="26" s="1"/>
  <c r="BH30" i="26"/>
  <c r="BF30" i="26" s="1"/>
  <c r="BG30" i="26"/>
  <c r="BE30" i="26" s="1"/>
  <c r="BH29" i="26"/>
  <c r="BF29" i="26" s="1"/>
  <c r="BG29" i="26"/>
  <c r="BE29" i="26" s="1"/>
  <c r="BH28" i="26"/>
  <c r="BF28" i="26" s="1"/>
  <c r="BG28" i="26"/>
  <c r="BE28" i="26" s="1"/>
  <c r="BH27" i="26"/>
  <c r="BF27" i="26" s="1"/>
  <c r="BG27" i="26"/>
  <c r="BE27" i="26" s="1"/>
  <c r="BH26" i="26"/>
  <c r="BF26" i="26" s="1"/>
  <c r="BG26" i="26"/>
  <c r="BE26" i="26" s="1"/>
  <c r="BH25" i="26"/>
  <c r="BF25" i="26" s="1"/>
  <c r="BG25" i="26"/>
  <c r="BE25" i="26" s="1"/>
  <c r="BH24" i="26"/>
  <c r="BF24" i="26" s="1"/>
  <c r="BG24" i="26"/>
  <c r="BE24" i="26" s="1"/>
  <c r="BH23" i="26"/>
  <c r="BF23" i="26" s="1"/>
  <c r="BG23" i="26"/>
  <c r="BE23" i="26" s="1"/>
  <c r="BH22" i="26"/>
  <c r="BF22" i="26" s="1"/>
  <c r="BG22" i="26"/>
  <c r="BE22" i="26" s="1"/>
  <c r="BH21" i="26"/>
  <c r="BF21" i="26" s="1"/>
  <c r="BG21" i="26"/>
  <c r="BE21" i="26" s="1"/>
  <c r="BH20" i="26"/>
  <c r="BF20" i="26" s="1"/>
  <c r="BG20" i="26"/>
  <c r="BE20" i="26" s="1"/>
  <c r="BH19" i="26"/>
  <c r="BF19" i="26" s="1"/>
  <c r="BG19" i="26"/>
  <c r="BE19" i="26" s="1"/>
  <c r="BH18" i="26"/>
  <c r="BF18" i="26" s="1"/>
  <c r="BG18" i="26"/>
  <c r="BE18" i="26" s="1"/>
  <c r="BH17" i="26"/>
  <c r="BF17" i="26" s="1"/>
  <c r="BG17" i="26"/>
  <c r="BE17" i="26" s="1"/>
  <c r="BH16" i="26"/>
  <c r="BF16" i="26" s="1"/>
  <c r="BG16" i="26"/>
  <c r="BE16" i="26" s="1"/>
  <c r="BH15" i="26"/>
  <c r="BF15" i="26" s="1"/>
  <c r="BG15" i="26"/>
  <c r="BE15" i="26" s="1"/>
  <c r="BH14" i="26"/>
  <c r="BG14" i="26"/>
  <c r="BH13" i="26"/>
  <c r="BF13" i="26" s="1"/>
  <c r="BG13" i="26"/>
  <c r="BE13" i="26" s="1"/>
  <c r="BH12" i="26"/>
  <c r="BG12" i="26"/>
  <c r="BE12" i="26" s="1"/>
  <c r="BH11" i="26"/>
  <c r="BF11" i="26" s="1"/>
  <c r="BG11" i="26"/>
  <c r="BE11" i="26" s="1"/>
  <c r="BH10" i="26"/>
  <c r="BF10" i="26" s="1"/>
  <c r="BG10" i="26"/>
  <c r="BH9" i="26"/>
  <c r="BF9" i="26" s="1"/>
  <c r="BG9" i="26"/>
  <c r="BH8" i="26"/>
  <c r="BG8" i="26"/>
  <c r="BE8" i="26" s="1"/>
  <c r="BH7" i="26"/>
  <c r="BF7" i="26" s="1"/>
  <c r="BG7" i="26"/>
  <c r="BE7" i="26" s="1"/>
  <c r="I32" i="25"/>
  <c r="D32" i="25"/>
  <c r="B32" i="25"/>
  <c r="D31" i="25"/>
  <c r="B31" i="25"/>
  <c r="I30" i="25"/>
  <c r="D30" i="25"/>
  <c r="B30" i="25"/>
  <c r="D29" i="25"/>
  <c r="B29" i="25"/>
  <c r="I28" i="25"/>
  <c r="D28" i="25"/>
  <c r="B28" i="25"/>
  <c r="D27" i="25"/>
  <c r="B27" i="25"/>
  <c r="D26" i="25"/>
  <c r="B26" i="25"/>
  <c r="D25" i="25"/>
  <c r="B25" i="25"/>
  <c r="D24" i="25"/>
  <c r="B24" i="25"/>
  <c r="I13" i="25"/>
  <c r="J13" i="25" s="1"/>
  <c r="H13" i="25"/>
  <c r="H32" i="25" s="1"/>
  <c r="G13" i="25"/>
  <c r="G32" i="25" s="1"/>
  <c r="I12" i="25"/>
  <c r="J12" i="25" s="1"/>
  <c r="H12" i="25"/>
  <c r="H31" i="25" s="1"/>
  <c r="G12" i="25"/>
  <c r="G31" i="25" s="1"/>
  <c r="I11" i="25"/>
  <c r="J11" i="25" s="1"/>
  <c r="H11" i="25"/>
  <c r="H30" i="25" s="1"/>
  <c r="G11" i="25"/>
  <c r="G30" i="25" s="1"/>
  <c r="I10" i="25"/>
  <c r="J10" i="25" s="1"/>
  <c r="H10" i="25"/>
  <c r="H29" i="25" s="1"/>
  <c r="G10" i="25"/>
  <c r="G29" i="25" s="1"/>
  <c r="I9" i="25"/>
  <c r="J9" i="25" s="1"/>
  <c r="H9" i="25"/>
  <c r="H28" i="25" s="1"/>
  <c r="G9" i="25"/>
  <c r="G28" i="25" s="1"/>
  <c r="I8" i="25"/>
  <c r="J8" i="25" s="1"/>
  <c r="H8" i="25"/>
  <c r="H27" i="25" s="1"/>
  <c r="G8" i="25"/>
  <c r="G27" i="25" s="1"/>
  <c r="I7" i="25"/>
  <c r="J7" i="25" s="1"/>
  <c r="H7" i="25"/>
  <c r="H26" i="25" s="1"/>
  <c r="G7" i="25"/>
  <c r="G26" i="25" s="1"/>
  <c r="I6" i="25"/>
  <c r="H6" i="25"/>
  <c r="H25" i="25" s="1"/>
  <c r="G6" i="25"/>
  <c r="G25" i="25" s="1"/>
  <c r="I5" i="25"/>
  <c r="H5" i="25"/>
  <c r="H24" i="25" s="1"/>
  <c r="G5" i="25"/>
  <c r="BE14" i="26" l="1"/>
  <c r="E12" i="25" s="1"/>
  <c r="E31" i="25" s="1"/>
  <c r="BE10" i="26"/>
  <c r="E8" i="25" s="1"/>
  <c r="E27" i="25" s="1"/>
  <c r="BF14" i="26"/>
  <c r="F12" i="25" s="1"/>
  <c r="F31" i="25" s="1"/>
  <c r="I26" i="25"/>
  <c r="E6" i="25"/>
  <c r="E25" i="25" s="1"/>
  <c r="E10" i="25"/>
  <c r="E29" i="25" s="1"/>
  <c r="BE9" i="26"/>
  <c r="E7" i="25" s="1"/>
  <c r="E26" i="25" s="1"/>
  <c r="E11" i="25"/>
  <c r="E30" i="25" s="1"/>
  <c r="F8" i="25"/>
  <c r="F27" i="25" s="1"/>
  <c r="BF12" i="26"/>
  <c r="F10" i="25" s="1"/>
  <c r="F29" i="25" s="1"/>
  <c r="BF8" i="26"/>
  <c r="F6" i="25" s="1"/>
  <c r="F25" i="25" s="1"/>
  <c r="F7" i="25"/>
  <c r="F26" i="25" s="1"/>
  <c r="F11" i="25"/>
  <c r="F30" i="25" s="1"/>
  <c r="F9" i="25"/>
  <c r="F28" i="25" s="1"/>
  <c r="F13" i="25"/>
  <c r="F32" i="25" s="1"/>
  <c r="E9" i="25"/>
  <c r="E28" i="25" s="1"/>
  <c r="E13" i="25"/>
  <c r="E32" i="25" s="1"/>
  <c r="E5" i="25"/>
  <c r="E24" i="25" s="1"/>
  <c r="F5" i="25"/>
  <c r="F24" i="25" s="1"/>
  <c r="I14" i="25"/>
  <c r="M4" i="25" s="1"/>
  <c r="G14" i="25"/>
  <c r="J6" i="25"/>
  <c r="K7" i="25"/>
  <c r="K11" i="25"/>
  <c r="G24" i="25"/>
  <c r="I24" i="25" s="1"/>
  <c r="K5" i="25"/>
  <c r="K13" i="25"/>
  <c r="K9" i="25"/>
  <c r="H33" i="25"/>
  <c r="I25" i="25"/>
  <c r="C26" i="25"/>
  <c r="C28" i="25"/>
  <c r="C32" i="25"/>
  <c r="J5" i="25"/>
  <c r="H14" i="25"/>
  <c r="C14" i="25"/>
  <c r="C24" i="25"/>
  <c r="I27" i="25"/>
  <c r="I29" i="25"/>
  <c r="C30" i="25"/>
  <c r="I31" i="25"/>
  <c r="K6" i="25"/>
  <c r="K8" i="25"/>
  <c r="K10" i="25"/>
  <c r="K12" i="25"/>
  <c r="G33" i="25" l="1"/>
  <c r="I33" i="25" s="1"/>
  <c r="J14" i="25"/>
  <c r="N4" i="25" s="1"/>
  <c r="K14" i="25"/>
  <c r="O4" i="25" s="1"/>
  <c r="C33" i="25"/>
  <c r="K33" i="25" l="1"/>
  <c r="J33" i="25"/>
  <c r="G12" i="1" l="1"/>
  <c r="O29" i="22"/>
  <c r="Z34" i="5"/>
  <c r="O25" i="22" l="1"/>
  <c r="O32" i="22"/>
  <c r="O28" i="22"/>
  <c r="O31" i="22"/>
  <c r="O27" i="22"/>
  <c r="O33" i="22"/>
  <c r="O24" i="22"/>
  <c r="O30" i="22"/>
  <c r="O26" i="22"/>
  <c r="AC19" i="5"/>
  <c r="AC34" i="5"/>
  <c r="AC39" i="5"/>
  <c r="AC40" i="5"/>
  <c r="AC41" i="5"/>
  <c r="AC42" i="5"/>
  <c r="AC43" i="5"/>
  <c r="AC44" i="5"/>
  <c r="AC45" i="5"/>
  <c r="AC46" i="5"/>
  <c r="AC47" i="5"/>
  <c r="AC48" i="5"/>
  <c r="Z39" i="5"/>
  <c r="Z38" i="5"/>
  <c r="AC38" i="5" s="1"/>
  <c r="Z37" i="5"/>
  <c r="AC37" i="5" s="1"/>
  <c r="Z36" i="5"/>
  <c r="AC36" i="5" s="1"/>
  <c r="Z35" i="5"/>
  <c r="AC35" i="5" s="1"/>
  <c r="Z33" i="5"/>
  <c r="AC33" i="5" s="1"/>
  <c r="Z32" i="5"/>
  <c r="AC32" i="5" s="1"/>
  <c r="Z31" i="5"/>
  <c r="AC31" i="5" s="1"/>
  <c r="Z30" i="5"/>
  <c r="AC30" i="5" s="1"/>
  <c r="Z29" i="5"/>
  <c r="AC29" i="5" s="1"/>
  <c r="Z28" i="5"/>
  <c r="AB28" i="5" s="1"/>
  <c r="Z27" i="5"/>
  <c r="AB27" i="5" s="1"/>
  <c r="Z26" i="5"/>
  <c r="AC26" i="5" s="1"/>
  <c r="Z25" i="5"/>
  <c r="AC25" i="5" s="1"/>
  <c r="Z24" i="5"/>
  <c r="AC24" i="5" s="1"/>
  <c r="Z23" i="5"/>
  <c r="AC23" i="5" s="1"/>
  <c r="Z22" i="5"/>
  <c r="AC22" i="5" s="1"/>
  <c r="Z21" i="5"/>
  <c r="AC21" i="5" s="1"/>
  <c r="Z20" i="5"/>
  <c r="AC20" i="5" s="1"/>
  <c r="Z19" i="5"/>
  <c r="Z18" i="5"/>
  <c r="AC18" i="5" s="1"/>
  <c r="Z17" i="5"/>
  <c r="AC17" i="5" s="1"/>
  <c r="Z16" i="5"/>
  <c r="AB16" i="5" s="1"/>
  <c r="Z15" i="5"/>
  <c r="AC15" i="5" s="1"/>
  <c r="Z14" i="5"/>
  <c r="AC14" i="5" s="1"/>
  <c r="Z13" i="5"/>
  <c r="AC13" i="5" s="1"/>
  <c r="Z12" i="5"/>
  <c r="AC12" i="5" s="1"/>
  <c r="Z11" i="5"/>
  <c r="AC11" i="5" s="1"/>
  <c r="Z10" i="5"/>
  <c r="AC10" i="5" s="1"/>
  <c r="Z9" i="5"/>
  <c r="AC9" i="5" s="1"/>
  <c r="Z8" i="5"/>
  <c r="AC8" i="5" s="1"/>
  <c r="Z7" i="5"/>
  <c r="AC7" i="5" s="1"/>
  <c r="Z6" i="5"/>
  <c r="AC6" i="5" s="1"/>
  <c r="Z5" i="5"/>
  <c r="AC5" i="5" s="1"/>
  <c r="Z4" i="5"/>
  <c r="AB4" i="5" s="1"/>
  <c r="Z3" i="5"/>
  <c r="AC3" i="5" s="1"/>
  <c r="Z41" i="5"/>
  <c r="Z42" i="5"/>
  <c r="Z43" i="5"/>
  <c r="Z44" i="5"/>
  <c r="Z45" i="5"/>
  <c r="Z46" i="5"/>
  <c r="Z47" i="5"/>
  <c r="Z48" i="5"/>
  <c r="Z40" i="5"/>
  <c r="AB8" i="5"/>
  <c r="AB11" i="5"/>
  <c r="AB17" i="5"/>
  <c r="AB19" i="5"/>
  <c r="AB24" i="5"/>
  <c r="AB26" i="5"/>
  <c r="AB31" i="5"/>
  <c r="AB32" i="5"/>
  <c r="AB34" i="5"/>
  <c r="AB36" i="5"/>
  <c r="AB37" i="5"/>
  <c r="AB38" i="5"/>
  <c r="AB39" i="5"/>
  <c r="H8" i="7" a="1"/>
  <c r="H8" i="7" s="1"/>
  <c r="H9" i="7" a="1"/>
  <c r="H9" i="7" s="1"/>
  <c r="H10" i="7" a="1"/>
  <c r="H10" i="7" s="1"/>
  <c r="H11" i="7" a="1"/>
  <c r="H11" i="7" s="1"/>
  <c r="H12" i="7" a="1"/>
  <c r="H12" i="7" s="1"/>
  <c r="H13" i="7" a="1"/>
  <c r="H13" i="7" s="1"/>
  <c r="H14" i="7" a="1"/>
  <c r="H14" i="7" s="1"/>
  <c r="H15" i="7" a="1"/>
  <c r="H15" i="7" s="1"/>
  <c r="H16" i="7" a="1"/>
  <c r="H16" i="7" s="1"/>
  <c r="H17" i="7" a="1"/>
  <c r="H17" i="7" s="1"/>
  <c r="H18" i="7" a="1"/>
  <c r="H18" i="7" s="1"/>
  <c r="H19" i="7" a="1"/>
  <c r="H19" i="7" s="1"/>
  <c r="H20" i="7" a="1"/>
  <c r="H20" i="7" s="1"/>
  <c r="H21" i="7" a="1"/>
  <c r="H21" i="7" s="1"/>
  <c r="H22" i="7" a="1"/>
  <c r="H22" i="7" s="1"/>
  <c r="H23" i="7" a="1"/>
  <c r="H23" i="7" s="1"/>
  <c r="H24" i="7" a="1"/>
  <c r="H24" i="7" s="1"/>
  <c r="H25" i="7" a="1"/>
  <c r="H25" i="7" s="1"/>
  <c r="H26" i="7" a="1"/>
  <c r="H26" i="7" s="1"/>
  <c r="H27" i="7" a="1"/>
  <c r="H27" i="7" s="1"/>
  <c r="H28" i="7" a="1"/>
  <c r="H28" i="7" s="1"/>
  <c r="H29" i="7" a="1"/>
  <c r="H29" i="7" s="1"/>
  <c r="H30" i="7" a="1"/>
  <c r="H30" i="7" s="1"/>
  <c r="H31" i="7" a="1"/>
  <c r="H31" i="7" s="1"/>
  <c r="H32" i="7" a="1"/>
  <c r="H32" i="7" s="1"/>
  <c r="H33" i="7" a="1"/>
  <c r="H33" i="7" s="1"/>
  <c r="H34" i="7" a="1"/>
  <c r="H34" i="7" s="1"/>
  <c r="H35" i="7" a="1"/>
  <c r="H35" i="7" s="1"/>
  <c r="H36" i="7" a="1"/>
  <c r="H36" i="7" s="1"/>
  <c r="H37" i="7" a="1"/>
  <c r="H37" i="7" s="1"/>
  <c r="H38" i="7" a="1"/>
  <c r="H38" i="7" s="1"/>
  <c r="H39" i="7" a="1"/>
  <c r="H39" i="7" s="1"/>
  <c r="H40" i="7" a="1"/>
  <c r="H40" i="7" s="1"/>
  <c r="H41" i="7" a="1"/>
  <c r="H41" i="7" s="1"/>
  <c r="H42" i="7" a="1"/>
  <c r="H42" i="7" s="1"/>
  <c r="H43" i="7" a="1"/>
  <c r="H43" i="7" s="1"/>
  <c r="H44" i="7" a="1"/>
  <c r="H44" i="7" s="1"/>
  <c r="H45" i="7" a="1"/>
  <c r="H45" i="7" s="1"/>
  <c r="H46" i="7" a="1"/>
  <c r="H46" i="7" s="1"/>
  <c r="H47" i="7" a="1"/>
  <c r="H47" i="7" s="1"/>
  <c r="H48" i="7" a="1"/>
  <c r="H48" i="7" s="1"/>
  <c r="H49" i="7" a="1"/>
  <c r="H49" i="7" s="1"/>
  <c r="H50" i="7" a="1"/>
  <c r="H50" i="7" s="1"/>
  <c r="H7" i="7" a="1"/>
  <c r="H7" i="7" s="1"/>
  <c r="G8" i="7" a="1"/>
  <c r="G8" i="7" s="1"/>
  <c r="G9" i="7" a="1"/>
  <c r="G9" i="7" s="1"/>
  <c r="G10" i="7" a="1"/>
  <c r="G10" i="7" s="1"/>
  <c r="G11" i="7" a="1"/>
  <c r="G11" i="7" s="1"/>
  <c r="G12" i="7" a="1"/>
  <c r="G12" i="7" s="1"/>
  <c r="G13" i="7" a="1"/>
  <c r="G13" i="7" s="1"/>
  <c r="G14" i="7" a="1"/>
  <c r="G14" i="7" s="1"/>
  <c r="G15" i="7" a="1"/>
  <c r="G15" i="7" s="1"/>
  <c r="G16" i="7" a="1"/>
  <c r="G16" i="7" s="1"/>
  <c r="G17" i="7" a="1"/>
  <c r="G17" i="7" s="1"/>
  <c r="G18" i="7" a="1"/>
  <c r="G18" i="7" s="1"/>
  <c r="G19" i="7" a="1"/>
  <c r="G19" i="7" s="1"/>
  <c r="G20" i="7" a="1"/>
  <c r="G20" i="7" s="1"/>
  <c r="G21" i="7" a="1"/>
  <c r="G21" i="7" s="1"/>
  <c r="G22" i="7" a="1"/>
  <c r="G22" i="7" s="1"/>
  <c r="G23" i="7" a="1"/>
  <c r="G23" i="7" s="1"/>
  <c r="G24" i="7" a="1"/>
  <c r="G24" i="7" s="1"/>
  <c r="G25" i="7" a="1"/>
  <c r="G25" i="7" s="1"/>
  <c r="G26" i="7" a="1"/>
  <c r="G26" i="7" s="1"/>
  <c r="G27" i="7" a="1"/>
  <c r="G27" i="7" s="1"/>
  <c r="G28" i="7" a="1"/>
  <c r="G28" i="7" s="1"/>
  <c r="G29" i="7" a="1"/>
  <c r="G29" i="7" s="1"/>
  <c r="G30" i="7" a="1"/>
  <c r="G30" i="7" s="1"/>
  <c r="G31" i="7" a="1"/>
  <c r="G31" i="7" s="1"/>
  <c r="G32" i="7" a="1"/>
  <c r="G32" i="7" s="1"/>
  <c r="G33" i="7" a="1"/>
  <c r="G33" i="7" s="1"/>
  <c r="G34" i="7" a="1"/>
  <c r="G34" i="7" s="1"/>
  <c r="G35" i="7" a="1"/>
  <c r="G35" i="7" s="1"/>
  <c r="G36" i="7" a="1"/>
  <c r="G36" i="7" s="1"/>
  <c r="G37" i="7" a="1"/>
  <c r="G37" i="7" s="1"/>
  <c r="G38" i="7" a="1"/>
  <c r="G38" i="7" s="1"/>
  <c r="G39" i="7" a="1"/>
  <c r="G39" i="7" s="1"/>
  <c r="G40" i="7" a="1"/>
  <c r="G40" i="7" s="1"/>
  <c r="G41" i="7" a="1"/>
  <c r="G41" i="7" s="1"/>
  <c r="G42" i="7" a="1"/>
  <c r="G42" i="7" s="1"/>
  <c r="G43" i="7" a="1"/>
  <c r="G43" i="7" s="1"/>
  <c r="G44" i="7" a="1"/>
  <c r="G44" i="7" s="1"/>
  <c r="G45" i="7" a="1"/>
  <c r="G45" i="7" s="1"/>
  <c r="G46" i="7" a="1"/>
  <c r="G46" i="7" s="1"/>
  <c r="G47" i="7" a="1"/>
  <c r="G47" i="7" s="1"/>
  <c r="G48" i="7" a="1"/>
  <c r="G48" i="7" s="1"/>
  <c r="G49" i="7" a="1"/>
  <c r="G49" i="7" s="1"/>
  <c r="G50" i="7" a="1"/>
  <c r="G50" i="7" s="1"/>
  <c r="G7" i="7" a="1"/>
  <c r="G7" i="7" s="1"/>
  <c r="E8" i="7" a="1"/>
  <c r="E8" i="7" s="1"/>
  <c r="E9" i="7" a="1"/>
  <c r="E9" i="7" s="1"/>
  <c r="E10" i="7" a="1"/>
  <c r="E10" i="7" s="1"/>
  <c r="E11" i="7" a="1"/>
  <c r="E11" i="7" s="1"/>
  <c r="E12" i="7" a="1"/>
  <c r="E12" i="7" s="1"/>
  <c r="E13" i="7" a="1"/>
  <c r="E13" i="7" s="1"/>
  <c r="E14" i="7" a="1"/>
  <c r="E14" i="7" s="1"/>
  <c r="E15" i="7" a="1"/>
  <c r="E15" i="7" s="1"/>
  <c r="E16" i="7" a="1"/>
  <c r="E16" i="7" s="1"/>
  <c r="E17" i="7" a="1"/>
  <c r="E17" i="7" s="1"/>
  <c r="E18" i="7" a="1"/>
  <c r="E18" i="7" s="1"/>
  <c r="E19" i="7" a="1"/>
  <c r="E19" i="7" s="1"/>
  <c r="E20" i="7" a="1"/>
  <c r="E20" i="7" s="1"/>
  <c r="E21" i="7" a="1"/>
  <c r="E21" i="7" s="1"/>
  <c r="E22" i="7" a="1"/>
  <c r="E22" i="7" s="1"/>
  <c r="E23" i="7" a="1"/>
  <c r="E23" i="7" s="1"/>
  <c r="E24" i="7" a="1"/>
  <c r="E24" i="7" s="1"/>
  <c r="E25" i="7" a="1"/>
  <c r="E25" i="7" s="1"/>
  <c r="E26" i="7" a="1"/>
  <c r="E26" i="7" s="1"/>
  <c r="E27" i="7" a="1"/>
  <c r="E27" i="7" s="1"/>
  <c r="E28" i="7" a="1"/>
  <c r="E28" i="7" s="1"/>
  <c r="E29" i="7" a="1"/>
  <c r="E29" i="7" s="1"/>
  <c r="E30" i="7" a="1"/>
  <c r="E30" i="7" s="1"/>
  <c r="E31" i="7" a="1"/>
  <c r="E31" i="7" s="1"/>
  <c r="E32" i="7" a="1"/>
  <c r="E32" i="7" s="1"/>
  <c r="E33" i="7" a="1"/>
  <c r="E33" i="7" s="1"/>
  <c r="E34" i="7" a="1"/>
  <c r="E34" i="7" s="1"/>
  <c r="E35" i="7" a="1"/>
  <c r="E35" i="7" s="1"/>
  <c r="E36" i="7" a="1"/>
  <c r="E36" i="7" s="1"/>
  <c r="E37" i="7" a="1"/>
  <c r="E37" i="7" s="1"/>
  <c r="E38" i="7" a="1"/>
  <c r="E38" i="7" s="1"/>
  <c r="E39" i="7" a="1"/>
  <c r="E39" i="7" s="1"/>
  <c r="E40" i="7" a="1"/>
  <c r="E40" i="7" s="1"/>
  <c r="E41" i="7" a="1"/>
  <c r="E41" i="7" s="1"/>
  <c r="E42" i="7" a="1"/>
  <c r="E42" i="7" s="1"/>
  <c r="E43" i="7" a="1"/>
  <c r="E43" i="7" s="1"/>
  <c r="E44" i="7" a="1"/>
  <c r="E44" i="7" s="1"/>
  <c r="E45" i="7" a="1"/>
  <c r="E45" i="7" s="1"/>
  <c r="E46" i="7" a="1"/>
  <c r="E46" i="7" s="1"/>
  <c r="E47" i="7" a="1"/>
  <c r="E47" i="7" s="1"/>
  <c r="E48" i="7" a="1"/>
  <c r="E48" i="7" s="1"/>
  <c r="E49" i="7" a="1"/>
  <c r="E49" i="7" s="1"/>
  <c r="E50" i="7" a="1"/>
  <c r="E50" i="7" s="1"/>
  <c r="E7" i="7" a="1"/>
  <c r="E7" i="7" s="1"/>
  <c r="I3" i="24" a="1"/>
  <c r="I3" i="24" s="1"/>
  <c r="I4" i="24" a="1"/>
  <c r="I4" i="24" s="1"/>
  <c r="I5" i="24" a="1"/>
  <c r="I5" i="24" s="1"/>
  <c r="I6" i="24" a="1"/>
  <c r="I6" i="24" s="1"/>
  <c r="I7" i="24" a="1"/>
  <c r="I7" i="24" s="1"/>
  <c r="I8" i="24" a="1"/>
  <c r="I8" i="24" s="1"/>
  <c r="I9" i="24" a="1"/>
  <c r="I9" i="24" s="1"/>
  <c r="I10" i="24" a="1"/>
  <c r="I10" i="24" s="1"/>
  <c r="I11" i="24" a="1"/>
  <c r="I11" i="24" s="1"/>
  <c r="I12" i="24" a="1"/>
  <c r="I12" i="24" s="1"/>
  <c r="I13" i="24" a="1"/>
  <c r="I13" i="24" s="1"/>
  <c r="I14" i="24" a="1"/>
  <c r="I14" i="24" s="1"/>
  <c r="I15" i="24" a="1"/>
  <c r="I15" i="24" s="1"/>
  <c r="I16" i="24" a="1"/>
  <c r="I16" i="24" s="1"/>
  <c r="I17" i="24" a="1"/>
  <c r="I17" i="24" s="1"/>
  <c r="I18" i="24" a="1"/>
  <c r="I18" i="24" s="1"/>
  <c r="I19" i="24" a="1"/>
  <c r="I19" i="24" s="1"/>
  <c r="I20" i="24" a="1"/>
  <c r="I20" i="24" s="1"/>
  <c r="I21" i="24" a="1"/>
  <c r="I21" i="24" s="1"/>
  <c r="I22" i="24" a="1"/>
  <c r="I22" i="24" s="1"/>
  <c r="I23" i="24" a="1"/>
  <c r="I23" i="24" s="1"/>
  <c r="I24" i="24" a="1"/>
  <c r="I24" i="24" s="1"/>
  <c r="I25" i="24" a="1"/>
  <c r="I25" i="24" s="1"/>
  <c r="I26" i="24" a="1"/>
  <c r="I26" i="24" s="1"/>
  <c r="I27" i="24" a="1"/>
  <c r="I27" i="24" s="1"/>
  <c r="I28" i="24" a="1"/>
  <c r="I28" i="24" s="1"/>
  <c r="I29" i="24" a="1"/>
  <c r="I29" i="24" s="1"/>
  <c r="I30" i="24" a="1"/>
  <c r="I30" i="24" s="1"/>
  <c r="I31" i="24" a="1"/>
  <c r="I31" i="24" s="1"/>
  <c r="I32" i="24" a="1"/>
  <c r="I32" i="24" s="1"/>
  <c r="I33" i="24" a="1"/>
  <c r="I33" i="24" s="1"/>
  <c r="I34" i="24" a="1"/>
  <c r="I34" i="24" s="1"/>
  <c r="I35" i="24" a="1"/>
  <c r="I35" i="24" s="1"/>
  <c r="I36" i="24" a="1"/>
  <c r="I36" i="24" s="1"/>
  <c r="I37" i="24" a="1"/>
  <c r="I37" i="24" s="1"/>
  <c r="I38" i="24" a="1"/>
  <c r="I38" i="24" s="1"/>
  <c r="I39" i="24" a="1"/>
  <c r="I39" i="24" s="1"/>
  <c r="I40" i="24" a="1"/>
  <c r="I40" i="24" s="1"/>
  <c r="I41" i="24" a="1"/>
  <c r="I41" i="24" s="1"/>
  <c r="I42" i="24" a="1"/>
  <c r="I42" i="24" s="1"/>
  <c r="I43" i="24" a="1"/>
  <c r="I43" i="24" s="1"/>
  <c r="I44" i="24" a="1"/>
  <c r="I44" i="24" s="1"/>
  <c r="I45" i="24" a="1"/>
  <c r="I45" i="24" s="1"/>
  <c r="I46" i="24" a="1"/>
  <c r="I46" i="24" s="1"/>
  <c r="I47" i="24" a="1"/>
  <c r="I47" i="24" s="1"/>
  <c r="I48" i="24" a="1"/>
  <c r="I48" i="24" s="1"/>
  <c r="I49" i="24" a="1"/>
  <c r="I49" i="24" s="1"/>
  <c r="I50" i="24" a="1"/>
  <c r="I50" i="24" s="1"/>
  <c r="I51" i="24" a="1"/>
  <c r="I51" i="24" s="1"/>
  <c r="I52" i="24" a="1"/>
  <c r="I52" i="24" s="1"/>
  <c r="I53" i="24" a="1"/>
  <c r="I53" i="24" s="1"/>
  <c r="I54" i="24" a="1"/>
  <c r="I54" i="24" s="1"/>
  <c r="I55" i="24" a="1"/>
  <c r="I55" i="24" s="1"/>
  <c r="I56" i="24" a="1"/>
  <c r="I56" i="24" s="1"/>
  <c r="I57" i="24" a="1"/>
  <c r="I57" i="24" s="1"/>
  <c r="I58" i="24" a="1"/>
  <c r="I58" i="24" s="1"/>
  <c r="I59" i="24" a="1"/>
  <c r="I59" i="24" s="1"/>
  <c r="I60" i="24" a="1"/>
  <c r="I60" i="24" s="1"/>
  <c r="I61" i="24" a="1"/>
  <c r="I61" i="24" s="1"/>
  <c r="I62" i="24" a="1"/>
  <c r="I62" i="24" s="1"/>
  <c r="I63" i="24" a="1"/>
  <c r="I63" i="24" s="1"/>
  <c r="I64" i="24" a="1"/>
  <c r="I64" i="24" s="1"/>
  <c r="I65" i="24" a="1"/>
  <c r="I65" i="24" s="1"/>
  <c r="I66" i="24" a="1"/>
  <c r="I66" i="24" s="1"/>
  <c r="I67" i="24" a="1"/>
  <c r="I67" i="24" s="1"/>
  <c r="I68" i="24" a="1"/>
  <c r="I68" i="24" s="1"/>
  <c r="I69" i="24" a="1"/>
  <c r="I69" i="24" s="1"/>
  <c r="I70" i="24" a="1"/>
  <c r="I70" i="24" s="1"/>
  <c r="I71" i="24" a="1"/>
  <c r="I71" i="24" s="1"/>
  <c r="I72" i="24" a="1"/>
  <c r="I72" i="24" s="1"/>
  <c r="I73" i="24" a="1"/>
  <c r="I73" i="24" s="1"/>
  <c r="I74" i="24" a="1"/>
  <c r="I74" i="24" s="1"/>
  <c r="I75" i="24" a="1"/>
  <c r="I75" i="24" s="1"/>
  <c r="I76" i="24" a="1"/>
  <c r="I76" i="24" s="1"/>
  <c r="I77" i="24" a="1"/>
  <c r="I77" i="24" s="1"/>
  <c r="I78" i="24" a="1"/>
  <c r="I78" i="24" s="1"/>
  <c r="I79" i="24" a="1"/>
  <c r="I79" i="24" s="1"/>
  <c r="I80" i="24" a="1"/>
  <c r="I80" i="24" s="1"/>
  <c r="I81" i="24" a="1"/>
  <c r="I81" i="24" s="1"/>
  <c r="I82" i="24" a="1"/>
  <c r="I82" i="24" s="1"/>
  <c r="I83" i="24" a="1"/>
  <c r="I83" i="24" s="1"/>
  <c r="I84" i="24" a="1"/>
  <c r="I84" i="24" s="1"/>
  <c r="I85" i="24" a="1"/>
  <c r="I85" i="24" s="1"/>
  <c r="I86" i="24" a="1"/>
  <c r="I86" i="24" s="1"/>
  <c r="I87" i="24" a="1"/>
  <c r="I87" i="24" s="1"/>
  <c r="I88" i="24" a="1"/>
  <c r="I88" i="24" s="1"/>
  <c r="I89" i="24" a="1"/>
  <c r="I89" i="24" s="1"/>
  <c r="I90" i="24" a="1"/>
  <c r="I90" i="24" s="1"/>
  <c r="I91" i="24" a="1"/>
  <c r="I91" i="24" s="1"/>
  <c r="I92" i="24" a="1"/>
  <c r="I92" i="24" s="1"/>
  <c r="I93" i="24" a="1"/>
  <c r="I93" i="24" s="1"/>
  <c r="I94" i="24" a="1"/>
  <c r="I94" i="24" s="1"/>
  <c r="I95" i="24" a="1"/>
  <c r="I95" i="24" s="1"/>
  <c r="I96" i="24" a="1"/>
  <c r="I96" i="24" s="1"/>
  <c r="I97" i="24" a="1"/>
  <c r="I97" i="24" s="1"/>
  <c r="I98" i="24" a="1"/>
  <c r="I98" i="24" s="1"/>
  <c r="I99" i="24" a="1"/>
  <c r="I99" i="24" s="1"/>
  <c r="I100" i="24" a="1"/>
  <c r="I100" i="24" s="1"/>
  <c r="I101" i="24" a="1"/>
  <c r="I101" i="24" s="1"/>
  <c r="I102" i="24" a="1"/>
  <c r="I102" i="24" s="1"/>
  <c r="I103" i="24" a="1"/>
  <c r="I103" i="24" s="1"/>
  <c r="I104" i="24" a="1"/>
  <c r="I104" i="24" s="1"/>
  <c r="I105" i="24" a="1"/>
  <c r="I105" i="24" s="1"/>
  <c r="I106" i="24" a="1"/>
  <c r="I106" i="24" s="1"/>
  <c r="I107" i="24" a="1"/>
  <c r="I107" i="24" s="1"/>
  <c r="I108" i="24" a="1"/>
  <c r="I108" i="24" s="1"/>
  <c r="I109" i="24" a="1"/>
  <c r="I109" i="24" s="1"/>
  <c r="I110" i="24" a="1"/>
  <c r="I110" i="24" s="1"/>
  <c r="I111" i="24" a="1"/>
  <c r="I111" i="24" s="1"/>
  <c r="I112" i="24" a="1"/>
  <c r="I112" i="24" s="1"/>
  <c r="I113" i="24" a="1"/>
  <c r="I113" i="24" s="1"/>
  <c r="I114" i="24" a="1"/>
  <c r="I114" i="24" s="1"/>
  <c r="I115" i="24" a="1"/>
  <c r="I115" i="24" s="1"/>
  <c r="I116" i="24" a="1"/>
  <c r="I116" i="24" s="1"/>
  <c r="I117" i="24" a="1"/>
  <c r="I117" i="24" s="1"/>
  <c r="I118" i="24" a="1"/>
  <c r="I118" i="24" s="1"/>
  <c r="I119" i="24" a="1"/>
  <c r="I119" i="24" s="1"/>
  <c r="I120" i="24" a="1"/>
  <c r="I120" i="24" s="1"/>
  <c r="I121" i="24" a="1"/>
  <c r="I121" i="24" s="1"/>
  <c r="I122" i="24" a="1"/>
  <c r="I122" i="24" s="1"/>
  <c r="I123" i="24" a="1"/>
  <c r="I123" i="24" s="1"/>
  <c r="I124" i="24" a="1"/>
  <c r="I124" i="24" s="1"/>
  <c r="I125" i="24" a="1"/>
  <c r="I125" i="24" s="1"/>
  <c r="I126" i="24" a="1"/>
  <c r="I126" i="24" s="1"/>
  <c r="I127" i="24" a="1"/>
  <c r="I127" i="24" s="1"/>
  <c r="I128" i="24" a="1"/>
  <c r="I128" i="24" s="1"/>
  <c r="I129" i="24" a="1"/>
  <c r="I129" i="24" s="1"/>
  <c r="I130" i="24" a="1"/>
  <c r="I130" i="24" s="1"/>
  <c r="I131" i="24" a="1"/>
  <c r="I131" i="24" s="1"/>
  <c r="I132" i="24" a="1"/>
  <c r="I132" i="24" s="1"/>
  <c r="I133" i="24" a="1"/>
  <c r="I133" i="24" s="1"/>
  <c r="I134" i="24" a="1"/>
  <c r="I134" i="24" s="1"/>
  <c r="I135" i="24" a="1"/>
  <c r="I135" i="24" s="1"/>
  <c r="I136" i="24" a="1"/>
  <c r="I136" i="24" s="1"/>
  <c r="I137" i="24" a="1"/>
  <c r="I137" i="24" s="1"/>
  <c r="I138" i="24" a="1"/>
  <c r="I138" i="24" s="1"/>
  <c r="I139" i="24" a="1"/>
  <c r="I139" i="24" s="1"/>
  <c r="I140" i="24" a="1"/>
  <c r="I140" i="24" s="1"/>
  <c r="I141" i="24" a="1"/>
  <c r="I141" i="24" s="1"/>
  <c r="I142" i="24" a="1"/>
  <c r="I142" i="24" s="1"/>
  <c r="I143" i="24" a="1"/>
  <c r="I143" i="24" s="1"/>
  <c r="I144" i="24" a="1"/>
  <c r="I144" i="24" s="1"/>
  <c r="I145" i="24" a="1"/>
  <c r="I145" i="24" s="1"/>
  <c r="I146" i="24" a="1"/>
  <c r="I146" i="24" s="1"/>
  <c r="I147" i="24" a="1"/>
  <c r="I147" i="24" s="1"/>
  <c r="I148" i="24" a="1"/>
  <c r="I148" i="24" s="1"/>
  <c r="I149" i="24" a="1"/>
  <c r="I149" i="24" s="1"/>
  <c r="I150" i="24" a="1"/>
  <c r="I150" i="24" s="1"/>
  <c r="I151" i="24" a="1"/>
  <c r="I151" i="24" s="1"/>
  <c r="I152" i="24" a="1"/>
  <c r="I152" i="24" s="1"/>
  <c r="I153" i="24" a="1"/>
  <c r="I153" i="24" s="1"/>
  <c r="I154" i="24" a="1"/>
  <c r="I154" i="24" s="1"/>
  <c r="I155" i="24" a="1"/>
  <c r="I155" i="24" s="1"/>
  <c r="I156" i="24" a="1"/>
  <c r="I156" i="24" s="1"/>
  <c r="I157" i="24" a="1"/>
  <c r="I157" i="24" s="1"/>
  <c r="I158" i="24" a="1"/>
  <c r="I158" i="24" s="1"/>
  <c r="I159" i="24" a="1"/>
  <c r="I159" i="24" s="1"/>
  <c r="I160" i="24" a="1"/>
  <c r="I160" i="24" s="1"/>
  <c r="I161" i="24" a="1"/>
  <c r="I161" i="24" s="1"/>
  <c r="I162" i="24" a="1"/>
  <c r="I162" i="24" s="1"/>
  <c r="I163" i="24" a="1"/>
  <c r="I163" i="24" s="1"/>
  <c r="I164" i="24" a="1"/>
  <c r="I164" i="24" s="1"/>
  <c r="I165" i="24" a="1"/>
  <c r="I165" i="24" s="1"/>
  <c r="I166" i="24" a="1"/>
  <c r="I166" i="24" s="1"/>
  <c r="I167" i="24" a="1"/>
  <c r="I167" i="24" s="1"/>
  <c r="I168" i="24" a="1"/>
  <c r="I168" i="24" s="1"/>
  <c r="I169" i="24" a="1"/>
  <c r="I169" i="24" s="1"/>
  <c r="I170" i="24" a="1"/>
  <c r="I170" i="24" s="1"/>
  <c r="I171" i="24" a="1"/>
  <c r="I171" i="24" s="1"/>
  <c r="I172" i="24" a="1"/>
  <c r="I172" i="24" s="1"/>
  <c r="I173" i="24" a="1"/>
  <c r="I173" i="24" s="1"/>
  <c r="I174" i="24" a="1"/>
  <c r="I174" i="24" s="1"/>
  <c r="I175" i="24" a="1"/>
  <c r="I175" i="24" s="1"/>
  <c r="I176" i="24" a="1"/>
  <c r="I176" i="24" s="1"/>
  <c r="I177" i="24" a="1"/>
  <c r="I177" i="24" s="1"/>
  <c r="I178" i="24" a="1"/>
  <c r="I178" i="24" s="1"/>
  <c r="I179" i="24" a="1"/>
  <c r="I179" i="24" s="1"/>
  <c r="I2" i="24" a="1"/>
  <c r="I2" i="24" s="1"/>
  <c r="D3" i="24" a="1"/>
  <c r="D3" i="24" s="1"/>
  <c r="D4" i="24" a="1"/>
  <c r="D4" i="24" s="1"/>
  <c r="D5" i="24" a="1"/>
  <c r="D5" i="24" s="1"/>
  <c r="D6" i="24" a="1"/>
  <c r="D6" i="24" s="1"/>
  <c r="D7" i="24" a="1"/>
  <c r="D7" i="24" s="1"/>
  <c r="D8" i="24" a="1"/>
  <c r="D8" i="24" s="1"/>
  <c r="D9" i="24" a="1"/>
  <c r="D9" i="24" s="1"/>
  <c r="D10" i="24" a="1"/>
  <c r="D10" i="24" s="1"/>
  <c r="D11" i="24" a="1"/>
  <c r="D11" i="24" s="1"/>
  <c r="D12" i="24" a="1"/>
  <c r="D12" i="24" s="1"/>
  <c r="D13" i="24" a="1"/>
  <c r="D13" i="24" s="1"/>
  <c r="D14" i="24" a="1"/>
  <c r="D14" i="24" s="1"/>
  <c r="D15" i="24" a="1"/>
  <c r="D15" i="24" s="1"/>
  <c r="D16" i="24" a="1"/>
  <c r="D16" i="24" s="1"/>
  <c r="D17" i="24" a="1"/>
  <c r="D17" i="24" s="1"/>
  <c r="D18" i="24" a="1"/>
  <c r="D18" i="24" s="1"/>
  <c r="D19" i="24" a="1"/>
  <c r="D19" i="24" s="1"/>
  <c r="D20" i="24" a="1"/>
  <c r="D20" i="24" s="1"/>
  <c r="D21" i="24" a="1"/>
  <c r="D21" i="24" s="1"/>
  <c r="D22" i="24" a="1"/>
  <c r="D22" i="24" s="1"/>
  <c r="D23" i="24" a="1"/>
  <c r="D23" i="24" s="1"/>
  <c r="D24" i="24" a="1"/>
  <c r="D24" i="24" s="1"/>
  <c r="D25" i="24" a="1"/>
  <c r="D25" i="24" s="1"/>
  <c r="D26" i="24" a="1"/>
  <c r="D26" i="24" s="1"/>
  <c r="D27" i="24" a="1"/>
  <c r="D27" i="24" s="1"/>
  <c r="D28" i="24" a="1"/>
  <c r="D28" i="24" s="1"/>
  <c r="D29" i="24" a="1"/>
  <c r="D29" i="24" s="1"/>
  <c r="D30" i="24" a="1"/>
  <c r="D30" i="24" s="1"/>
  <c r="D31" i="24" a="1"/>
  <c r="D31" i="24" s="1"/>
  <c r="D32" i="24" a="1"/>
  <c r="D32" i="24" s="1"/>
  <c r="D33" i="24" a="1"/>
  <c r="D33" i="24" s="1"/>
  <c r="D34" i="24" a="1"/>
  <c r="D34" i="24" s="1"/>
  <c r="D35" i="24" a="1"/>
  <c r="D35" i="24" s="1"/>
  <c r="D36" i="24" a="1"/>
  <c r="D36" i="24" s="1"/>
  <c r="D37" i="24" a="1"/>
  <c r="D37" i="24" s="1"/>
  <c r="D38" i="24" a="1"/>
  <c r="D38" i="24" s="1"/>
  <c r="D39" i="24" a="1"/>
  <c r="D39" i="24" s="1"/>
  <c r="D40" i="24" a="1"/>
  <c r="D40" i="24" s="1"/>
  <c r="D41" i="24" a="1"/>
  <c r="D41" i="24" s="1"/>
  <c r="D42" i="24" a="1"/>
  <c r="D42" i="24" s="1"/>
  <c r="D43" i="24" a="1"/>
  <c r="D43" i="24" s="1"/>
  <c r="D44" i="24" a="1"/>
  <c r="D44" i="24" s="1"/>
  <c r="D45" i="24" a="1"/>
  <c r="D45" i="24" s="1"/>
  <c r="D46" i="24" a="1"/>
  <c r="D46" i="24" s="1"/>
  <c r="D47" i="24" a="1"/>
  <c r="D47" i="24" s="1"/>
  <c r="D48" i="24" a="1"/>
  <c r="D48" i="24" s="1"/>
  <c r="D49" i="24" a="1"/>
  <c r="D49" i="24" s="1"/>
  <c r="D50" i="24" a="1"/>
  <c r="D50" i="24" s="1"/>
  <c r="D51" i="24" a="1"/>
  <c r="D51" i="24" s="1"/>
  <c r="D52" i="24" a="1"/>
  <c r="D52" i="24" s="1"/>
  <c r="D53" i="24" a="1"/>
  <c r="D53" i="24" s="1"/>
  <c r="D54" i="24" a="1"/>
  <c r="D54" i="24" s="1"/>
  <c r="D55" i="24" a="1"/>
  <c r="D55" i="24" s="1"/>
  <c r="D56" i="24" a="1"/>
  <c r="D56" i="24" s="1"/>
  <c r="D57" i="24" a="1"/>
  <c r="D57" i="24" s="1"/>
  <c r="D58" i="24" a="1"/>
  <c r="D58" i="24" s="1"/>
  <c r="D59" i="24" a="1"/>
  <c r="D59" i="24" s="1"/>
  <c r="D60" i="24" a="1"/>
  <c r="D60" i="24" s="1"/>
  <c r="D61" i="24" a="1"/>
  <c r="D61" i="24" s="1"/>
  <c r="D62" i="24" a="1"/>
  <c r="D62" i="24" s="1"/>
  <c r="D63" i="24" a="1"/>
  <c r="D63" i="24" s="1"/>
  <c r="D64" i="24" a="1"/>
  <c r="D64" i="24" s="1"/>
  <c r="D65" i="24" a="1"/>
  <c r="D65" i="24" s="1"/>
  <c r="D66" i="24" a="1"/>
  <c r="D66" i="24" s="1"/>
  <c r="D67" i="24" a="1"/>
  <c r="D67" i="24" s="1"/>
  <c r="D68" i="24" a="1"/>
  <c r="D68" i="24" s="1"/>
  <c r="D69" i="24" a="1"/>
  <c r="D69" i="24" s="1"/>
  <c r="D70" i="24" a="1"/>
  <c r="D70" i="24" s="1"/>
  <c r="D71" i="24" a="1"/>
  <c r="D71" i="24" s="1"/>
  <c r="D72" i="24" a="1"/>
  <c r="D72" i="24" s="1"/>
  <c r="D73" i="24" a="1"/>
  <c r="D73" i="24" s="1"/>
  <c r="D74" i="24" a="1"/>
  <c r="D74" i="24" s="1"/>
  <c r="D75" i="24" a="1"/>
  <c r="D75" i="24" s="1"/>
  <c r="D76" i="24" a="1"/>
  <c r="D76" i="24" s="1"/>
  <c r="D77" i="24" a="1"/>
  <c r="D77" i="24" s="1"/>
  <c r="D78" i="24" a="1"/>
  <c r="D78" i="24" s="1"/>
  <c r="D79" i="24" a="1"/>
  <c r="D79" i="24" s="1"/>
  <c r="D80" i="24" a="1"/>
  <c r="D80" i="24" s="1"/>
  <c r="D81" i="24" a="1"/>
  <c r="D81" i="24" s="1"/>
  <c r="D82" i="24" a="1"/>
  <c r="D82" i="24" s="1"/>
  <c r="D83" i="24" a="1"/>
  <c r="D83" i="24" s="1"/>
  <c r="D84" i="24" a="1"/>
  <c r="D84" i="24" s="1"/>
  <c r="D85" i="24" a="1"/>
  <c r="D85" i="24" s="1"/>
  <c r="D86" i="24" a="1"/>
  <c r="D86" i="24" s="1"/>
  <c r="D87" i="24" a="1"/>
  <c r="D87" i="24" s="1"/>
  <c r="D88" i="24" a="1"/>
  <c r="D88" i="24" s="1"/>
  <c r="D89" i="24" a="1"/>
  <c r="D89" i="24" s="1"/>
  <c r="D90" i="24" a="1"/>
  <c r="D90" i="24" s="1"/>
  <c r="D91" i="24" a="1"/>
  <c r="D91" i="24" s="1"/>
  <c r="D92" i="24" a="1"/>
  <c r="D92" i="24" s="1"/>
  <c r="D93" i="24" a="1"/>
  <c r="D93" i="24" s="1"/>
  <c r="D94" i="24" a="1"/>
  <c r="D94" i="24" s="1"/>
  <c r="D95" i="24" a="1"/>
  <c r="D95" i="24" s="1"/>
  <c r="D96" i="24" a="1"/>
  <c r="D96" i="24" s="1"/>
  <c r="D97" i="24" a="1"/>
  <c r="D97" i="24" s="1"/>
  <c r="D98" i="24" a="1"/>
  <c r="D98" i="24" s="1"/>
  <c r="D99" i="24" a="1"/>
  <c r="D99" i="24" s="1"/>
  <c r="D100" i="24" a="1"/>
  <c r="D100" i="24" s="1"/>
  <c r="D101" i="24" a="1"/>
  <c r="D101" i="24" s="1"/>
  <c r="D102" i="24" a="1"/>
  <c r="D102" i="24" s="1"/>
  <c r="D103" i="24" a="1"/>
  <c r="D103" i="24" s="1"/>
  <c r="D104" i="24" a="1"/>
  <c r="D104" i="24" s="1"/>
  <c r="D105" i="24" a="1"/>
  <c r="D105" i="24" s="1"/>
  <c r="D106" i="24" a="1"/>
  <c r="D106" i="24" s="1"/>
  <c r="D107" i="24" a="1"/>
  <c r="D107" i="24" s="1"/>
  <c r="D108" i="24" a="1"/>
  <c r="D108" i="24" s="1"/>
  <c r="D109" i="24" a="1"/>
  <c r="D109" i="24" s="1"/>
  <c r="D110" i="24" a="1"/>
  <c r="D110" i="24" s="1"/>
  <c r="D111" i="24" a="1"/>
  <c r="D111" i="24" s="1"/>
  <c r="D112" i="24" a="1"/>
  <c r="D112" i="24" s="1"/>
  <c r="D113" i="24" a="1"/>
  <c r="D113" i="24" s="1"/>
  <c r="D114" i="24" a="1"/>
  <c r="D114" i="24" s="1"/>
  <c r="D115" i="24" a="1"/>
  <c r="D115" i="24" s="1"/>
  <c r="D116" i="24" a="1"/>
  <c r="D116" i="24" s="1"/>
  <c r="D117" i="24" a="1"/>
  <c r="D117" i="24" s="1"/>
  <c r="D118" i="24" a="1"/>
  <c r="D118" i="24" s="1"/>
  <c r="D119" i="24" a="1"/>
  <c r="D119" i="24" s="1"/>
  <c r="D120" i="24" a="1"/>
  <c r="D120" i="24" s="1"/>
  <c r="D121" i="24" a="1"/>
  <c r="D121" i="24" s="1"/>
  <c r="D122" i="24" a="1"/>
  <c r="D122" i="24" s="1"/>
  <c r="D123" i="24" a="1"/>
  <c r="D123" i="24" s="1"/>
  <c r="D124" i="24" a="1"/>
  <c r="D124" i="24" s="1"/>
  <c r="D125" i="24" a="1"/>
  <c r="D125" i="24" s="1"/>
  <c r="D126" i="24" a="1"/>
  <c r="D126" i="24" s="1"/>
  <c r="D127" i="24" a="1"/>
  <c r="D127" i="24" s="1"/>
  <c r="D128" i="24" a="1"/>
  <c r="D128" i="24" s="1"/>
  <c r="D129" i="24" a="1"/>
  <c r="D129" i="24" s="1"/>
  <c r="D130" i="24" a="1"/>
  <c r="D130" i="24" s="1"/>
  <c r="D131" i="24" a="1"/>
  <c r="D131" i="24" s="1"/>
  <c r="D132" i="24" a="1"/>
  <c r="D132" i="24" s="1"/>
  <c r="D133" i="24" a="1"/>
  <c r="D133" i="24" s="1"/>
  <c r="D134" i="24" a="1"/>
  <c r="D134" i="24" s="1"/>
  <c r="D135" i="24" a="1"/>
  <c r="D135" i="24" s="1"/>
  <c r="D136" i="24" a="1"/>
  <c r="D136" i="24" s="1"/>
  <c r="D137" i="24" a="1"/>
  <c r="D137" i="24" s="1"/>
  <c r="D138" i="24" a="1"/>
  <c r="D138" i="24" s="1"/>
  <c r="D139" i="24" a="1"/>
  <c r="D139" i="24" s="1"/>
  <c r="D140" i="24" a="1"/>
  <c r="D140" i="24" s="1"/>
  <c r="D141" i="24" a="1"/>
  <c r="D141" i="24" s="1"/>
  <c r="D142" i="24" a="1"/>
  <c r="D142" i="24" s="1"/>
  <c r="D143" i="24" a="1"/>
  <c r="D143" i="24" s="1"/>
  <c r="D144" i="24" a="1"/>
  <c r="D144" i="24" s="1"/>
  <c r="D145" i="24" a="1"/>
  <c r="D145" i="24" s="1"/>
  <c r="D146" i="24" a="1"/>
  <c r="D146" i="24" s="1"/>
  <c r="D147" i="24" a="1"/>
  <c r="D147" i="24" s="1"/>
  <c r="D148" i="24" a="1"/>
  <c r="D148" i="24" s="1"/>
  <c r="D149" i="24" a="1"/>
  <c r="D149" i="24" s="1"/>
  <c r="D150" i="24" a="1"/>
  <c r="D150" i="24" s="1"/>
  <c r="D151" i="24" a="1"/>
  <c r="D151" i="24" s="1"/>
  <c r="D152" i="24" a="1"/>
  <c r="D152" i="24" s="1"/>
  <c r="D153" i="24" a="1"/>
  <c r="D153" i="24" s="1"/>
  <c r="D154" i="24" a="1"/>
  <c r="D154" i="24" s="1"/>
  <c r="D155" i="24" a="1"/>
  <c r="D155" i="24" s="1"/>
  <c r="D156" i="24" a="1"/>
  <c r="D156" i="24" s="1"/>
  <c r="D157" i="24" a="1"/>
  <c r="D157" i="24" s="1"/>
  <c r="D158" i="24" a="1"/>
  <c r="D158" i="24" s="1"/>
  <c r="D159" i="24" a="1"/>
  <c r="D159" i="24" s="1"/>
  <c r="D160" i="24" a="1"/>
  <c r="D160" i="24" s="1"/>
  <c r="D161" i="24" a="1"/>
  <c r="D161" i="24" s="1"/>
  <c r="D162" i="24" a="1"/>
  <c r="D162" i="24" s="1"/>
  <c r="D163" i="24" a="1"/>
  <c r="D163" i="24" s="1"/>
  <c r="D164" i="24" a="1"/>
  <c r="D164" i="24" s="1"/>
  <c r="D165" i="24" a="1"/>
  <c r="D165" i="24" s="1"/>
  <c r="D166" i="24" a="1"/>
  <c r="D166" i="24" s="1"/>
  <c r="D167" i="24" a="1"/>
  <c r="D167" i="24" s="1"/>
  <c r="D168" i="24" a="1"/>
  <c r="D168" i="24" s="1"/>
  <c r="D169" i="24" a="1"/>
  <c r="D169" i="24" s="1"/>
  <c r="D170" i="24" a="1"/>
  <c r="D170" i="24" s="1"/>
  <c r="D171" i="24" a="1"/>
  <c r="D171" i="24" s="1"/>
  <c r="D172" i="24" a="1"/>
  <c r="D172" i="24" s="1"/>
  <c r="D173" i="24" a="1"/>
  <c r="D173" i="24" s="1"/>
  <c r="D174" i="24" a="1"/>
  <c r="D174" i="24" s="1"/>
  <c r="D175" i="24" a="1"/>
  <c r="D175" i="24" s="1"/>
  <c r="D176" i="24" a="1"/>
  <c r="D176" i="24" s="1"/>
  <c r="D177" i="24" a="1"/>
  <c r="D177" i="24" s="1"/>
  <c r="D178" i="24" a="1"/>
  <c r="D178" i="24" s="1"/>
  <c r="D179" i="24" a="1"/>
  <c r="D179" i="24" s="1"/>
  <c r="D180" i="24" a="1"/>
  <c r="D180" i="24" s="1"/>
  <c r="D181" i="24" a="1"/>
  <c r="D181" i="24" s="1"/>
  <c r="D182" i="24" a="1"/>
  <c r="D182" i="24" s="1"/>
  <c r="D183" i="24" a="1"/>
  <c r="D183" i="24" s="1"/>
  <c r="D184" i="24" a="1"/>
  <c r="D184" i="24" s="1"/>
  <c r="D185" i="24" a="1"/>
  <c r="D185" i="24" s="1"/>
  <c r="D186" i="24" a="1"/>
  <c r="D186" i="24" s="1"/>
  <c r="D187" i="24" a="1"/>
  <c r="D187" i="24" s="1"/>
  <c r="D188" i="24" a="1"/>
  <c r="D188" i="24" s="1"/>
  <c r="D189" i="24" a="1"/>
  <c r="D189" i="24" s="1"/>
  <c r="D190" i="24" a="1"/>
  <c r="D190" i="24" s="1"/>
  <c r="D191" i="24" a="1"/>
  <c r="D191" i="24" s="1"/>
  <c r="D192" i="24" a="1"/>
  <c r="D192" i="24" s="1"/>
  <c r="D193" i="24" a="1"/>
  <c r="D193" i="24" s="1"/>
  <c r="D194" i="24" a="1"/>
  <c r="D194" i="24" s="1"/>
  <c r="D195" i="24" a="1"/>
  <c r="D195" i="24" s="1"/>
  <c r="D196" i="24" a="1"/>
  <c r="D196" i="24" s="1"/>
  <c r="D197" i="24" a="1"/>
  <c r="D197" i="24" s="1"/>
  <c r="D198" i="24" a="1"/>
  <c r="D198" i="24" s="1"/>
  <c r="D199" i="24" a="1"/>
  <c r="D199" i="24" s="1"/>
  <c r="D200" i="24" a="1"/>
  <c r="D200" i="24" s="1"/>
  <c r="D201" i="24" a="1"/>
  <c r="D201" i="24" s="1"/>
  <c r="D202" i="24" a="1"/>
  <c r="D202" i="24" s="1"/>
  <c r="D203" i="24" a="1"/>
  <c r="D203" i="24" s="1"/>
  <c r="D204" i="24" a="1"/>
  <c r="D204" i="24" s="1"/>
  <c r="D205" i="24" a="1"/>
  <c r="D205" i="24" s="1"/>
  <c r="D206" i="24" a="1"/>
  <c r="D206" i="24" s="1"/>
  <c r="D207" i="24" a="1"/>
  <c r="D207" i="24" s="1"/>
  <c r="D208" i="24" a="1"/>
  <c r="D208" i="24" s="1"/>
  <c r="D209" i="24" a="1"/>
  <c r="D209" i="24" s="1"/>
  <c r="D210" i="24" a="1"/>
  <c r="D210" i="24" s="1"/>
  <c r="D211" i="24" a="1"/>
  <c r="D211" i="24" s="1"/>
  <c r="D212" i="24" a="1"/>
  <c r="D212" i="24" s="1"/>
  <c r="D213" i="24" a="1"/>
  <c r="D213" i="24" s="1"/>
  <c r="D214" i="24" a="1"/>
  <c r="D214" i="24" s="1"/>
  <c r="D215" i="24" a="1"/>
  <c r="D215" i="24" s="1"/>
  <c r="D216" i="24" a="1"/>
  <c r="D216" i="24" s="1"/>
  <c r="D217" i="24" a="1"/>
  <c r="D217" i="24" s="1"/>
  <c r="D218" i="24" a="1"/>
  <c r="D218" i="24" s="1"/>
  <c r="D219" i="24" a="1"/>
  <c r="D219" i="24" s="1"/>
  <c r="D220" i="24" a="1"/>
  <c r="D220" i="24" s="1"/>
  <c r="D221" i="24" a="1"/>
  <c r="D221" i="24" s="1"/>
  <c r="D222" i="24" a="1"/>
  <c r="D222" i="24" s="1"/>
  <c r="D223" i="24" a="1"/>
  <c r="D223" i="24" s="1"/>
  <c r="D224" i="24" a="1"/>
  <c r="D224" i="24" s="1"/>
  <c r="D225" i="24" a="1"/>
  <c r="D225" i="24" s="1"/>
  <c r="D226" i="24" a="1"/>
  <c r="D226" i="24" s="1"/>
  <c r="D227" i="24" a="1"/>
  <c r="D227" i="24" s="1"/>
  <c r="D228" i="24" a="1"/>
  <c r="D228" i="24" s="1"/>
  <c r="D229" i="24" a="1"/>
  <c r="D229" i="24" s="1"/>
  <c r="D230" i="24" a="1"/>
  <c r="D230" i="24" s="1"/>
  <c r="D231" i="24" a="1"/>
  <c r="D231" i="24" s="1"/>
  <c r="D232" i="24" a="1"/>
  <c r="D232" i="24" s="1"/>
  <c r="D233" i="24" a="1"/>
  <c r="D233" i="24" s="1"/>
  <c r="D234" i="24" a="1"/>
  <c r="D234" i="24" s="1"/>
  <c r="D235" i="24" a="1"/>
  <c r="D235" i="24" s="1"/>
  <c r="D236" i="24" a="1"/>
  <c r="D236" i="24" s="1"/>
  <c r="D237" i="24" a="1"/>
  <c r="D237" i="24" s="1"/>
  <c r="D238" i="24" a="1"/>
  <c r="D238" i="24" s="1"/>
  <c r="D239" i="24" a="1"/>
  <c r="D239" i="24" s="1"/>
  <c r="D240" i="24" a="1"/>
  <c r="D240" i="24" s="1"/>
  <c r="D241" i="24" a="1"/>
  <c r="D241" i="24" s="1"/>
  <c r="D242" i="24" a="1"/>
  <c r="D242" i="24" s="1"/>
  <c r="D243" i="24" a="1"/>
  <c r="D243" i="24" s="1"/>
  <c r="D244" i="24" a="1"/>
  <c r="D244" i="24" s="1"/>
  <c r="D245" i="24" a="1"/>
  <c r="D245" i="24" s="1"/>
  <c r="D246" i="24" a="1"/>
  <c r="D246" i="24" s="1"/>
  <c r="D247" i="24" a="1"/>
  <c r="D247" i="24" s="1"/>
  <c r="D248" i="24" a="1"/>
  <c r="D248" i="24" s="1"/>
  <c r="D249" i="24" a="1"/>
  <c r="D249" i="24" s="1"/>
  <c r="D250" i="24" a="1"/>
  <c r="D250" i="24" s="1"/>
  <c r="D251" i="24" a="1"/>
  <c r="D251" i="24" s="1"/>
  <c r="D252" i="24" a="1"/>
  <c r="D252" i="24" s="1"/>
  <c r="D253" i="24" a="1"/>
  <c r="D253" i="24" s="1"/>
  <c r="D254" i="24" a="1"/>
  <c r="D254" i="24" s="1"/>
  <c r="D255" i="24" a="1"/>
  <c r="D255" i="24" s="1"/>
  <c r="D256" i="24" a="1"/>
  <c r="D256" i="24" s="1"/>
  <c r="D257" i="24" a="1"/>
  <c r="D257" i="24" s="1"/>
  <c r="D258" i="24" a="1"/>
  <c r="D258" i="24" s="1"/>
  <c r="D259" i="24" a="1"/>
  <c r="D259" i="24" s="1"/>
  <c r="D260" i="24" a="1"/>
  <c r="D260" i="24" s="1"/>
  <c r="D261" i="24" a="1"/>
  <c r="D261" i="24" s="1"/>
  <c r="D262" i="24" a="1"/>
  <c r="D262" i="24" s="1"/>
  <c r="D263" i="24" a="1"/>
  <c r="D263" i="24" s="1"/>
  <c r="D264" i="24" a="1"/>
  <c r="D264" i="24" s="1"/>
  <c r="D265" i="24" a="1"/>
  <c r="D265" i="24" s="1"/>
  <c r="D266" i="24" a="1"/>
  <c r="D266" i="24" s="1"/>
  <c r="D267" i="24" a="1"/>
  <c r="D267" i="24" s="1"/>
  <c r="D268" i="24" a="1"/>
  <c r="D268" i="24" s="1"/>
  <c r="D269" i="24" a="1"/>
  <c r="D269" i="24" s="1"/>
  <c r="D270" i="24" a="1"/>
  <c r="D270" i="24" s="1"/>
  <c r="D271" i="24" a="1"/>
  <c r="D271" i="24" s="1"/>
  <c r="D272" i="24" a="1"/>
  <c r="D272" i="24" s="1"/>
  <c r="D273" i="24" a="1"/>
  <c r="D273" i="24" s="1"/>
  <c r="D274" i="24" a="1"/>
  <c r="D274" i="24" s="1"/>
  <c r="D275" i="24" a="1"/>
  <c r="D275" i="24" s="1"/>
  <c r="D276" i="24" a="1"/>
  <c r="D276" i="24" s="1"/>
  <c r="D277" i="24" a="1"/>
  <c r="D277" i="24" s="1"/>
  <c r="D278" i="24" a="1"/>
  <c r="D278" i="24" s="1"/>
  <c r="D279" i="24" a="1"/>
  <c r="D279" i="24" s="1"/>
  <c r="D280" i="24" a="1"/>
  <c r="D280" i="24" s="1"/>
  <c r="D281" i="24" a="1"/>
  <c r="D281" i="24" s="1"/>
  <c r="D282" i="24" a="1"/>
  <c r="D282" i="24" s="1"/>
  <c r="D283" i="24" a="1"/>
  <c r="D283" i="24" s="1"/>
  <c r="D284" i="24" a="1"/>
  <c r="D284" i="24" s="1"/>
  <c r="D285" i="24" a="1"/>
  <c r="D285" i="24" s="1"/>
  <c r="D286" i="24" a="1"/>
  <c r="D286" i="24" s="1"/>
  <c r="D287" i="24" a="1"/>
  <c r="D287" i="24" s="1"/>
  <c r="D288" i="24" a="1"/>
  <c r="D288" i="24" s="1"/>
  <c r="D289" i="24" a="1"/>
  <c r="D289" i="24" s="1"/>
  <c r="D290" i="24" a="1"/>
  <c r="D290" i="24" s="1"/>
  <c r="D291" i="24" a="1"/>
  <c r="D291" i="24" s="1"/>
  <c r="D292" i="24" a="1"/>
  <c r="D292" i="24" s="1"/>
  <c r="D293" i="24" a="1"/>
  <c r="D293" i="24" s="1"/>
  <c r="D294" i="24" a="1"/>
  <c r="D294" i="24" s="1"/>
  <c r="D295" i="24" a="1"/>
  <c r="D295" i="24" s="1"/>
  <c r="D296" i="24" a="1"/>
  <c r="D296" i="24" s="1"/>
  <c r="D297" i="24" a="1"/>
  <c r="D297" i="24" s="1"/>
  <c r="D298" i="24" a="1"/>
  <c r="D298" i="24" s="1"/>
  <c r="D299" i="24" a="1"/>
  <c r="D299" i="24" s="1"/>
  <c r="D300" i="24" a="1"/>
  <c r="D300" i="24" s="1"/>
  <c r="D301" i="24" a="1"/>
  <c r="D301" i="24" s="1"/>
  <c r="D302" i="24" a="1"/>
  <c r="D302" i="24" s="1"/>
  <c r="D303" i="24" a="1"/>
  <c r="D303" i="24" s="1"/>
  <c r="D304" i="24" a="1"/>
  <c r="D304" i="24" s="1"/>
  <c r="D305" i="24" a="1"/>
  <c r="D305" i="24" s="1"/>
  <c r="D306" i="24" a="1"/>
  <c r="D306" i="24" s="1"/>
  <c r="D307" i="24" a="1"/>
  <c r="D307" i="24" s="1"/>
  <c r="D308" i="24" a="1"/>
  <c r="D308" i="24" s="1"/>
  <c r="D309" i="24" a="1"/>
  <c r="D309" i="24" s="1"/>
  <c r="D310" i="24" a="1"/>
  <c r="D310" i="24" s="1"/>
  <c r="D311" i="24" a="1"/>
  <c r="D311" i="24" s="1"/>
  <c r="D312" i="24" a="1"/>
  <c r="D312" i="24" s="1"/>
  <c r="D313" i="24" a="1"/>
  <c r="D313" i="24" s="1"/>
  <c r="D314" i="24" a="1"/>
  <c r="D314" i="24" s="1"/>
  <c r="D315" i="24" a="1"/>
  <c r="D315" i="24" s="1"/>
  <c r="D316" i="24" a="1"/>
  <c r="D316" i="24" s="1"/>
  <c r="D317" i="24" a="1"/>
  <c r="D317" i="24" s="1"/>
  <c r="D318" i="24" a="1"/>
  <c r="D318" i="24" s="1"/>
  <c r="D319" i="24" a="1"/>
  <c r="D319" i="24" s="1"/>
  <c r="D320" i="24" a="1"/>
  <c r="D320" i="24" s="1"/>
  <c r="D321" i="24" a="1"/>
  <c r="D321" i="24" s="1"/>
  <c r="D322" i="24" a="1"/>
  <c r="D322" i="24" s="1"/>
  <c r="D323" i="24" a="1"/>
  <c r="D323" i="24" s="1"/>
  <c r="D324" i="24" a="1"/>
  <c r="D324" i="24" s="1"/>
  <c r="D325" i="24" a="1"/>
  <c r="D325" i="24" s="1"/>
  <c r="D326" i="24" a="1"/>
  <c r="D326" i="24" s="1"/>
  <c r="D327" i="24" a="1"/>
  <c r="D327" i="24" s="1"/>
  <c r="D328" i="24" a="1"/>
  <c r="D328" i="24" s="1"/>
  <c r="D329" i="24" a="1"/>
  <c r="D329" i="24" s="1"/>
  <c r="D330" i="24" a="1"/>
  <c r="D330" i="24" s="1"/>
  <c r="D331" i="24" a="1"/>
  <c r="D331" i="24" s="1"/>
  <c r="D332" i="24" a="1"/>
  <c r="D332" i="24" s="1"/>
  <c r="D333" i="24" a="1"/>
  <c r="D333" i="24" s="1"/>
  <c r="D334" i="24" a="1"/>
  <c r="D334" i="24" s="1"/>
  <c r="D335" i="24" a="1"/>
  <c r="D335" i="24" s="1"/>
  <c r="D336" i="24" a="1"/>
  <c r="D336" i="24" s="1"/>
  <c r="D337" i="24" a="1"/>
  <c r="D337" i="24" s="1"/>
  <c r="D338" i="24" a="1"/>
  <c r="D338" i="24" s="1"/>
  <c r="D339" i="24" a="1"/>
  <c r="D339" i="24" s="1"/>
  <c r="D340" i="24" a="1"/>
  <c r="D340" i="24" s="1"/>
  <c r="D341" i="24" a="1"/>
  <c r="D341" i="24" s="1"/>
  <c r="D342" i="24" a="1"/>
  <c r="D342" i="24" s="1"/>
  <c r="D343" i="24" a="1"/>
  <c r="D343" i="24" s="1"/>
  <c r="D344" i="24" a="1"/>
  <c r="D344" i="24" s="1"/>
  <c r="D345" i="24" a="1"/>
  <c r="D345" i="24" s="1"/>
  <c r="D346" i="24" a="1"/>
  <c r="D346" i="24" s="1"/>
  <c r="D347" i="24" a="1"/>
  <c r="D347" i="24" s="1"/>
  <c r="D348" i="24" a="1"/>
  <c r="D348" i="24" s="1"/>
  <c r="D349" i="24" a="1"/>
  <c r="D349" i="24" s="1"/>
  <c r="D350" i="24" a="1"/>
  <c r="D350" i="24" s="1"/>
  <c r="D351" i="24" a="1"/>
  <c r="D351" i="24" s="1"/>
  <c r="D352" i="24" a="1"/>
  <c r="D352" i="24" s="1"/>
  <c r="D353" i="24" a="1"/>
  <c r="D353" i="24" s="1"/>
  <c r="D354" i="24" a="1"/>
  <c r="D354" i="24" s="1"/>
  <c r="D355" i="24" a="1"/>
  <c r="D355" i="24" s="1"/>
  <c r="D356" i="24" a="1"/>
  <c r="D356" i="24" s="1"/>
  <c r="D357" i="24" a="1"/>
  <c r="D357" i="24" s="1"/>
  <c r="D358" i="24" a="1"/>
  <c r="D358" i="24" s="1"/>
  <c r="D359" i="24" a="1"/>
  <c r="D359" i="24" s="1"/>
  <c r="D360" i="24" a="1"/>
  <c r="D360" i="24" s="1"/>
  <c r="D361" i="24" a="1"/>
  <c r="D361" i="24" s="1"/>
  <c r="D362" i="24" a="1"/>
  <c r="D362" i="24" s="1"/>
  <c r="D363" i="24" a="1"/>
  <c r="D363" i="24" s="1"/>
  <c r="D364" i="24" a="1"/>
  <c r="D364" i="24" s="1"/>
  <c r="D365" i="24" a="1"/>
  <c r="D365" i="24" s="1"/>
  <c r="D366" i="24" a="1"/>
  <c r="D366" i="24" s="1"/>
  <c r="D367" i="24" a="1"/>
  <c r="D367" i="24" s="1"/>
  <c r="D368" i="24" a="1"/>
  <c r="D368" i="24" s="1"/>
  <c r="D369" i="24" a="1"/>
  <c r="D369" i="24" s="1"/>
  <c r="D370" i="24" a="1"/>
  <c r="D370" i="24" s="1"/>
  <c r="D371" i="24" a="1"/>
  <c r="D371" i="24" s="1"/>
  <c r="D372" i="24" a="1"/>
  <c r="D372" i="24" s="1"/>
  <c r="D373" i="24" a="1"/>
  <c r="D373" i="24" s="1"/>
  <c r="D374" i="24" a="1"/>
  <c r="D374" i="24" s="1"/>
  <c r="D375" i="24" a="1"/>
  <c r="D375" i="24" s="1"/>
  <c r="D376" i="24" a="1"/>
  <c r="D376" i="24" s="1"/>
  <c r="D377" i="24" a="1"/>
  <c r="D377" i="24" s="1"/>
  <c r="D378" i="24" a="1"/>
  <c r="D378" i="24" s="1"/>
  <c r="D379" i="24" a="1"/>
  <c r="D379" i="24" s="1"/>
  <c r="D380" i="24" a="1"/>
  <c r="D380" i="24" s="1"/>
  <c r="D381" i="24" a="1"/>
  <c r="D381" i="24" s="1"/>
  <c r="D382" i="24" a="1"/>
  <c r="D382" i="24" s="1"/>
  <c r="D383" i="24" a="1"/>
  <c r="D383" i="24" s="1"/>
  <c r="D384" i="24" a="1"/>
  <c r="D384" i="24" s="1"/>
  <c r="D385" i="24" a="1"/>
  <c r="D385" i="24" s="1"/>
  <c r="D386" i="24" a="1"/>
  <c r="D386" i="24" s="1"/>
  <c r="D387" i="24" a="1"/>
  <c r="D387" i="24" s="1"/>
  <c r="D388" i="24" a="1"/>
  <c r="D388" i="24" s="1"/>
  <c r="D389" i="24" a="1"/>
  <c r="D389" i="24" s="1"/>
  <c r="D390" i="24" a="1"/>
  <c r="D390" i="24" s="1"/>
  <c r="D391" i="24" a="1"/>
  <c r="D391" i="24" s="1"/>
  <c r="D392" i="24" a="1"/>
  <c r="D392" i="24" s="1"/>
  <c r="D393" i="24" a="1"/>
  <c r="D393" i="24" s="1"/>
  <c r="D394" i="24" a="1"/>
  <c r="D394" i="24" s="1"/>
  <c r="D395" i="24" a="1"/>
  <c r="D395" i="24" s="1"/>
  <c r="D396" i="24" a="1"/>
  <c r="D396" i="24" s="1"/>
  <c r="D397" i="24" a="1"/>
  <c r="D397" i="24" s="1"/>
  <c r="D398" i="24" a="1"/>
  <c r="D398" i="24" s="1"/>
  <c r="D399" i="24" a="1"/>
  <c r="D399" i="24" s="1"/>
  <c r="D400" i="24" a="1"/>
  <c r="D400" i="24" s="1"/>
  <c r="D401" i="24" a="1"/>
  <c r="D401" i="24" s="1"/>
  <c r="D402" i="24" a="1"/>
  <c r="D402" i="24" s="1"/>
  <c r="D403" i="24" a="1"/>
  <c r="D403" i="24" s="1"/>
  <c r="D404" i="24" a="1"/>
  <c r="D404" i="24" s="1"/>
  <c r="D405" i="24" a="1"/>
  <c r="D405" i="24" s="1"/>
  <c r="D406" i="24" a="1"/>
  <c r="D406" i="24" s="1"/>
  <c r="D407" i="24" a="1"/>
  <c r="D407" i="24" s="1"/>
  <c r="D408" i="24" a="1"/>
  <c r="D408" i="24" s="1"/>
  <c r="D409" i="24" a="1"/>
  <c r="D409" i="24" s="1"/>
  <c r="D410" i="24" a="1"/>
  <c r="D410" i="24" s="1"/>
  <c r="D411" i="24" a="1"/>
  <c r="D411" i="24" s="1"/>
  <c r="D412" i="24" a="1"/>
  <c r="D412" i="24" s="1"/>
  <c r="D413" i="24" a="1"/>
  <c r="D413" i="24" s="1"/>
  <c r="D414" i="24" a="1"/>
  <c r="D414" i="24" s="1"/>
  <c r="D415" i="24" a="1"/>
  <c r="D415" i="24" s="1"/>
  <c r="D416" i="24" a="1"/>
  <c r="D416" i="24" s="1"/>
  <c r="D417" i="24" a="1"/>
  <c r="D417" i="24" s="1"/>
  <c r="D418" i="24" a="1"/>
  <c r="D418" i="24" s="1"/>
  <c r="D419" i="24" a="1"/>
  <c r="D419" i="24" s="1"/>
  <c r="D420" i="24" a="1"/>
  <c r="D420" i="24" s="1"/>
  <c r="D421" i="24" a="1"/>
  <c r="D421" i="24" s="1"/>
  <c r="D422" i="24" a="1"/>
  <c r="D422" i="24" s="1"/>
  <c r="D423" i="24" a="1"/>
  <c r="D423" i="24" s="1"/>
  <c r="D424" i="24" a="1"/>
  <c r="D424" i="24" s="1"/>
  <c r="D425" i="24" a="1"/>
  <c r="D425" i="24" s="1"/>
  <c r="D426" i="24" a="1"/>
  <c r="D426" i="24" s="1"/>
  <c r="D427" i="24" a="1"/>
  <c r="D427" i="24" s="1"/>
  <c r="D428" i="24" a="1"/>
  <c r="D428" i="24" s="1"/>
  <c r="D429" i="24" a="1"/>
  <c r="D429" i="24" s="1"/>
  <c r="D430" i="24" a="1"/>
  <c r="D430" i="24" s="1"/>
  <c r="D431" i="24" a="1"/>
  <c r="D431" i="24" s="1"/>
  <c r="D432" i="24" a="1"/>
  <c r="D432" i="24" s="1"/>
  <c r="D433" i="24" a="1"/>
  <c r="D433" i="24" s="1"/>
  <c r="D434" i="24" a="1"/>
  <c r="D434" i="24" s="1"/>
  <c r="D435" i="24" a="1"/>
  <c r="D435" i="24" s="1"/>
  <c r="D436" i="24" a="1"/>
  <c r="D436" i="24" s="1"/>
  <c r="D437" i="24" a="1"/>
  <c r="D437" i="24" s="1"/>
  <c r="D438" i="24" a="1"/>
  <c r="D438" i="24" s="1"/>
  <c r="D439" i="24" a="1"/>
  <c r="D439" i="24" s="1"/>
  <c r="D440" i="24" a="1"/>
  <c r="D440" i="24" s="1"/>
  <c r="D441" i="24" a="1"/>
  <c r="D441" i="24" s="1"/>
  <c r="D442" i="24" a="1"/>
  <c r="D442" i="24" s="1"/>
  <c r="D443" i="24" a="1"/>
  <c r="D443" i="24" s="1"/>
  <c r="D444" i="24" a="1"/>
  <c r="D444" i="24" s="1"/>
  <c r="D445" i="24" a="1"/>
  <c r="D445" i="24" s="1"/>
  <c r="D446" i="24" a="1"/>
  <c r="D446" i="24" s="1"/>
  <c r="D447" i="24" a="1"/>
  <c r="D447" i="24" s="1"/>
  <c r="D448" i="24" a="1"/>
  <c r="D448" i="24" s="1"/>
  <c r="D449" i="24" a="1"/>
  <c r="D449" i="24" s="1"/>
  <c r="D450" i="24" a="1"/>
  <c r="D450" i="24" s="1"/>
  <c r="D451" i="24" a="1"/>
  <c r="D451" i="24" s="1"/>
  <c r="D452" i="24" a="1"/>
  <c r="D452" i="24" s="1"/>
  <c r="D453" i="24" a="1"/>
  <c r="D453" i="24" s="1"/>
  <c r="D454" i="24" a="1"/>
  <c r="D454" i="24" s="1"/>
  <c r="D455" i="24" a="1"/>
  <c r="D455" i="24" s="1"/>
  <c r="D456" i="24" a="1"/>
  <c r="D456" i="24" s="1"/>
  <c r="D457" i="24" a="1"/>
  <c r="D457" i="24" s="1"/>
  <c r="D458" i="24" a="1"/>
  <c r="D458" i="24" s="1"/>
  <c r="D459" i="24" a="1"/>
  <c r="D459" i="24" s="1"/>
  <c r="D460" i="24" a="1"/>
  <c r="D460" i="24" s="1"/>
  <c r="D461" i="24" a="1"/>
  <c r="D461" i="24" s="1"/>
  <c r="D462" i="24" a="1"/>
  <c r="D462" i="24" s="1"/>
  <c r="D463" i="24" a="1"/>
  <c r="D463" i="24" s="1"/>
  <c r="D464" i="24" a="1"/>
  <c r="D464" i="24" s="1"/>
  <c r="D465" i="24" a="1"/>
  <c r="D465" i="24" s="1"/>
  <c r="D466" i="24" a="1"/>
  <c r="D466" i="24" s="1"/>
  <c r="D467" i="24" a="1"/>
  <c r="D467" i="24" s="1"/>
  <c r="D468" i="24" a="1"/>
  <c r="D468" i="24" s="1"/>
  <c r="D469" i="24" a="1"/>
  <c r="D469" i="24" s="1"/>
  <c r="D470" i="24" a="1"/>
  <c r="D470" i="24" s="1"/>
  <c r="D471" i="24" a="1"/>
  <c r="D471" i="24" s="1"/>
  <c r="D472" i="24" a="1"/>
  <c r="D472" i="24" s="1"/>
  <c r="D473" i="24" a="1"/>
  <c r="D473" i="24" s="1"/>
  <c r="D474" i="24" a="1"/>
  <c r="D474" i="24" s="1"/>
  <c r="D475" i="24" a="1"/>
  <c r="D475" i="24" s="1"/>
  <c r="D476" i="24" a="1"/>
  <c r="D476" i="24" s="1"/>
  <c r="D477" i="24" a="1"/>
  <c r="D477" i="24" s="1"/>
  <c r="D478" i="24" a="1"/>
  <c r="D478" i="24" s="1"/>
  <c r="D479" i="24" a="1"/>
  <c r="D479" i="24" s="1"/>
  <c r="D480" i="24" a="1"/>
  <c r="D480" i="24" s="1"/>
  <c r="D481" i="24" a="1"/>
  <c r="D481" i="24" s="1"/>
  <c r="D482" i="24" a="1"/>
  <c r="D482" i="24" s="1"/>
  <c r="D483" i="24" a="1"/>
  <c r="D483" i="24" s="1"/>
  <c r="D484" i="24" a="1"/>
  <c r="D484" i="24" s="1"/>
  <c r="D485" i="24" a="1"/>
  <c r="D485" i="24" s="1"/>
  <c r="D486" i="24" a="1"/>
  <c r="D486" i="24" s="1"/>
  <c r="D487" i="24" a="1"/>
  <c r="D487" i="24" s="1"/>
  <c r="D488" i="24" a="1"/>
  <c r="D488" i="24" s="1"/>
  <c r="D489" i="24" a="1"/>
  <c r="D489" i="24" s="1"/>
  <c r="D490" i="24" a="1"/>
  <c r="D490" i="24" s="1"/>
  <c r="D491" i="24" a="1"/>
  <c r="D491" i="24" s="1"/>
  <c r="D492" i="24" a="1"/>
  <c r="D492" i="24" s="1"/>
  <c r="D493" i="24" a="1"/>
  <c r="D493" i="24" s="1"/>
  <c r="D494" i="24" a="1"/>
  <c r="D494" i="24" s="1"/>
  <c r="D495" i="24" a="1"/>
  <c r="D495" i="24" s="1"/>
  <c r="D496" i="24" a="1"/>
  <c r="D496" i="24" s="1"/>
  <c r="D497" i="24" a="1"/>
  <c r="D497" i="24" s="1"/>
  <c r="D498" i="24" a="1"/>
  <c r="D498" i="24" s="1"/>
  <c r="D499" i="24" a="1"/>
  <c r="D499" i="24" s="1"/>
  <c r="D500" i="24" a="1"/>
  <c r="D500" i="24" s="1"/>
  <c r="D2" i="24" a="1"/>
  <c r="D2" i="24" s="1"/>
  <c r="H3" i="24" a="1"/>
  <c r="H3" i="24" s="1"/>
  <c r="H4" i="24" a="1"/>
  <c r="H4" i="24" s="1"/>
  <c r="H5" i="24" a="1"/>
  <c r="H5" i="24" s="1"/>
  <c r="H6" i="24" a="1"/>
  <c r="H6" i="24" s="1"/>
  <c r="H7" i="24" a="1"/>
  <c r="H7" i="24" s="1"/>
  <c r="H8" i="24" a="1"/>
  <c r="H8" i="24" s="1"/>
  <c r="H9" i="24" a="1"/>
  <c r="H9" i="24" s="1"/>
  <c r="H10" i="24" a="1"/>
  <c r="H10" i="24" s="1"/>
  <c r="H11" i="24" a="1"/>
  <c r="H11" i="24" s="1"/>
  <c r="H12" i="24" a="1"/>
  <c r="H12" i="24" s="1"/>
  <c r="H13" i="24" a="1"/>
  <c r="H13" i="24" s="1"/>
  <c r="H14" i="24" a="1"/>
  <c r="H14" i="24" s="1"/>
  <c r="H15" i="24" a="1"/>
  <c r="H15" i="24" s="1"/>
  <c r="H16" i="24" a="1"/>
  <c r="H16" i="24" s="1"/>
  <c r="H17" i="24" a="1"/>
  <c r="H17" i="24" s="1"/>
  <c r="H18" i="24" a="1"/>
  <c r="H18" i="24" s="1"/>
  <c r="H19" i="24" a="1"/>
  <c r="H19" i="24" s="1"/>
  <c r="H20" i="24" a="1"/>
  <c r="H20" i="24" s="1"/>
  <c r="H21" i="24" a="1"/>
  <c r="H21" i="24" s="1"/>
  <c r="H22" i="24" a="1"/>
  <c r="H22" i="24" s="1"/>
  <c r="H23" i="24" a="1"/>
  <c r="H23" i="24" s="1"/>
  <c r="H24" i="24" a="1"/>
  <c r="H24" i="24" s="1"/>
  <c r="H25" i="24" a="1"/>
  <c r="H25" i="24" s="1"/>
  <c r="H26" i="24" a="1"/>
  <c r="H26" i="24" s="1"/>
  <c r="H27" i="24" a="1"/>
  <c r="H27" i="24" s="1"/>
  <c r="H28" i="24" a="1"/>
  <c r="H28" i="24" s="1"/>
  <c r="H29" i="24" a="1"/>
  <c r="H29" i="24" s="1"/>
  <c r="H30" i="24" a="1"/>
  <c r="H30" i="24" s="1"/>
  <c r="H31" i="24" a="1"/>
  <c r="H31" i="24" s="1"/>
  <c r="H32" i="24" a="1"/>
  <c r="H32" i="24" s="1"/>
  <c r="H33" i="24" a="1"/>
  <c r="H33" i="24" s="1"/>
  <c r="H34" i="24" a="1"/>
  <c r="H34" i="24" s="1"/>
  <c r="H35" i="24" a="1"/>
  <c r="H35" i="24" s="1"/>
  <c r="H36" i="24" a="1"/>
  <c r="H36" i="24" s="1"/>
  <c r="H37" i="24" a="1"/>
  <c r="H37" i="24" s="1"/>
  <c r="H38" i="24" a="1"/>
  <c r="H38" i="24" s="1"/>
  <c r="H39" i="24" a="1"/>
  <c r="H39" i="24" s="1"/>
  <c r="H40" i="24" a="1"/>
  <c r="H40" i="24" s="1"/>
  <c r="H41" i="24" a="1"/>
  <c r="H41" i="24" s="1"/>
  <c r="H42" i="24" a="1"/>
  <c r="H42" i="24" s="1"/>
  <c r="H43" i="24" a="1"/>
  <c r="H43" i="24" s="1"/>
  <c r="H44" i="24" a="1"/>
  <c r="H44" i="24" s="1"/>
  <c r="H45" i="24" a="1"/>
  <c r="H45" i="24" s="1"/>
  <c r="H46" i="24" a="1"/>
  <c r="H46" i="24" s="1"/>
  <c r="H47" i="24" a="1"/>
  <c r="H47" i="24" s="1"/>
  <c r="H48" i="24" a="1"/>
  <c r="H48" i="24" s="1"/>
  <c r="H49" i="24" a="1"/>
  <c r="H49" i="24" s="1"/>
  <c r="H50" i="24" a="1"/>
  <c r="H50" i="24" s="1"/>
  <c r="H51" i="24" a="1"/>
  <c r="H51" i="24" s="1"/>
  <c r="H52" i="24" a="1"/>
  <c r="H52" i="24" s="1"/>
  <c r="H53" i="24" a="1"/>
  <c r="H53" i="24" s="1"/>
  <c r="H54" i="24" a="1"/>
  <c r="H54" i="24" s="1"/>
  <c r="H55" i="24" a="1"/>
  <c r="H55" i="24" s="1"/>
  <c r="H56" i="24" a="1"/>
  <c r="H56" i="24" s="1"/>
  <c r="H57" i="24" a="1"/>
  <c r="H57" i="24" s="1"/>
  <c r="H58" i="24" a="1"/>
  <c r="H58" i="24" s="1"/>
  <c r="H59" i="24" a="1"/>
  <c r="H59" i="24" s="1"/>
  <c r="H60" i="24" a="1"/>
  <c r="H60" i="24" s="1"/>
  <c r="H61" i="24" a="1"/>
  <c r="H61" i="24" s="1"/>
  <c r="H62" i="24" a="1"/>
  <c r="H62" i="24" s="1"/>
  <c r="H63" i="24" a="1"/>
  <c r="H63" i="24" s="1"/>
  <c r="H64" i="24" a="1"/>
  <c r="H64" i="24" s="1"/>
  <c r="H65" i="24" a="1"/>
  <c r="H65" i="24" s="1"/>
  <c r="H66" i="24" a="1"/>
  <c r="H66" i="24" s="1"/>
  <c r="H67" i="24" a="1"/>
  <c r="H67" i="24" s="1"/>
  <c r="H68" i="24" a="1"/>
  <c r="H68" i="24" s="1"/>
  <c r="H69" i="24" a="1"/>
  <c r="H69" i="24" s="1"/>
  <c r="H70" i="24" a="1"/>
  <c r="H70" i="24" s="1"/>
  <c r="H71" i="24" a="1"/>
  <c r="H71" i="24" s="1"/>
  <c r="H72" i="24" a="1"/>
  <c r="H72" i="24" s="1"/>
  <c r="H73" i="24" a="1"/>
  <c r="H73" i="24" s="1"/>
  <c r="H74" i="24" a="1"/>
  <c r="H74" i="24" s="1"/>
  <c r="H75" i="24" a="1"/>
  <c r="H75" i="24" s="1"/>
  <c r="H76" i="24" a="1"/>
  <c r="H76" i="24" s="1"/>
  <c r="H77" i="24" a="1"/>
  <c r="H77" i="24" s="1"/>
  <c r="H78" i="24" a="1"/>
  <c r="H78" i="24" s="1"/>
  <c r="H79" i="24" a="1"/>
  <c r="H79" i="24" s="1"/>
  <c r="H80" i="24" a="1"/>
  <c r="H80" i="24" s="1"/>
  <c r="H81" i="24" a="1"/>
  <c r="H81" i="24" s="1"/>
  <c r="H82" i="24" a="1"/>
  <c r="H82" i="24" s="1"/>
  <c r="H83" i="24" a="1"/>
  <c r="H83" i="24" s="1"/>
  <c r="H84" i="24" a="1"/>
  <c r="H84" i="24" s="1"/>
  <c r="H85" i="24" a="1"/>
  <c r="H85" i="24" s="1"/>
  <c r="H86" i="24" a="1"/>
  <c r="H86" i="24" s="1"/>
  <c r="H87" i="24" a="1"/>
  <c r="H87" i="24" s="1"/>
  <c r="H88" i="24" a="1"/>
  <c r="H88" i="24" s="1"/>
  <c r="H89" i="24" a="1"/>
  <c r="H89" i="24" s="1"/>
  <c r="H90" i="24" a="1"/>
  <c r="H90" i="24" s="1"/>
  <c r="H91" i="24" a="1"/>
  <c r="H91" i="24" s="1"/>
  <c r="H92" i="24" a="1"/>
  <c r="H92" i="24" s="1"/>
  <c r="H93" i="24" a="1"/>
  <c r="H93" i="24" s="1"/>
  <c r="H94" i="24" a="1"/>
  <c r="H94" i="24" s="1"/>
  <c r="H95" i="24" a="1"/>
  <c r="H95" i="24" s="1"/>
  <c r="H96" i="24" a="1"/>
  <c r="H96" i="24" s="1"/>
  <c r="H97" i="24" a="1"/>
  <c r="H97" i="24" s="1"/>
  <c r="H98" i="24" a="1"/>
  <c r="H98" i="24" s="1"/>
  <c r="H99" i="24" a="1"/>
  <c r="H99" i="24" s="1"/>
  <c r="H100" i="24" a="1"/>
  <c r="H100" i="24" s="1"/>
  <c r="H101" i="24" a="1"/>
  <c r="H101" i="24" s="1"/>
  <c r="H102" i="24" a="1"/>
  <c r="H102" i="24" s="1"/>
  <c r="H103" i="24" a="1"/>
  <c r="H103" i="24" s="1"/>
  <c r="H104" i="24" a="1"/>
  <c r="H104" i="24" s="1"/>
  <c r="H105" i="24" a="1"/>
  <c r="H105" i="24" s="1"/>
  <c r="H106" i="24" a="1"/>
  <c r="H106" i="24" s="1"/>
  <c r="H107" i="24" a="1"/>
  <c r="H107" i="24" s="1"/>
  <c r="H108" i="24" a="1"/>
  <c r="H108" i="24" s="1"/>
  <c r="H109" i="24" a="1"/>
  <c r="H109" i="24" s="1"/>
  <c r="H110" i="24" a="1"/>
  <c r="H110" i="24" s="1"/>
  <c r="H111" i="24" a="1"/>
  <c r="H111" i="24" s="1"/>
  <c r="H112" i="24" a="1"/>
  <c r="H112" i="24" s="1"/>
  <c r="H113" i="24" a="1"/>
  <c r="H113" i="24" s="1"/>
  <c r="H114" i="24" a="1"/>
  <c r="H114" i="24" s="1"/>
  <c r="H115" i="24" a="1"/>
  <c r="H115" i="24" s="1"/>
  <c r="H116" i="24" a="1"/>
  <c r="H116" i="24" s="1"/>
  <c r="H117" i="24" a="1"/>
  <c r="H117" i="24" s="1"/>
  <c r="H118" i="24" a="1"/>
  <c r="H118" i="24" s="1"/>
  <c r="H119" i="24" a="1"/>
  <c r="H119" i="24" s="1"/>
  <c r="H120" i="24" a="1"/>
  <c r="H120" i="24" s="1"/>
  <c r="H121" i="24" a="1"/>
  <c r="H121" i="24" s="1"/>
  <c r="H122" i="24" a="1"/>
  <c r="H122" i="24" s="1"/>
  <c r="H123" i="24" a="1"/>
  <c r="H123" i="24" s="1"/>
  <c r="H124" i="24" a="1"/>
  <c r="H124" i="24" s="1"/>
  <c r="H125" i="24" a="1"/>
  <c r="H125" i="24" s="1"/>
  <c r="H126" i="24" a="1"/>
  <c r="H126" i="24" s="1"/>
  <c r="H127" i="24" a="1"/>
  <c r="H127" i="24" s="1"/>
  <c r="H128" i="24" a="1"/>
  <c r="H128" i="24" s="1"/>
  <c r="H129" i="24" a="1"/>
  <c r="H129" i="24" s="1"/>
  <c r="H130" i="24" a="1"/>
  <c r="H130" i="24" s="1"/>
  <c r="H131" i="24" a="1"/>
  <c r="H131" i="24" s="1"/>
  <c r="H132" i="24" a="1"/>
  <c r="H132" i="24" s="1"/>
  <c r="H133" i="24" a="1"/>
  <c r="H133" i="24" s="1"/>
  <c r="H134" i="24" a="1"/>
  <c r="H134" i="24" s="1"/>
  <c r="H135" i="24" a="1"/>
  <c r="H135" i="24" s="1"/>
  <c r="H136" i="24" a="1"/>
  <c r="H136" i="24" s="1"/>
  <c r="H137" i="24" a="1"/>
  <c r="H137" i="24" s="1"/>
  <c r="H138" i="24" a="1"/>
  <c r="H138" i="24" s="1"/>
  <c r="H139" i="24" a="1"/>
  <c r="H139" i="24" s="1"/>
  <c r="H140" i="24" a="1"/>
  <c r="H140" i="24" s="1"/>
  <c r="H141" i="24" a="1"/>
  <c r="H141" i="24" s="1"/>
  <c r="H142" i="24" a="1"/>
  <c r="H142" i="24" s="1"/>
  <c r="H143" i="24" a="1"/>
  <c r="H143" i="24" s="1"/>
  <c r="H144" i="24" a="1"/>
  <c r="H144" i="24" s="1"/>
  <c r="H145" i="24" a="1"/>
  <c r="H145" i="24" s="1"/>
  <c r="H146" i="24" a="1"/>
  <c r="H146" i="24" s="1"/>
  <c r="H147" i="24" a="1"/>
  <c r="H147" i="24" s="1"/>
  <c r="H148" i="24" a="1"/>
  <c r="H148" i="24" s="1"/>
  <c r="H149" i="24" a="1"/>
  <c r="H149" i="24" s="1"/>
  <c r="H150" i="24" a="1"/>
  <c r="H150" i="24" s="1"/>
  <c r="H151" i="24" a="1"/>
  <c r="H151" i="24" s="1"/>
  <c r="H152" i="24" a="1"/>
  <c r="H152" i="24" s="1"/>
  <c r="H153" i="24" a="1"/>
  <c r="H153" i="24" s="1"/>
  <c r="H154" i="24" a="1"/>
  <c r="H154" i="24" s="1"/>
  <c r="H155" i="24" a="1"/>
  <c r="H155" i="24" s="1"/>
  <c r="H156" i="24" a="1"/>
  <c r="H156" i="24" s="1"/>
  <c r="H157" i="24" a="1"/>
  <c r="H157" i="24" s="1"/>
  <c r="H158" i="24" a="1"/>
  <c r="H158" i="24" s="1"/>
  <c r="H159" i="24" a="1"/>
  <c r="H159" i="24" s="1"/>
  <c r="H160" i="24" a="1"/>
  <c r="H160" i="24" s="1"/>
  <c r="H161" i="24" a="1"/>
  <c r="H161" i="24" s="1"/>
  <c r="H162" i="24" a="1"/>
  <c r="H162" i="24" s="1"/>
  <c r="H163" i="24" a="1"/>
  <c r="H163" i="24" s="1"/>
  <c r="H164" i="24" a="1"/>
  <c r="H164" i="24" s="1"/>
  <c r="H165" i="24" a="1"/>
  <c r="H165" i="24" s="1"/>
  <c r="H166" i="24" a="1"/>
  <c r="H166" i="24" s="1"/>
  <c r="H167" i="24" a="1"/>
  <c r="H167" i="24" s="1"/>
  <c r="H168" i="24" a="1"/>
  <c r="H168" i="24" s="1"/>
  <c r="H169" i="24" a="1"/>
  <c r="H169" i="24" s="1"/>
  <c r="H170" i="24" a="1"/>
  <c r="H170" i="24" s="1"/>
  <c r="H171" i="24" a="1"/>
  <c r="H171" i="24" s="1"/>
  <c r="H172" i="24" a="1"/>
  <c r="H172" i="24" s="1"/>
  <c r="H173" i="24" a="1"/>
  <c r="H173" i="24" s="1"/>
  <c r="H174" i="24" a="1"/>
  <c r="H174" i="24" s="1"/>
  <c r="H175" i="24" a="1"/>
  <c r="H175" i="24" s="1"/>
  <c r="H176" i="24" a="1"/>
  <c r="H176" i="24" s="1"/>
  <c r="H177" i="24" a="1"/>
  <c r="H177" i="24" s="1"/>
  <c r="H178" i="24" a="1"/>
  <c r="H178" i="24" s="1"/>
  <c r="H179" i="24" a="1"/>
  <c r="H179" i="24" s="1"/>
  <c r="H2" i="24" a="1"/>
  <c r="H2" i="24" s="1"/>
  <c r="C3" i="24" a="1"/>
  <c r="C3" i="24" s="1"/>
  <c r="C4" i="24" a="1"/>
  <c r="C4" i="24" s="1"/>
  <c r="C5" i="24" a="1"/>
  <c r="C5" i="24" s="1"/>
  <c r="C6" i="24" a="1"/>
  <c r="C6" i="24" s="1"/>
  <c r="C7" i="24" a="1"/>
  <c r="C7" i="24" s="1"/>
  <c r="C8" i="24" a="1"/>
  <c r="C8" i="24" s="1"/>
  <c r="C9" i="24" a="1"/>
  <c r="C9" i="24" s="1"/>
  <c r="C10" i="24" a="1"/>
  <c r="C10" i="24" s="1"/>
  <c r="C11" i="24" a="1"/>
  <c r="C11" i="24" s="1"/>
  <c r="C12" i="24" a="1"/>
  <c r="C12" i="24" s="1"/>
  <c r="C13" i="24" a="1"/>
  <c r="C13" i="24" s="1"/>
  <c r="C14" i="24" a="1"/>
  <c r="C14" i="24" s="1"/>
  <c r="C15" i="24" a="1"/>
  <c r="C15" i="24" s="1"/>
  <c r="C16" i="24" a="1"/>
  <c r="C16" i="24" s="1"/>
  <c r="C17" i="24" a="1"/>
  <c r="C17" i="24" s="1"/>
  <c r="C18" i="24" a="1"/>
  <c r="C18" i="24" s="1"/>
  <c r="C19" i="24" a="1"/>
  <c r="C19" i="24" s="1"/>
  <c r="C20" i="24" a="1"/>
  <c r="C20" i="24" s="1"/>
  <c r="C21" i="24" a="1"/>
  <c r="C21" i="24" s="1"/>
  <c r="C22" i="24" a="1"/>
  <c r="C22" i="24" s="1"/>
  <c r="C23" i="24" a="1"/>
  <c r="C23" i="24" s="1"/>
  <c r="C24" i="24" a="1"/>
  <c r="C24" i="24" s="1"/>
  <c r="C25" i="24" a="1"/>
  <c r="C25" i="24" s="1"/>
  <c r="C26" i="24" a="1"/>
  <c r="C26" i="24" s="1"/>
  <c r="C27" i="24" a="1"/>
  <c r="C27" i="24" s="1"/>
  <c r="C28" i="24" a="1"/>
  <c r="C28" i="24" s="1"/>
  <c r="C29" i="24" a="1"/>
  <c r="C29" i="24" s="1"/>
  <c r="C30" i="24" a="1"/>
  <c r="C30" i="24" s="1"/>
  <c r="C31" i="24" a="1"/>
  <c r="C31" i="24" s="1"/>
  <c r="C32" i="24" a="1"/>
  <c r="C32" i="24" s="1"/>
  <c r="C33" i="24" a="1"/>
  <c r="C33" i="24" s="1"/>
  <c r="C34" i="24" a="1"/>
  <c r="C34" i="24" s="1"/>
  <c r="C35" i="24" a="1"/>
  <c r="C35" i="24" s="1"/>
  <c r="C36" i="24" a="1"/>
  <c r="C36" i="24" s="1"/>
  <c r="C37" i="24" a="1"/>
  <c r="C37" i="24" s="1"/>
  <c r="C38" i="24" a="1"/>
  <c r="C38" i="24" s="1"/>
  <c r="C39" i="24" a="1"/>
  <c r="C39" i="24" s="1"/>
  <c r="C40" i="24" a="1"/>
  <c r="C40" i="24" s="1"/>
  <c r="C41" i="24" a="1"/>
  <c r="C41" i="24" s="1"/>
  <c r="C42" i="24" a="1"/>
  <c r="C42" i="24" s="1"/>
  <c r="C43" i="24" a="1"/>
  <c r="C43" i="24" s="1"/>
  <c r="C44" i="24" a="1"/>
  <c r="C44" i="24" s="1"/>
  <c r="C45" i="24" a="1"/>
  <c r="C45" i="24" s="1"/>
  <c r="C46" i="24" a="1"/>
  <c r="C46" i="24" s="1"/>
  <c r="C47" i="24" a="1"/>
  <c r="C47" i="24" s="1"/>
  <c r="C48" i="24" a="1"/>
  <c r="C48" i="24" s="1"/>
  <c r="C49" i="24" a="1"/>
  <c r="C49" i="24" s="1"/>
  <c r="C50" i="24" a="1"/>
  <c r="C50" i="24" s="1"/>
  <c r="C51" i="24" a="1"/>
  <c r="C51" i="24" s="1"/>
  <c r="C52" i="24" a="1"/>
  <c r="C52" i="24" s="1"/>
  <c r="C53" i="24" a="1"/>
  <c r="C53" i="24" s="1"/>
  <c r="C54" i="24" a="1"/>
  <c r="C54" i="24" s="1"/>
  <c r="C55" i="24" a="1"/>
  <c r="C55" i="24" s="1"/>
  <c r="C56" i="24" a="1"/>
  <c r="C56" i="24" s="1"/>
  <c r="C57" i="24" a="1"/>
  <c r="C57" i="24" s="1"/>
  <c r="C58" i="24" a="1"/>
  <c r="C58" i="24" s="1"/>
  <c r="C59" i="24" a="1"/>
  <c r="C59" i="24" s="1"/>
  <c r="C60" i="24" a="1"/>
  <c r="C60" i="24" s="1"/>
  <c r="C61" i="24" a="1"/>
  <c r="C61" i="24" s="1"/>
  <c r="C62" i="24" a="1"/>
  <c r="C62" i="24" s="1"/>
  <c r="C63" i="24" a="1"/>
  <c r="C63" i="24" s="1"/>
  <c r="C64" i="24" a="1"/>
  <c r="C64" i="24" s="1"/>
  <c r="C65" i="24" a="1"/>
  <c r="C65" i="24" s="1"/>
  <c r="C66" i="24" a="1"/>
  <c r="C66" i="24" s="1"/>
  <c r="C67" i="24" a="1"/>
  <c r="C67" i="24" s="1"/>
  <c r="C68" i="24" a="1"/>
  <c r="C68" i="24" s="1"/>
  <c r="C69" i="24" a="1"/>
  <c r="C69" i="24" s="1"/>
  <c r="C70" i="24" a="1"/>
  <c r="C70" i="24" s="1"/>
  <c r="C71" i="24" a="1"/>
  <c r="C71" i="24" s="1"/>
  <c r="C72" i="24" a="1"/>
  <c r="C72" i="24" s="1"/>
  <c r="C73" i="24" a="1"/>
  <c r="C73" i="24" s="1"/>
  <c r="C74" i="24" a="1"/>
  <c r="C74" i="24" s="1"/>
  <c r="C75" i="24" a="1"/>
  <c r="C75" i="24" s="1"/>
  <c r="C76" i="24" a="1"/>
  <c r="C76" i="24" s="1"/>
  <c r="C77" i="24" a="1"/>
  <c r="C77" i="24" s="1"/>
  <c r="C78" i="24" a="1"/>
  <c r="C78" i="24" s="1"/>
  <c r="C79" i="24" a="1"/>
  <c r="C79" i="24" s="1"/>
  <c r="C80" i="24" a="1"/>
  <c r="C80" i="24" s="1"/>
  <c r="C81" i="24" a="1"/>
  <c r="C81" i="24" s="1"/>
  <c r="C82" i="24" a="1"/>
  <c r="C82" i="24" s="1"/>
  <c r="C83" i="24" a="1"/>
  <c r="C83" i="24" s="1"/>
  <c r="C84" i="24" a="1"/>
  <c r="C84" i="24" s="1"/>
  <c r="C85" i="24" a="1"/>
  <c r="C85" i="24" s="1"/>
  <c r="C86" i="24" a="1"/>
  <c r="C86" i="24" s="1"/>
  <c r="C87" i="24" a="1"/>
  <c r="C87" i="24" s="1"/>
  <c r="C88" i="24" a="1"/>
  <c r="C88" i="24" s="1"/>
  <c r="C89" i="24" a="1"/>
  <c r="C89" i="24" s="1"/>
  <c r="C90" i="24" a="1"/>
  <c r="C90" i="24" s="1"/>
  <c r="C91" i="24" a="1"/>
  <c r="C91" i="24" s="1"/>
  <c r="C92" i="24" a="1"/>
  <c r="C92" i="24" s="1"/>
  <c r="C93" i="24" a="1"/>
  <c r="C93" i="24" s="1"/>
  <c r="C94" i="24" a="1"/>
  <c r="C94" i="24" s="1"/>
  <c r="C95" i="24" a="1"/>
  <c r="C95" i="24" s="1"/>
  <c r="C96" i="24" a="1"/>
  <c r="C96" i="24" s="1"/>
  <c r="C97" i="24" a="1"/>
  <c r="C97" i="24" s="1"/>
  <c r="C98" i="24" a="1"/>
  <c r="C98" i="24" s="1"/>
  <c r="C99" i="24" a="1"/>
  <c r="C99" i="24" s="1"/>
  <c r="C100" i="24" a="1"/>
  <c r="C100" i="24" s="1"/>
  <c r="C101" i="24" a="1"/>
  <c r="C101" i="24" s="1"/>
  <c r="C102" i="24" a="1"/>
  <c r="C102" i="24" s="1"/>
  <c r="C103" i="24" a="1"/>
  <c r="C103" i="24" s="1"/>
  <c r="C104" i="24" a="1"/>
  <c r="C104" i="24" s="1"/>
  <c r="C105" i="24" a="1"/>
  <c r="C105" i="24" s="1"/>
  <c r="C106" i="24" a="1"/>
  <c r="C106" i="24" s="1"/>
  <c r="C107" i="24" a="1"/>
  <c r="C107" i="24" s="1"/>
  <c r="C108" i="24" a="1"/>
  <c r="C108" i="24" s="1"/>
  <c r="C109" i="24" a="1"/>
  <c r="C109" i="24" s="1"/>
  <c r="C110" i="24" a="1"/>
  <c r="C110" i="24" s="1"/>
  <c r="C111" i="24" a="1"/>
  <c r="C111" i="24" s="1"/>
  <c r="C112" i="24" a="1"/>
  <c r="C112" i="24" s="1"/>
  <c r="C113" i="24" a="1"/>
  <c r="C113" i="24" s="1"/>
  <c r="C114" i="24" a="1"/>
  <c r="C114" i="24" s="1"/>
  <c r="C115" i="24" a="1"/>
  <c r="C115" i="24" s="1"/>
  <c r="C116" i="24" a="1"/>
  <c r="C116" i="24" s="1"/>
  <c r="C117" i="24" a="1"/>
  <c r="C117" i="24" s="1"/>
  <c r="C118" i="24" a="1"/>
  <c r="C118" i="24" s="1"/>
  <c r="C119" i="24" a="1"/>
  <c r="C119" i="24" s="1"/>
  <c r="C120" i="24" a="1"/>
  <c r="C120" i="24" s="1"/>
  <c r="C121" i="24" a="1"/>
  <c r="C121" i="24" s="1"/>
  <c r="C122" i="24" a="1"/>
  <c r="C122" i="24" s="1"/>
  <c r="C123" i="24" a="1"/>
  <c r="C123" i="24" s="1"/>
  <c r="C124" i="24" a="1"/>
  <c r="C124" i="24" s="1"/>
  <c r="C125" i="24" a="1"/>
  <c r="C125" i="24" s="1"/>
  <c r="C126" i="24" a="1"/>
  <c r="C126" i="24" s="1"/>
  <c r="C127" i="24" a="1"/>
  <c r="C127" i="24" s="1"/>
  <c r="C128" i="24" a="1"/>
  <c r="C128" i="24" s="1"/>
  <c r="C129" i="24" a="1"/>
  <c r="C129" i="24" s="1"/>
  <c r="C130" i="24" a="1"/>
  <c r="C130" i="24" s="1"/>
  <c r="C131" i="24" a="1"/>
  <c r="C131" i="24" s="1"/>
  <c r="C132" i="24" a="1"/>
  <c r="C132" i="24" s="1"/>
  <c r="C133" i="24" a="1"/>
  <c r="C133" i="24" s="1"/>
  <c r="C134" i="24" a="1"/>
  <c r="C134" i="24" s="1"/>
  <c r="C135" i="24" a="1"/>
  <c r="C135" i="24" s="1"/>
  <c r="C136" i="24" a="1"/>
  <c r="C136" i="24" s="1"/>
  <c r="C137" i="24" a="1"/>
  <c r="C137" i="24" s="1"/>
  <c r="C138" i="24" a="1"/>
  <c r="C138" i="24" s="1"/>
  <c r="C139" i="24" a="1"/>
  <c r="C139" i="24" s="1"/>
  <c r="C140" i="24" a="1"/>
  <c r="C140" i="24" s="1"/>
  <c r="C141" i="24" a="1"/>
  <c r="C141" i="24" s="1"/>
  <c r="C142" i="24" a="1"/>
  <c r="C142" i="24" s="1"/>
  <c r="C143" i="24" a="1"/>
  <c r="C143" i="24" s="1"/>
  <c r="C144" i="24" a="1"/>
  <c r="C144" i="24" s="1"/>
  <c r="C145" i="24" a="1"/>
  <c r="C145" i="24" s="1"/>
  <c r="C146" i="24" a="1"/>
  <c r="C146" i="24" s="1"/>
  <c r="C147" i="24" a="1"/>
  <c r="C147" i="24" s="1"/>
  <c r="C148" i="24" a="1"/>
  <c r="C148" i="24" s="1"/>
  <c r="C149" i="24" a="1"/>
  <c r="C149" i="24" s="1"/>
  <c r="C150" i="24" a="1"/>
  <c r="C150" i="24" s="1"/>
  <c r="C151" i="24" a="1"/>
  <c r="C151" i="24" s="1"/>
  <c r="C152" i="24" a="1"/>
  <c r="C152" i="24" s="1"/>
  <c r="C153" i="24" a="1"/>
  <c r="C153" i="24" s="1"/>
  <c r="C154" i="24" a="1"/>
  <c r="C154" i="24" s="1"/>
  <c r="C155" i="24" a="1"/>
  <c r="C155" i="24" s="1"/>
  <c r="C156" i="24" a="1"/>
  <c r="C156" i="24" s="1"/>
  <c r="C157" i="24" a="1"/>
  <c r="C157" i="24" s="1"/>
  <c r="C158" i="24" a="1"/>
  <c r="C158" i="24" s="1"/>
  <c r="C159" i="24" a="1"/>
  <c r="C159" i="24" s="1"/>
  <c r="C160" i="24" a="1"/>
  <c r="C160" i="24" s="1"/>
  <c r="C161" i="24" a="1"/>
  <c r="C161" i="24" s="1"/>
  <c r="C162" i="24" a="1"/>
  <c r="C162" i="24" s="1"/>
  <c r="C163" i="24" a="1"/>
  <c r="C163" i="24" s="1"/>
  <c r="C164" i="24" a="1"/>
  <c r="C164" i="24" s="1"/>
  <c r="C165" i="24" a="1"/>
  <c r="C165" i="24" s="1"/>
  <c r="C166" i="24" a="1"/>
  <c r="C166" i="24" s="1"/>
  <c r="C167" i="24" a="1"/>
  <c r="C167" i="24" s="1"/>
  <c r="C168" i="24" a="1"/>
  <c r="C168" i="24" s="1"/>
  <c r="C169" i="24" a="1"/>
  <c r="C169" i="24" s="1"/>
  <c r="C170" i="24" a="1"/>
  <c r="C170" i="24" s="1"/>
  <c r="C171" i="24" a="1"/>
  <c r="C171" i="24" s="1"/>
  <c r="C172" i="24" a="1"/>
  <c r="C172" i="24" s="1"/>
  <c r="C173" i="24" a="1"/>
  <c r="C173" i="24" s="1"/>
  <c r="C174" i="24" a="1"/>
  <c r="C174" i="24" s="1"/>
  <c r="C175" i="24" a="1"/>
  <c r="C175" i="24" s="1"/>
  <c r="C176" i="24" a="1"/>
  <c r="C176" i="24" s="1"/>
  <c r="C177" i="24" a="1"/>
  <c r="C177" i="24" s="1"/>
  <c r="C178" i="24" a="1"/>
  <c r="C178" i="24" s="1"/>
  <c r="C179" i="24" a="1"/>
  <c r="C179" i="24" s="1"/>
  <c r="C180" i="24" a="1"/>
  <c r="C180" i="24" s="1"/>
  <c r="C181" i="24" a="1"/>
  <c r="C181" i="24" s="1"/>
  <c r="C182" i="24" a="1"/>
  <c r="C182" i="24" s="1"/>
  <c r="C183" i="24" a="1"/>
  <c r="C183" i="24" s="1"/>
  <c r="C184" i="24" a="1"/>
  <c r="C184" i="24" s="1"/>
  <c r="C185" i="24" a="1"/>
  <c r="C185" i="24" s="1"/>
  <c r="C186" i="24" a="1"/>
  <c r="C186" i="24" s="1"/>
  <c r="C187" i="24" a="1"/>
  <c r="C187" i="24" s="1"/>
  <c r="C188" i="24" a="1"/>
  <c r="C188" i="24" s="1"/>
  <c r="C189" i="24" a="1"/>
  <c r="C189" i="24" s="1"/>
  <c r="C190" i="24" a="1"/>
  <c r="C190" i="24" s="1"/>
  <c r="C191" i="24" a="1"/>
  <c r="C191" i="24" s="1"/>
  <c r="C192" i="24" a="1"/>
  <c r="C192" i="24" s="1"/>
  <c r="C193" i="24" a="1"/>
  <c r="C193" i="24" s="1"/>
  <c r="C194" i="24" a="1"/>
  <c r="C194" i="24" s="1"/>
  <c r="C195" i="24" a="1"/>
  <c r="C195" i="24" s="1"/>
  <c r="C196" i="24" a="1"/>
  <c r="C196" i="24" s="1"/>
  <c r="C197" i="24" a="1"/>
  <c r="C197" i="24" s="1"/>
  <c r="C198" i="24" a="1"/>
  <c r="C198" i="24" s="1"/>
  <c r="C199" i="24" a="1"/>
  <c r="C199" i="24" s="1"/>
  <c r="C200" i="24" a="1"/>
  <c r="C200" i="24" s="1"/>
  <c r="C201" i="24" a="1"/>
  <c r="C201" i="24" s="1"/>
  <c r="C202" i="24" a="1"/>
  <c r="C202" i="24" s="1"/>
  <c r="C203" i="24" a="1"/>
  <c r="C203" i="24" s="1"/>
  <c r="C204" i="24" a="1"/>
  <c r="C204" i="24" s="1"/>
  <c r="C205" i="24" a="1"/>
  <c r="C205" i="24" s="1"/>
  <c r="C206" i="24" a="1"/>
  <c r="C206" i="24" s="1"/>
  <c r="C207" i="24" a="1"/>
  <c r="C207" i="24" s="1"/>
  <c r="C208" i="24" a="1"/>
  <c r="C208" i="24" s="1"/>
  <c r="C209" i="24" a="1"/>
  <c r="C209" i="24" s="1"/>
  <c r="C210" i="24" a="1"/>
  <c r="C210" i="24" s="1"/>
  <c r="C211" i="24" a="1"/>
  <c r="C211" i="24" s="1"/>
  <c r="C212" i="24" a="1"/>
  <c r="C212" i="24" s="1"/>
  <c r="C213" i="24" a="1"/>
  <c r="C213" i="24" s="1"/>
  <c r="C214" i="24" a="1"/>
  <c r="C214" i="24" s="1"/>
  <c r="C215" i="24" a="1"/>
  <c r="C215" i="24" s="1"/>
  <c r="C216" i="24" a="1"/>
  <c r="C216" i="24" s="1"/>
  <c r="C217" i="24" a="1"/>
  <c r="C217" i="24" s="1"/>
  <c r="C218" i="24" a="1"/>
  <c r="C218" i="24" s="1"/>
  <c r="C219" i="24" a="1"/>
  <c r="C219" i="24" s="1"/>
  <c r="C220" i="24" a="1"/>
  <c r="C220" i="24" s="1"/>
  <c r="C221" i="24" a="1"/>
  <c r="C221" i="24" s="1"/>
  <c r="C222" i="24" a="1"/>
  <c r="C222" i="24" s="1"/>
  <c r="C223" i="24" a="1"/>
  <c r="C223" i="24" s="1"/>
  <c r="C224" i="24" a="1"/>
  <c r="C224" i="24" s="1"/>
  <c r="C225" i="24" a="1"/>
  <c r="C225" i="24" s="1"/>
  <c r="C226" i="24" a="1"/>
  <c r="C226" i="24" s="1"/>
  <c r="C227" i="24" a="1"/>
  <c r="C227" i="24" s="1"/>
  <c r="C228" i="24" a="1"/>
  <c r="C228" i="24" s="1"/>
  <c r="C229" i="24" a="1"/>
  <c r="C229" i="24" s="1"/>
  <c r="C230" i="24" a="1"/>
  <c r="C230" i="24" s="1"/>
  <c r="C231" i="24" a="1"/>
  <c r="C231" i="24" s="1"/>
  <c r="C232" i="24" a="1"/>
  <c r="C232" i="24" s="1"/>
  <c r="C233" i="24" a="1"/>
  <c r="C233" i="24" s="1"/>
  <c r="C234" i="24" a="1"/>
  <c r="C234" i="24" s="1"/>
  <c r="C235" i="24" a="1"/>
  <c r="C235" i="24" s="1"/>
  <c r="C236" i="24" a="1"/>
  <c r="C236" i="24" s="1"/>
  <c r="C237" i="24" a="1"/>
  <c r="C237" i="24" s="1"/>
  <c r="C238" i="24" a="1"/>
  <c r="C238" i="24" s="1"/>
  <c r="C239" i="24" a="1"/>
  <c r="C239" i="24" s="1"/>
  <c r="C240" i="24" a="1"/>
  <c r="C240" i="24" s="1"/>
  <c r="C241" i="24" a="1"/>
  <c r="C241" i="24" s="1"/>
  <c r="C242" i="24" a="1"/>
  <c r="C242" i="24" s="1"/>
  <c r="C243" i="24" a="1"/>
  <c r="C243" i="24" s="1"/>
  <c r="C244" i="24" a="1"/>
  <c r="C244" i="24" s="1"/>
  <c r="C245" i="24" a="1"/>
  <c r="C245" i="24" s="1"/>
  <c r="C246" i="24" a="1"/>
  <c r="C246" i="24" s="1"/>
  <c r="C247" i="24" a="1"/>
  <c r="C247" i="24" s="1"/>
  <c r="C248" i="24" a="1"/>
  <c r="C248" i="24" s="1"/>
  <c r="C249" i="24" a="1"/>
  <c r="C249" i="24" s="1"/>
  <c r="C250" i="24" a="1"/>
  <c r="C250" i="24" s="1"/>
  <c r="C251" i="24" a="1"/>
  <c r="C251" i="24" s="1"/>
  <c r="C252" i="24" a="1"/>
  <c r="C252" i="24" s="1"/>
  <c r="C253" i="24" a="1"/>
  <c r="C253" i="24" s="1"/>
  <c r="C254" i="24" a="1"/>
  <c r="C254" i="24" s="1"/>
  <c r="C255" i="24" a="1"/>
  <c r="C255" i="24" s="1"/>
  <c r="C256" i="24" a="1"/>
  <c r="C256" i="24" s="1"/>
  <c r="C257" i="24" a="1"/>
  <c r="C257" i="24" s="1"/>
  <c r="C258" i="24" a="1"/>
  <c r="C258" i="24" s="1"/>
  <c r="C259" i="24" a="1"/>
  <c r="C259" i="24" s="1"/>
  <c r="C260" i="24" a="1"/>
  <c r="C260" i="24" s="1"/>
  <c r="C261" i="24" a="1"/>
  <c r="C261" i="24" s="1"/>
  <c r="C262" i="24" a="1"/>
  <c r="C262" i="24" s="1"/>
  <c r="C263" i="24" a="1"/>
  <c r="C263" i="24" s="1"/>
  <c r="C264" i="24" a="1"/>
  <c r="C264" i="24" s="1"/>
  <c r="C265" i="24" a="1"/>
  <c r="C265" i="24" s="1"/>
  <c r="C266" i="24" a="1"/>
  <c r="C266" i="24" s="1"/>
  <c r="C267" i="24" a="1"/>
  <c r="C267" i="24" s="1"/>
  <c r="C268" i="24" a="1"/>
  <c r="C268" i="24" s="1"/>
  <c r="C269" i="24" a="1"/>
  <c r="C269" i="24" s="1"/>
  <c r="C270" i="24" a="1"/>
  <c r="C270" i="24" s="1"/>
  <c r="C271" i="24" a="1"/>
  <c r="C271" i="24" s="1"/>
  <c r="C272" i="24" a="1"/>
  <c r="C272" i="24" s="1"/>
  <c r="C273" i="24" a="1"/>
  <c r="C273" i="24" s="1"/>
  <c r="C274" i="24" a="1"/>
  <c r="C274" i="24" s="1"/>
  <c r="C275" i="24" a="1"/>
  <c r="C275" i="24" s="1"/>
  <c r="C276" i="24" a="1"/>
  <c r="C276" i="24" s="1"/>
  <c r="C277" i="24" a="1"/>
  <c r="C277" i="24" s="1"/>
  <c r="C278" i="24" a="1"/>
  <c r="C278" i="24" s="1"/>
  <c r="C279" i="24" a="1"/>
  <c r="C279" i="24" s="1"/>
  <c r="C280" i="24" a="1"/>
  <c r="C280" i="24" s="1"/>
  <c r="C281" i="24" a="1"/>
  <c r="C281" i="24" s="1"/>
  <c r="C282" i="24" a="1"/>
  <c r="C282" i="24" s="1"/>
  <c r="C283" i="24" a="1"/>
  <c r="C283" i="24" s="1"/>
  <c r="C284" i="24" a="1"/>
  <c r="C284" i="24" s="1"/>
  <c r="C285" i="24" a="1"/>
  <c r="C285" i="24" s="1"/>
  <c r="C286" i="24" a="1"/>
  <c r="C286" i="24" s="1"/>
  <c r="C287" i="24" a="1"/>
  <c r="C287" i="24" s="1"/>
  <c r="C288" i="24" a="1"/>
  <c r="C288" i="24" s="1"/>
  <c r="C289" i="24" a="1"/>
  <c r="C289" i="24" s="1"/>
  <c r="C290" i="24" a="1"/>
  <c r="C290" i="24" s="1"/>
  <c r="C291" i="24" a="1"/>
  <c r="C291" i="24" s="1"/>
  <c r="C292" i="24" a="1"/>
  <c r="C292" i="24" s="1"/>
  <c r="C293" i="24" a="1"/>
  <c r="C293" i="24" s="1"/>
  <c r="C294" i="24" a="1"/>
  <c r="C294" i="24" s="1"/>
  <c r="C295" i="24" a="1"/>
  <c r="C295" i="24" s="1"/>
  <c r="C296" i="24" a="1"/>
  <c r="C296" i="24" s="1"/>
  <c r="C297" i="24" a="1"/>
  <c r="C297" i="24" s="1"/>
  <c r="C298" i="24" a="1"/>
  <c r="C298" i="24" s="1"/>
  <c r="C299" i="24" a="1"/>
  <c r="C299" i="24" s="1"/>
  <c r="C300" i="24" a="1"/>
  <c r="C300" i="24" s="1"/>
  <c r="C301" i="24" a="1"/>
  <c r="C301" i="24" s="1"/>
  <c r="C302" i="24" a="1"/>
  <c r="C302" i="24" s="1"/>
  <c r="C303" i="24" a="1"/>
  <c r="C303" i="24" s="1"/>
  <c r="C304" i="24" a="1"/>
  <c r="C304" i="24" s="1"/>
  <c r="C305" i="24" a="1"/>
  <c r="C305" i="24" s="1"/>
  <c r="C306" i="24" a="1"/>
  <c r="C306" i="24" s="1"/>
  <c r="C307" i="24" a="1"/>
  <c r="C307" i="24" s="1"/>
  <c r="C308" i="24" a="1"/>
  <c r="C308" i="24" s="1"/>
  <c r="C309" i="24" a="1"/>
  <c r="C309" i="24" s="1"/>
  <c r="C310" i="24" a="1"/>
  <c r="C310" i="24" s="1"/>
  <c r="C311" i="24" a="1"/>
  <c r="C311" i="24" s="1"/>
  <c r="C312" i="24" a="1"/>
  <c r="C312" i="24" s="1"/>
  <c r="C313" i="24" a="1"/>
  <c r="C313" i="24" s="1"/>
  <c r="C314" i="24" a="1"/>
  <c r="C314" i="24" s="1"/>
  <c r="C315" i="24" a="1"/>
  <c r="C315" i="24" s="1"/>
  <c r="C316" i="24" a="1"/>
  <c r="C316" i="24" s="1"/>
  <c r="C317" i="24" a="1"/>
  <c r="C317" i="24" s="1"/>
  <c r="C318" i="24" a="1"/>
  <c r="C318" i="24" s="1"/>
  <c r="C319" i="24" a="1"/>
  <c r="C319" i="24" s="1"/>
  <c r="C320" i="24" a="1"/>
  <c r="C320" i="24" s="1"/>
  <c r="C321" i="24" a="1"/>
  <c r="C321" i="24" s="1"/>
  <c r="C322" i="24" a="1"/>
  <c r="C322" i="24" s="1"/>
  <c r="C323" i="24" a="1"/>
  <c r="C323" i="24" s="1"/>
  <c r="C324" i="24" a="1"/>
  <c r="C324" i="24" s="1"/>
  <c r="C325" i="24" a="1"/>
  <c r="C325" i="24" s="1"/>
  <c r="C326" i="24" a="1"/>
  <c r="C326" i="24" s="1"/>
  <c r="C327" i="24" a="1"/>
  <c r="C327" i="24" s="1"/>
  <c r="C328" i="24" a="1"/>
  <c r="C328" i="24" s="1"/>
  <c r="C329" i="24" a="1"/>
  <c r="C329" i="24" s="1"/>
  <c r="C330" i="24" a="1"/>
  <c r="C330" i="24" s="1"/>
  <c r="C331" i="24" a="1"/>
  <c r="C331" i="24" s="1"/>
  <c r="C332" i="24" a="1"/>
  <c r="C332" i="24" s="1"/>
  <c r="C333" i="24" a="1"/>
  <c r="C333" i="24" s="1"/>
  <c r="C334" i="24" a="1"/>
  <c r="C334" i="24" s="1"/>
  <c r="C335" i="24" a="1"/>
  <c r="C335" i="24" s="1"/>
  <c r="C336" i="24" a="1"/>
  <c r="C336" i="24" s="1"/>
  <c r="C337" i="24" a="1"/>
  <c r="C337" i="24" s="1"/>
  <c r="C338" i="24" a="1"/>
  <c r="C338" i="24" s="1"/>
  <c r="C339" i="24" a="1"/>
  <c r="C339" i="24" s="1"/>
  <c r="C340" i="24" a="1"/>
  <c r="C340" i="24" s="1"/>
  <c r="C341" i="24" a="1"/>
  <c r="C341" i="24" s="1"/>
  <c r="C342" i="24" a="1"/>
  <c r="C342" i="24" s="1"/>
  <c r="C343" i="24" a="1"/>
  <c r="C343" i="24" s="1"/>
  <c r="C344" i="24" a="1"/>
  <c r="C344" i="24" s="1"/>
  <c r="C345" i="24" a="1"/>
  <c r="C345" i="24" s="1"/>
  <c r="C346" i="24" a="1"/>
  <c r="C346" i="24" s="1"/>
  <c r="C347" i="24" a="1"/>
  <c r="C347" i="24" s="1"/>
  <c r="C348" i="24" a="1"/>
  <c r="C348" i="24" s="1"/>
  <c r="C349" i="24" a="1"/>
  <c r="C349" i="24" s="1"/>
  <c r="C350" i="24" a="1"/>
  <c r="C350" i="24" s="1"/>
  <c r="C351" i="24" a="1"/>
  <c r="C351" i="24" s="1"/>
  <c r="C352" i="24" a="1"/>
  <c r="C352" i="24" s="1"/>
  <c r="C353" i="24" a="1"/>
  <c r="C353" i="24" s="1"/>
  <c r="C354" i="24" a="1"/>
  <c r="C354" i="24" s="1"/>
  <c r="C355" i="24" a="1"/>
  <c r="C355" i="24" s="1"/>
  <c r="C356" i="24" a="1"/>
  <c r="C356" i="24" s="1"/>
  <c r="C357" i="24" a="1"/>
  <c r="C357" i="24" s="1"/>
  <c r="C358" i="24" a="1"/>
  <c r="C358" i="24" s="1"/>
  <c r="C359" i="24" a="1"/>
  <c r="C359" i="24" s="1"/>
  <c r="C360" i="24" a="1"/>
  <c r="C360" i="24" s="1"/>
  <c r="C361" i="24" a="1"/>
  <c r="C361" i="24" s="1"/>
  <c r="C362" i="24" a="1"/>
  <c r="C362" i="24" s="1"/>
  <c r="C363" i="24" a="1"/>
  <c r="C363" i="24" s="1"/>
  <c r="C364" i="24" a="1"/>
  <c r="C364" i="24" s="1"/>
  <c r="C365" i="24" a="1"/>
  <c r="C365" i="24" s="1"/>
  <c r="C366" i="24" a="1"/>
  <c r="C366" i="24" s="1"/>
  <c r="C367" i="24" a="1"/>
  <c r="C367" i="24" s="1"/>
  <c r="C368" i="24" a="1"/>
  <c r="C368" i="24" s="1"/>
  <c r="C369" i="24" a="1"/>
  <c r="C369" i="24" s="1"/>
  <c r="C370" i="24" a="1"/>
  <c r="C370" i="24" s="1"/>
  <c r="C371" i="24" a="1"/>
  <c r="C371" i="24" s="1"/>
  <c r="C372" i="24" a="1"/>
  <c r="C372" i="24" s="1"/>
  <c r="C373" i="24" a="1"/>
  <c r="C373" i="24" s="1"/>
  <c r="C374" i="24" a="1"/>
  <c r="C374" i="24" s="1"/>
  <c r="C375" i="24" a="1"/>
  <c r="C375" i="24" s="1"/>
  <c r="C376" i="24" a="1"/>
  <c r="C376" i="24" s="1"/>
  <c r="C377" i="24" a="1"/>
  <c r="C377" i="24" s="1"/>
  <c r="C378" i="24" a="1"/>
  <c r="C378" i="24" s="1"/>
  <c r="C379" i="24" a="1"/>
  <c r="C379" i="24" s="1"/>
  <c r="C380" i="24" a="1"/>
  <c r="C380" i="24" s="1"/>
  <c r="C381" i="24" a="1"/>
  <c r="C381" i="24" s="1"/>
  <c r="C382" i="24" a="1"/>
  <c r="C382" i="24" s="1"/>
  <c r="C383" i="24" a="1"/>
  <c r="C383" i="24" s="1"/>
  <c r="C384" i="24" a="1"/>
  <c r="C384" i="24" s="1"/>
  <c r="C385" i="24" a="1"/>
  <c r="C385" i="24" s="1"/>
  <c r="C386" i="24" a="1"/>
  <c r="C386" i="24" s="1"/>
  <c r="C387" i="24" a="1"/>
  <c r="C387" i="24" s="1"/>
  <c r="C388" i="24" a="1"/>
  <c r="C388" i="24" s="1"/>
  <c r="C389" i="24" a="1"/>
  <c r="C389" i="24" s="1"/>
  <c r="C390" i="24" a="1"/>
  <c r="C390" i="24" s="1"/>
  <c r="C391" i="24" a="1"/>
  <c r="C391" i="24" s="1"/>
  <c r="C392" i="24" a="1"/>
  <c r="C392" i="24" s="1"/>
  <c r="C393" i="24" a="1"/>
  <c r="C393" i="24" s="1"/>
  <c r="C394" i="24" a="1"/>
  <c r="C394" i="24" s="1"/>
  <c r="C395" i="24" a="1"/>
  <c r="C395" i="24" s="1"/>
  <c r="C396" i="24" a="1"/>
  <c r="C396" i="24" s="1"/>
  <c r="C397" i="24" a="1"/>
  <c r="C397" i="24" s="1"/>
  <c r="C398" i="24" a="1"/>
  <c r="C398" i="24" s="1"/>
  <c r="C399" i="24" a="1"/>
  <c r="C399" i="24" s="1"/>
  <c r="C400" i="24" a="1"/>
  <c r="C400" i="24" s="1"/>
  <c r="C401" i="24" a="1"/>
  <c r="C401" i="24" s="1"/>
  <c r="C402" i="24" a="1"/>
  <c r="C402" i="24" s="1"/>
  <c r="C403" i="24" a="1"/>
  <c r="C403" i="24" s="1"/>
  <c r="C404" i="24" a="1"/>
  <c r="C404" i="24" s="1"/>
  <c r="C405" i="24" a="1"/>
  <c r="C405" i="24" s="1"/>
  <c r="C406" i="24" a="1"/>
  <c r="C406" i="24" s="1"/>
  <c r="C407" i="24" a="1"/>
  <c r="C407" i="24" s="1"/>
  <c r="C408" i="24" a="1"/>
  <c r="C408" i="24" s="1"/>
  <c r="C409" i="24" a="1"/>
  <c r="C409" i="24" s="1"/>
  <c r="C410" i="24" a="1"/>
  <c r="C410" i="24" s="1"/>
  <c r="C411" i="24" a="1"/>
  <c r="C411" i="24" s="1"/>
  <c r="C412" i="24" a="1"/>
  <c r="C412" i="24" s="1"/>
  <c r="C413" i="24" a="1"/>
  <c r="C413" i="24" s="1"/>
  <c r="C414" i="24" a="1"/>
  <c r="C414" i="24" s="1"/>
  <c r="C415" i="24" a="1"/>
  <c r="C415" i="24" s="1"/>
  <c r="C416" i="24" a="1"/>
  <c r="C416" i="24" s="1"/>
  <c r="C417" i="24" a="1"/>
  <c r="C417" i="24" s="1"/>
  <c r="C418" i="24" a="1"/>
  <c r="C418" i="24" s="1"/>
  <c r="C419" i="24" a="1"/>
  <c r="C419" i="24" s="1"/>
  <c r="C420" i="24" a="1"/>
  <c r="C420" i="24" s="1"/>
  <c r="C421" i="24" a="1"/>
  <c r="C421" i="24" s="1"/>
  <c r="C422" i="24" a="1"/>
  <c r="C422" i="24" s="1"/>
  <c r="C423" i="24" a="1"/>
  <c r="C423" i="24" s="1"/>
  <c r="C424" i="24" a="1"/>
  <c r="C424" i="24" s="1"/>
  <c r="C425" i="24" a="1"/>
  <c r="C425" i="24" s="1"/>
  <c r="C426" i="24" a="1"/>
  <c r="C426" i="24" s="1"/>
  <c r="C427" i="24" a="1"/>
  <c r="C427" i="24" s="1"/>
  <c r="C428" i="24" a="1"/>
  <c r="C428" i="24" s="1"/>
  <c r="C429" i="24" a="1"/>
  <c r="C429" i="24" s="1"/>
  <c r="C430" i="24" a="1"/>
  <c r="C430" i="24" s="1"/>
  <c r="C431" i="24" a="1"/>
  <c r="C431" i="24" s="1"/>
  <c r="C432" i="24" a="1"/>
  <c r="C432" i="24" s="1"/>
  <c r="C433" i="24" a="1"/>
  <c r="C433" i="24" s="1"/>
  <c r="C434" i="24" a="1"/>
  <c r="C434" i="24" s="1"/>
  <c r="C435" i="24" a="1"/>
  <c r="C435" i="24" s="1"/>
  <c r="C436" i="24" a="1"/>
  <c r="C436" i="24" s="1"/>
  <c r="C437" i="24" a="1"/>
  <c r="C437" i="24" s="1"/>
  <c r="C438" i="24" a="1"/>
  <c r="C438" i="24" s="1"/>
  <c r="C439" i="24" a="1"/>
  <c r="C439" i="24" s="1"/>
  <c r="C440" i="24" a="1"/>
  <c r="C440" i="24" s="1"/>
  <c r="C441" i="24" a="1"/>
  <c r="C441" i="24" s="1"/>
  <c r="C442" i="24" a="1"/>
  <c r="C442" i="24" s="1"/>
  <c r="C443" i="24" a="1"/>
  <c r="C443" i="24" s="1"/>
  <c r="C444" i="24" a="1"/>
  <c r="C444" i="24" s="1"/>
  <c r="C445" i="24" a="1"/>
  <c r="C445" i="24" s="1"/>
  <c r="C446" i="24" a="1"/>
  <c r="C446" i="24" s="1"/>
  <c r="C447" i="24" a="1"/>
  <c r="C447" i="24" s="1"/>
  <c r="C448" i="24" a="1"/>
  <c r="C448" i="24" s="1"/>
  <c r="C449" i="24" a="1"/>
  <c r="C449" i="24" s="1"/>
  <c r="C450" i="24" a="1"/>
  <c r="C450" i="24" s="1"/>
  <c r="C451" i="24" a="1"/>
  <c r="C451" i="24" s="1"/>
  <c r="C452" i="24" a="1"/>
  <c r="C452" i="24" s="1"/>
  <c r="C453" i="24" a="1"/>
  <c r="C453" i="24" s="1"/>
  <c r="C454" i="24" a="1"/>
  <c r="C454" i="24" s="1"/>
  <c r="C455" i="24" a="1"/>
  <c r="C455" i="24" s="1"/>
  <c r="C456" i="24" a="1"/>
  <c r="C456" i="24" s="1"/>
  <c r="C457" i="24" a="1"/>
  <c r="C457" i="24" s="1"/>
  <c r="C458" i="24" a="1"/>
  <c r="C458" i="24" s="1"/>
  <c r="C459" i="24" a="1"/>
  <c r="C459" i="24" s="1"/>
  <c r="C460" i="24" a="1"/>
  <c r="C460" i="24" s="1"/>
  <c r="C461" i="24" a="1"/>
  <c r="C461" i="24" s="1"/>
  <c r="C462" i="24" a="1"/>
  <c r="C462" i="24" s="1"/>
  <c r="C463" i="24" a="1"/>
  <c r="C463" i="24" s="1"/>
  <c r="C464" i="24" a="1"/>
  <c r="C464" i="24" s="1"/>
  <c r="C465" i="24" a="1"/>
  <c r="C465" i="24" s="1"/>
  <c r="C466" i="24" a="1"/>
  <c r="C466" i="24" s="1"/>
  <c r="C467" i="24" a="1"/>
  <c r="C467" i="24" s="1"/>
  <c r="C468" i="24" a="1"/>
  <c r="C468" i="24" s="1"/>
  <c r="C469" i="24" a="1"/>
  <c r="C469" i="24" s="1"/>
  <c r="C470" i="24" a="1"/>
  <c r="C470" i="24" s="1"/>
  <c r="C471" i="24" a="1"/>
  <c r="C471" i="24" s="1"/>
  <c r="C472" i="24" a="1"/>
  <c r="C472" i="24" s="1"/>
  <c r="C473" i="24" a="1"/>
  <c r="C473" i="24" s="1"/>
  <c r="C474" i="24" a="1"/>
  <c r="C474" i="24" s="1"/>
  <c r="C475" i="24" a="1"/>
  <c r="C475" i="24" s="1"/>
  <c r="C476" i="24" a="1"/>
  <c r="C476" i="24" s="1"/>
  <c r="C477" i="24" a="1"/>
  <c r="C477" i="24" s="1"/>
  <c r="C478" i="24" a="1"/>
  <c r="C478" i="24" s="1"/>
  <c r="C479" i="24" a="1"/>
  <c r="C479" i="24" s="1"/>
  <c r="C480" i="24" a="1"/>
  <c r="C480" i="24" s="1"/>
  <c r="C481" i="24" a="1"/>
  <c r="C481" i="24" s="1"/>
  <c r="C482" i="24" a="1"/>
  <c r="C482" i="24" s="1"/>
  <c r="C483" i="24" a="1"/>
  <c r="C483" i="24" s="1"/>
  <c r="C484" i="24" a="1"/>
  <c r="C484" i="24" s="1"/>
  <c r="C485" i="24" a="1"/>
  <c r="C485" i="24" s="1"/>
  <c r="C486" i="24" a="1"/>
  <c r="C486" i="24" s="1"/>
  <c r="C487" i="24" a="1"/>
  <c r="C487" i="24" s="1"/>
  <c r="C488" i="24" a="1"/>
  <c r="C488" i="24" s="1"/>
  <c r="C489" i="24" a="1"/>
  <c r="C489" i="24" s="1"/>
  <c r="C490" i="24" a="1"/>
  <c r="C490" i="24" s="1"/>
  <c r="C491" i="24" a="1"/>
  <c r="C491" i="24" s="1"/>
  <c r="C492" i="24" a="1"/>
  <c r="C492" i="24" s="1"/>
  <c r="C493" i="24" a="1"/>
  <c r="C493" i="24" s="1"/>
  <c r="C494" i="24" a="1"/>
  <c r="C494" i="24" s="1"/>
  <c r="C495" i="24" a="1"/>
  <c r="C495" i="24" s="1"/>
  <c r="C496" i="24" a="1"/>
  <c r="C496" i="24" s="1"/>
  <c r="C497" i="24" a="1"/>
  <c r="C497" i="24" s="1"/>
  <c r="C498" i="24" a="1"/>
  <c r="C498" i="24" s="1"/>
  <c r="C499" i="24" a="1"/>
  <c r="C499" i="24" s="1"/>
  <c r="C500" i="24" a="1"/>
  <c r="C500" i="24" s="1"/>
  <c r="C2" i="24" a="1"/>
  <c r="C2" i="24" s="1"/>
  <c r="T203" i="24" l="1"/>
  <c r="U203" i="24" s="1"/>
  <c r="V7" i="24"/>
  <c r="AB10" i="5"/>
  <c r="AB35" i="5"/>
  <c r="AB30" i="5"/>
  <c r="AB23" i="5"/>
  <c r="AB14" i="5"/>
  <c r="AC27" i="5"/>
  <c r="AB20" i="5"/>
  <c r="AB12" i="5"/>
  <c r="AB6" i="5"/>
  <c r="AB21" i="5"/>
  <c r="AB9" i="5"/>
  <c r="AB25" i="5"/>
  <c r="AC28" i="5"/>
  <c r="AC16" i="5"/>
  <c r="AC4" i="5"/>
  <c r="H15" i="1"/>
  <c r="AB46" i="5"/>
  <c r="AB22" i="5"/>
  <c r="AB45" i="5"/>
  <c r="AB33" i="5"/>
  <c r="AB44" i="5"/>
  <c r="AB43" i="5"/>
  <c r="AB7" i="5"/>
  <c r="AB42" i="5"/>
  <c r="AB18" i="5"/>
  <c r="AB41" i="5"/>
  <c r="AB29" i="5"/>
  <c r="AB5" i="5"/>
  <c r="AB40" i="5"/>
  <c r="AB13" i="5"/>
  <c r="AB48" i="5"/>
  <c r="AB47" i="5"/>
  <c r="AB3" i="5"/>
  <c r="AB15" i="5"/>
  <c r="I15" i="1"/>
  <c r="G16" i="1"/>
  <c r="H16" i="1"/>
  <c r="G15" i="1"/>
  <c r="T190" i="24"/>
  <c r="U190" i="24" s="1"/>
  <c r="T178" i="24"/>
  <c r="U178" i="24" s="1"/>
  <c r="T166" i="24"/>
  <c r="U166" i="24" s="1"/>
  <c r="T154" i="24"/>
  <c r="U154" i="24" s="1"/>
  <c r="T142" i="24"/>
  <c r="U142" i="24" s="1"/>
  <c r="T130" i="24"/>
  <c r="U130" i="24" s="1"/>
  <c r="T118" i="24"/>
  <c r="U118" i="24" s="1"/>
  <c r="T106" i="24"/>
  <c r="U106" i="24" s="1"/>
  <c r="T94" i="24"/>
  <c r="U94" i="24" s="1"/>
  <c r="T82" i="24"/>
  <c r="U82" i="24" s="1"/>
  <c r="T70" i="24"/>
  <c r="U70" i="24" s="1"/>
  <c r="T58" i="24"/>
  <c r="U58" i="24" s="1"/>
  <c r="T46" i="24"/>
  <c r="U46" i="24" s="1"/>
  <c r="T34" i="24"/>
  <c r="T22" i="24"/>
  <c r="T10" i="24"/>
  <c r="T202" i="24"/>
  <c r="U202" i="24" s="1"/>
  <c r="V198" i="24"/>
  <c r="W198" i="24" s="1"/>
  <c r="V186" i="24"/>
  <c r="W186" i="24" s="1"/>
  <c r="V174" i="24"/>
  <c r="W174" i="24" s="1"/>
  <c r="V162" i="24"/>
  <c r="W162" i="24" s="1"/>
  <c r="V150" i="24"/>
  <c r="W150" i="24" s="1"/>
  <c r="V138" i="24"/>
  <c r="W138" i="24" s="1"/>
  <c r="V126" i="24"/>
  <c r="W126" i="24" s="1"/>
  <c r="V114" i="24"/>
  <c r="W114" i="24" s="1"/>
  <c r="V102" i="24"/>
  <c r="W102" i="24" s="1"/>
  <c r="V90" i="24"/>
  <c r="W90" i="24" s="1"/>
  <c r="V78" i="24"/>
  <c r="W78" i="24" s="1"/>
  <c r="V66" i="24"/>
  <c r="W66" i="24" s="1"/>
  <c r="V54" i="24"/>
  <c r="W54" i="24" s="1"/>
  <c r="V42" i="24"/>
  <c r="W42" i="24" s="1"/>
  <c r="V30" i="24"/>
  <c r="V18" i="24"/>
  <c r="V6" i="24"/>
  <c r="T189" i="24"/>
  <c r="U189" i="24" s="1"/>
  <c r="T177" i="24"/>
  <c r="U177" i="24" s="1"/>
  <c r="T165" i="24"/>
  <c r="U165" i="24" s="1"/>
  <c r="T153" i="24"/>
  <c r="U153" i="24" s="1"/>
  <c r="T141" i="24"/>
  <c r="U141" i="24" s="1"/>
  <c r="T129" i="24"/>
  <c r="U129" i="24" s="1"/>
  <c r="T117" i="24"/>
  <c r="U117" i="24" s="1"/>
  <c r="T105" i="24"/>
  <c r="U105" i="24" s="1"/>
  <c r="T93" i="24"/>
  <c r="U93" i="24" s="1"/>
  <c r="T81" i="24"/>
  <c r="U81" i="24" s="1"/>
  <c r="T69" i="24"/>
  <c r="U69" i="24" s="1"/>
  <c r="T57" i="24"/>
  <c r="U57" i="24" s="1"/>
  <c r="T45" i="24"/>
  <c r="U45" i="24" s="1"/>
  <c r="T33" i="24"/>
  <c r="T21" i="24"/>
  <c r="T9" i="24"/>
  <c r="T201" i="24"/>
  <c r="U201" i="24" s="1"/>
  <c r="V197" i="24"/>
  <c r="W197" i="24" s="1"/>
  <c r="V185" i="24"/>
  <c r="W185" i="24" s="1"/>
  <c r="V173" i="24"/>
  <c r="W173" i="24" s="1"/>
  <c r="V161" i="24"/>
  <c r="W161" i="24" s="1"/>
  <c r="V149" i="24"/>
  <c r="W149" i="24" s="1"/>
  <c r="V137" i="24"/>
  <c r="W137" i="24" s="1"/>
  <c r="V125" i="24"/>
  <c r="W125" i="24" s="1"/>
  <c r="V113" i="24"/>
  <c r="W113" i="24" s="1"/>
  <c r="V101" i="24"/>
  <c r="W101" i="24" s="1"/>
  <c r="V89" i="24"/>
  <c r="W89" i="24" s="1"/>
  <c r="V77" i="24"/>
  <c r="W77" i="24" s="1"/>
  <c r="V65" i="24"/>
  <c r="W65" i="24" s="1"/>
  <c r="V53" i="24"/>
  <c r="W53" i="24" s="1"/>
  <c r="V41" i="24"/>
  <c r="W41" i="24" s="1"/>
  <c r="V29" i="24"/>
  <c r="V17" i="24"/>
  <c r="W17" i="24" s="1"/>
  <c r="V5" i="24"/>
  <c r="W5" i="24" s="1"/>
  <c r="T2" i="24"/>
  <c r="T188" i="24"/>
  <c r="U188" i="24" s="1"/>
  <c r="T176" i="24"/>
  <c r="U176" i="24" s="1"/>
  <c r="T164" i="24"/>
  <c r="U164" i="24" s="1"/>
  <c r="T152" i="24"/>
  <c r="U152" i="24" s="1"/>
  <c r="T140" i="24"/>
  <c r="U140" i="24" s="1"/>
  <c r="T128" i="24"/>
  <c r="U128" i="24" s="1"/>
  <c r="T116" i="24"/>
  <c r="U116" i="24" s="1"/>
  <c r="T104" i="24"/>
  <c r="U104" i="24" s="1"/>
  <c r="T92" i="24"/>
  <c r="U92" i="24" s="1"/>
  <c r="T80" i="24"/>
  <c r="U80" i="24" s="1"/>
  <c r="T68" i="24"/>
  <c r="U68" i="24" s="1"/>
  <c r="T56" i="24"/>
  <c r="U56" i="24" s="1"/>
  <c r="T44" i="24"/>
  <c r="U44" i="24" s="1"/>
  <c r="T32" i="24"/>
  <c r="T20" i="24"/>
  <c r="T8" i="24"/>
  <c r="T200" i="24"/>
  <c r="U200" i="24" s="1"/>
  <c r="V196" i="24"/>
  <c r="W196" i="24" s="1"/>
  <c r="V184" i="24"/>
  <c r="W184" i="24" s="1"/>
  <c r="V172" i="24"/>
  <c r="W172" i="24" s="1"/>
  <c r="V160" i="24"/>
  <c r="W160" i="24" s="1"/>
  <c r="V148" i="24"/>
  <c r="W148" i="24" s="1"/>
  <c r="V136" i="24"/>
  <c r="W136" i="24" s="1"/>
  <c r="V124" i="24"/>
  <c r="W124" i="24" s="1"/>
  <c r="V112" i="24"/>
  <c r="W112" i="24" s="1"/>
  <c r="V100" i="24"/>
  <c r="W100" i="24" s="1"/>
  <c r="V88" i="24"/>
  <c r="W88" i="24" s="1"/>
  <c r="V76" i="24"/>
  <c r="W76" i="24" s="1"/>
  <c r="V64" i="24"/>
  <c r="W64" i="24" s="1"/>
  <c r="V52" i="24"/>
  <c r="W52" i="24" s="1"/>
  <c r="V40" i="24"/>
  <c r="V28" i="24"/>
  <c r="W28" i="24" s="1"/>
  <c r="V16" i="24"/>
  <c r="V4" i="24"/>
  <c r="W4" i="24" s="1"/>
  <c r="T199" i="24"/>
  <c r="U199" i="24" s="1"/>
  <c r="T187" i="24"/>
  <c r="U187" i="24" s="1"/>
  <c r="T175" i="24"/>
  <c r="U175" i="24" s="1"/>
  <c r="T163" i="24"/>
  <c r="U163" i="24" s="1"/>
  <c r="T151" i="24"/>
  <c r="U151" i="24" s="1"/>
  <c r="T139" i="24"/>
  <c r="U139" i="24" s="1"/>
  <c r="T127" i="24"/>
  <c r="U127" i="24" s="1"/>
  <c r="T115" i="24"/>
  <c r="U115" i="24" s="1"/>
  <c r="T103" i="24"/>
  <c r="U103" i="24" s="1"/>
  <c r="T91" i="24"/>
  <c r="U91" i="24" s="1"/>
  <c r="T79" i="24"/>
  <c r="U79" i="24" s="1"/>
  <c r="T67" i="24"/>
  <c r="U67" i="24" s="1"/>
  <c r="T55" i="24"/>
  <c r="U55" i="24" s="1"/>
  <c r="T43" i="24"/>
  <c r="U43" i="24" s="1"/>
  <c r="T31" i="24"/>
  <c r="T19" i="24"/>
  <c r="T7" i="24"/>
  <c r="V2" i="24"/>
  <c r="V195" i="24"/>
  <c r="W195" i="24" s="1"/>
  <c r="V183" i="24"/>
  <c r="W183" i="24" s="1"/>
  <c r="V171" i="24"/>
  <c r="W171" i="24" s="1"/>
  <c r="V159" i="24"/>
  <c r="W159" i="24" s="1"/>
  <c r="V147" i="24"/>
  <c r="W147" i="24" s="1"/>
  <c r="V135" i="24"/>
  <c r="W135" i="24" s="1"/>
  <c r="V123" i="24"/>
  <c r="W123" i="24" s="1"/>
  <c r="V111" i="24"/>
  <c r="W111" i="24" s="1"/>
  <c r="V99" i="24"/>
  <c r="W99" i="24" s="1"/>
  <c r="V87" i="24"/>
  <c r="W87" i="24" s="1"/>
  <c r="V75" i="24"/>
  <c r="W75" i="24" s="1"/>
  <c r="V63" i="24"/>
  <c r="W63" i="24" s="1"/>
  <c r="V51" i="24"/>
  <c r="W51" i="24" s="1"/>
  <c r="V39" i="24"/>
  <c r="V27" i="24"/>
  <c r="W27" i="24" s="1"/>
  <c r="V15" i="24"/>
  <c r="V3" i="24"/>
  <c r="W3" i="24" s="1"/>
  <c r="T198" i="24"/>
  <c r="U198" i="24" s="1"/>
  <c r="T186" i="24"/>
  <c r="U186" i="24" s="1"/>
  <c r="T174" i="24"/>
  <c r="U174" i="24" s="1"/>
  <c r="T162" i="24"/>
  <c r="U162" i="24" s="1"/>
  <c r="T150" i="24"/>
  <c r="U150" i="24" s="1"/>
  <c r="T138" i="24"/>
  <c r="U138" i="24" s="1"/>
  <c r="T126" i="24"/>
  <c r="U126" i="24" s="1"/>
  <c r="T114" i="24"/>
  <c r="U114" i="24" s="1"/>
  <c r="T102" i="24"/>
  <c r="U102" i="24" s="1"/>
  <c r="T90" i="24"/>
  <c r="U90" i="24" s="1"/>
  <c r="T78" i="24"/>
  <c r="U78" i="24" s="1"/>
  <c r="T66" i="24"/>
  <c r="U66" i="24" s="1"/>
  <c r="T54" i="24"/>
  <c r="U54" i="24" s="1"/>
  <c r="T42" i="24"/>
  <c r="T30" i="24"/>
  <c r="T18" i="24"/>
  <c r="T6" i="24"/>
  <c r="V206" i="24"/>
  <c r="W206" i="24" s="1"/>
  <c r="V194" i="24"/>
  <c r="W194" i="24" s="1"/>
  <c r="V182" i="24"/>
  <c r="W182" i="24" s="1"/>
  <c r="V170" i="24"/>
  <c r="W170" i="24" s="1"/>
  <c r="V158" i="24"/>
  <c r="W158" i="24" s="1"/>
  <c r="V146" i="24"/>
  <c r="W146" i="24" s="1"/>
  <c r="V134" i="24"/>
  <c r="W134" i="24" s="1"/>
  <c r="V122" i="24"/>
  <c r="W122" i="24" s="1"/>
  <c r="V110" i="24"/>
  <c r="W110" i="24" s="1"/>
  <c r="V98" i="24"/>
  <c r="W98" i="24" s="1"/>
  <c r="V86" i="24"/>
  <c r="W86" i="24" s="1"/>
  <c r="V74" i="24"/>
  <c r="W74" i="24" s="1"/>
  <c r="V62" i="24"/>
  <c r="W62" i="24" s="1"/>
  <c r="V50" i="24"/>
  <c r="W50" i="24" s="1"/>
  <c r="V38" i="24"/>
  <c r="V26" i="24"/>
  <c r="V14" i="24"/>
  <c r="T197" i="24"/>
  <c r="U197" i="24" s="1"/>
  <c r="T185" i="24"/>
  <c r="U185" i="24" s="1"/>
  <c r="T173" i="24"/>
  <c r="U173" i="24" s="1"/>
  <c r="T161" i="24"/>
  <c r="U161" i="24" s="1"/>
  <c r="T149" i="24"/>
  <c r="U149" i="24" s="1"/>
  <c r="T137" i="24"/>
  <c r="U137" i="24" s="1"/>
  <c r="T125" i="24"/>
  <c r="U125" i="24" s="1"/>
  <c r="T113" i="24"/>
  <c r="U113" i="24" s="1"/>
  <c r="T101" i="24"/>
  <c r="U101" i="24" s="1"/>
  <c r="T89" i="24"/>
  <c r="U89" i="24" s="1"/>
  <c r="T77" i="24"/>
  <c r="U77" i="24" s="1"/>
  <c r="T65" i="24"/>
  <c r="U65" i="24" s="1"/>
  <c r="T53" i="24"/>
  <c r="U53" i="24" s="1"/>
  <c r="T41" i="24"/>
  <c r="T29" i="24"/>
  <c r="T17" i="24"/>
  <c r="T5" i="24"/>
  <c r="V205" i="24"/>
  <c r="W205" i="24" s="1"/>
  <c r="V193" i="24"/>
  <c r="W193" i="24" s="1"/>
  <c r="V181" i="24"/>
  <c r="W181" i="24" s="1"/>
  <c r="V169" i="24"/>
  <c r="W169" i="24" s="1"/>
  <c r="V157" i="24"/>
  <c r="W157" i="24" s="1"/>
  <c r="V145" i="24"/>
  <c r="W145" i="24" s="1"/>
  <c r="V133" i="24"/>
  <c r="W133" i="24" s="1"/>
  <c r="V121" i="24"/>
  <c r="W121" i="24" s="1"/>
  <c r="V109" i="24"/>
  <c r="W109" i="24" s="1"/>
  <c r="V97" i="24"/>
  <c r="W97" i="24" s="1"/>
  <c r="V85" i="24"/>
  <c r="W85" i="24" s="1"/>
  <c r="V73" i="24"/>
  <c r="W73" i="24" s="1"/>
  <c r="V61" i="24"/>
  <c r="W61" i="24" s="1"/>
  <c r="V49" i="24"/>
  <c r="V37" i="24"/>
  <c r="W37" i="24" s="1"/>
  <c r="V25" i="24"/>
  <c r="V13" i="24"/>
  <c r="T196" i="24"/>
  <c r="U196" i="24" s="1"/>
  <c r="T184" i="24"/>
  <c r="U184" i="24" s="1"/>
  <c r="T172" i="24"/>
  <c r="U172" i="24" s="1"/>
  <c r="T160" i="24"/>
  <c r="U160" i="24" s="1"/>
  <c r="T148" i="24"/>
  <c r="U148" i="24" s="1"/>
  <c r="T136" i="24"/>
  <c r="U136" i="24" s="1"/>
  <c r="T124" i="24"/>
  <c r="U124" i="24" s="1"/>
  <c r="T112" i="24"/>
  <c r="U112" i="24" s="1"/>
  <c r="T100" i="24"/>
  <c r="U100" i="24" s="1"/>
  <c r="T88" i="24"/>
  <c r="U88" i="24" s="1"/>
  <c r="T76" i="24"/>
  <c r="U76" i="24" s="1"/>
  <c r="T64" i="24"/>
  <c r="U64" i="24" s="1"/>
  <c r="T52" i="24"/>
  <c r="U52" i="24" s="1"/>
  <c r="T40" i="24"/>
  <c r="T28" i="24"/>
  <c r="T16" i="24"/>
  <c r="T4" i="24"/>
  <c r="V204" i="24"/>
  <c r="W204" i="24" s="1"/>
  <c r="V192" i="24"/>
  <c r="V180" i="24"/>
  <c r="W180" i="24" s="1"/>
  <c r="V168" i="24"/>
  <c r="W168" i="24" s="1"/>
  <c r="V156" i="24"/>
  <c r="W156" i="24" s="1"/>
  <c r="V144" i="24"/>
  <c r="W144" i="24" s="1"/>
  <c r="V132" i="24"/>
  <c r="W132" i="24" s="1"/>
  <c r="V120" i="24"/>
  <c r="W120" i="24" s="1"/>
  <c r="V108" i="24"/>
  <c r="W108" i="24" s="1"/>
  <c r="V96" i="24"/>
  <c r="W96" i="24" s="1"/>
  <c r="V84" i="24"/>
  <c r="W84" i="24" s="1"/>
  <c r="V72" i="24"/>
  <c r="W72" i="24" s="1"/>
  <c r="V60" i="24"/>
  <c r="W60" i="24" s="1"/>
  <c r="V48" i="24"/>
  <c r="V36" i="24"/>
  <c r="W36" i="24" s="1"/>
  <c r="V24" i="24"/>
  <c r="V12" i="24"/>
  <c r="T195" i="24"/>
  <c r="U195" i="24" s="1"/>
  <c r="T183" i="24"/>
  <c r="U183" i="24" s="1"/>
  <c r="T171" i="24"/>
  <c r="U171" i="24" s="1"/>
  <c r="T159" i="24"/>
  <c r="U159" i="24" s="1"/>
  <c r="T147" i="24"/>
  <c r="U147" i="24" s="1"/>
  <c r="T135" i="24"/>
  <c r="U135" i="24" s="1"/>
  <c r="T123" i="24"/>
  <c r="U123" i="24" s="1"/>
  <c r="T111" i="24"/>
  <c r="U111" i="24" s="1"/>
  <c r="T99" i="24"/>
  <c r="U99" i="24" s="1"/>
  <c r="T87" i="24"/>
  <c r="U87" i="24" s="1"/>
  <c r="T75" i="24"/>
  <c r="U75" i="24" s="1"/>
  <c r="T63" i="24"/>
  <c r="U63" i="24" s="1"/>
  <c r="T51" i="24"/>
  <c r="U51" i="24" s="1"/>
  <c r="T39" i="24"/>
  <c r="T27" i="24"/>
  <c r="T15" i="24"/>
  <c r="T3" i="24"/>
  <c r="V203" i="24"/>
  <c r="W203" i="24" s="1"/>
  <c r="V191" i="24"/>
  <c r="W191" i="24" s="1"/>
  <c r="V179" i="24"/>
  <c r="W179" i="24" s="1"/>
  <c r="V167" i="24"/>
  <c r="W167" i="24" s="1"/>
  <c r="V155" i="24"/>
  <c r="W155" i="24" s="1"/>
  <c r="V143" i="24"/>
  <c r="W143" i="24" s="1"/>
  <c r="V131" i="24"/>
  <c r="W131" i="24" s="1"/>
  <c r="V119" i="24"/>
  <c r="W119" i="24" s="1"/>
  <c r="V107" i="24"/>
  <c r="W107" i="24" s="1"/>
  <c r="V95" i="24"/>
  <c r="W95" i="24" s="1"/>
  <c r="V83" i="24"/>
  <c r="W83" i="24" s="1"/>
  <c r="V71" i="24"/>
  <c r="W71" i="24" s="1"/>
  <c r="V59" i="24"/>
  <c r="W59" i="24" s="1"/>
  <c r="V47" i="24"/>
  <c r="V35" i="24"/>
  <c r="W35" i="24" s="1"/>
  <c r="V23" i="24"/>
  <c r="V11" i="24"/>
  <c r="W11" i="24" s="1"/>
  <c r="T194" i="24"/>
  <c r="U194" i="24" s="1"/>
  <c r="T182" i="24"/>
  <c r="U182" i="24" s="1"/>
  <c r="T170" i="24"/>
  <c r="U170" i="24" s="1"/>
  <c r="T158" i="24"/>
  <c r="U158" i="24" s="1"/>
  <c r="T146" i="24"/>
  <c r="U146" i="24" s="1"/>
  <c r="T134" i="24"/>
  <c r="U134" i="24" s="1"/>
  <c r="T122" i="24"/>
  <c r="U122" i="24" s="1"/>
  <c r="T110" i="24"/>
  <c r="U110" i="24" s="1"/>
  <c r="T98" i="24"/>
  <c r="U98" i="24" s="1"/>
  <c r="T86" i="24"/>
  <c r="U86" i="24" s="1"/>
  <c r="T74" i="24"/>
  <c r="U74" i="24" s="1"/>
  <c r="T62" i="24"/>
  <c r="U62" i="24" s="1"/>
  <c r="T50" i="24"/>
  <c r="U50" i="24" s="1"/>
  <c r="T38" i="24"/>
  <c r="T26" i="24"/>
  <c r="T14" i="24"/>
  <c r="T206" i="24"/>
  <c r="U206" i="24" s="1"/>
  <c r="V202" i="24"/>
  <c r="W202" i="24" s="1"/>
  <c r="V190" i="24"/>
  <c r="W190" i="24" s="1"/>
  <c r="V178" i="24"/>
  <c r="W178" i="24" s="1"/>
  <c r="V166" i="24"/>
  <c r="W166" i="24" s="1"/>
  <c r="V154" i="24"/>
  <c r="W154" i="24" s="1"/>
  <c r="V142" i="24"/>
  <c r="W142" i="24" s="1"/>
  <c r="V130" i="24"/>
  <c r="W130" i="24" s="1"/>
  <c r="V118" i="24"/>
  <c r="W118" i="24" s="1"/>
  <c r="V106" i="24"/>
  <c r="W106" i="24" s="1"/>
  <c r="V94" i="24"/>
  <c r="W94" i="24" s="1"/>
  <c r="V82" i="24"/>
  <c r="W82" i="24" s="1"/>
  <c r="V70" i="24"/>
  <c r="W70" i="24" s="1"/>
  <c r="V58" i="24"/>
  <c r="W58" i="24" s="1"/>
  <c r="V46" i="24"/>
  <c r="V34" i="24"/>
  <c r="W34" i="24" s="1"/>
  <c r="V22" i="24"/>
  <c r="V10" i="24"/>
  <c r="W10" i="24" s="1"/>
  <c r="T193" i="24"/>
  <c r="U193" i="24" s="1"/>
  <c r="T181" i="24"/>
  <c r="U181" i="24" s="1"/>
  <c r="T169" i="24"/>
  <c r="U169" i="24" s="1"/>
  <c r="T157" i="24"/>
  <c r="U157" i="24" s="1"/>
  <c r="T145" i="24"/>
  <c r="U145" i="24" s="1"/>
  <c r="T133" i="24"/>
  <c r="U133" i="24" s="1"/>
  <c r="T121" i="24"/>
  <c r="U121" i="24" s="1"/>
  <c r="T109" i="24"/>
  <c r="U109" i="24" s="1"/>
  <c r="T97" i="24"/>
  <c r="U97" i="24" s="1"/>
  <c r="T85" i="24"/>
  <c r="U85" i="24" s="1"/>
  <c r="T73" i="24"/>
  <c r="U73" i="24" s="1"/>
  <c r="T61" i="24"/>
  <c r="U61" i="24" s="1"/>
  <c r="T49" i="24"/>
  <c r="U49" i="24" s="1"/>
  <c r="T37" i="24"/>
  <c r="T25" i="24"/>
  <c r="T13" i="24"/>
  <c r="T205" i="24"/>
  <c r="U205" i="24" s="1"/>
  <c r="V201" i="24"/>
  <c r="W201" i="24" s="1"/>
  <c r="V189" i="24"/>
  <c r="W189" i="24" s="1"/>
  <c r="V177" i="24"/>
  <c r="W177" i="24" s="1"/>
  <c r="V165" i="24"/>
  <c r="W165" i="24" s="1"/>
  <c r="V153" i="24"/>
  <c r="W153" i="24" s="1"/>
  <c r="V141" i="24"/>
  <c r="W141" i="24" s="1"/>
  <c r="V129" i="24"/>
  <c r="W129" i="24" s="1"/>
  <c r="V117" i="24"/>
  <c r="W117" i="24" s="1"/>
  <c r="V105" i="24"/>
  <c r="W105" i="24" s="1"/>
  <c r="V93" i="24"/>
  <c r="W93" i="24" s="1"/>
  <c r="V81" i="24"/>
  <c r="W81" i="24" s="1"/>
  <c r="V69" i="24"/>
  <c r="W69" i="24" s="1"/>
  <c r="V57" i="24"/>
  <c r="W57" i="24" s="1"/>
  <c r="V45" i="24"/>
  <c r="V33" i="24"/>
  <c r="V21" i="24"/>
  <c r="V9" i="24"/>
  <c r="T192" i="24"/>
  <c r="T180" i="24"/>
  <c r="U180" i="24" s="1"/>
  <c r="T168" i="24"/>
  <c r="U168" i="24" s="1"/>
  <c r="T156" i="24"/>
  <c r="U156" i="24" s="1"/>
  <c r="T144" i="24"/>
  <c r="U144" i="24" s="1"/>
  <c r="T132" i="24"/>
  <c r="U132" i="24" s="1"/>
  <c r="T120" i="24"/>
  <c r="U120" i="24" s="1"/>
  <c r="T108" i="24"/>
  <c r="U108" i="24" s="1"/>
  <c r="T96" i="24"/>
  <c r="U96" i="24" s="1"/>
  <c r="T84" i="24"/>
  <c r="U84" i="24" s="1"/>
  <c r="T72" i="24"/>
  <c r="U72" i="24" s="1"/>
  <c r="T60" i="24"/>
  <c r="U60" i="24" s="1"/>
  <c r="T48" i="24"/>
  <c r="U48" i="24" s="1"/>
  <c r="T36" i="24"/>
  <c r="T24" i="24"/>
  <c r="T12" i="24"/>
  <c r="T204" i="24"/>
  <c r="U204" i="24" s="1"/>
  <c r="V200" i="24"/>
  <c r="W200" i="24" s="1"/>
  <c r="V188" i="24"/>
  <c r="W188" i="24" s="1"/>
  <c r="V176" i="24"/>
  <c r="W176" i="24" s="1"/>
  <c r="V164" i="24"/>
  <c r="W164" i="24" s="1"/>
  <c r="V152" i="24"/>
  <c r="W152" i="24" s="1"/>
  <c r="V140" i="24"/>
  <c r="W140" i="24" s="1"/>
  <c r="V128" i="24"/>
  <c r="W128" i="24" s="1"/>
  <c r="V116" i="24"/>
  <c r="W116" i="24" s="1"/>
  <c r="V104" i="24"/>
  <c r="W104" i="24" s="1"/>
  <c r="V92" i="24"/>
  <c r="W92" i="24" s="1"/>
  <c r="V80" i="24"/>
  <c r="W80" i="24" s="1"/>
  <c r="V68" i="24"/>
  <c r="W68" i="24" s="1"/>
  <c r="V56" i="24"/>
  <c r="W56" i="24" s="1"/>
  <c r="V44" i="24"/>
  <c r="V32" i="24"/>
  <c r="V20" i="24"/>
  <c r="V8" i="24"/>
  <c r="T191" i="24"/>
  <c r="U191" i="24" s="1"/>
  <c r="T179" i="24"/>
  <c r="U179" i="24" s="1"/>
  <c r="T167" i="24"/>
  <c r="U167" i="24" s="1"/>
  <c r="T155" i="24"/>
  <c r="U155" i="24" s="1"/>
  <c r="T143" i="24"/>
  <c r="U143" i="24" s="1"/>
  <c r="T131" i="24"/>
  <c r="U131" i="24" s="1"/>
  <c r="T119" i="24"/>
  <c r="U119" i="24" s="1"/>
  <c r="T107" i="24"/>
  <c r="U107" i="24" s="1"/>
  <c r="T95" i="24"/>
  <c r="U95" i="24" s="1"/>
  <c r="T83" i="24"/>
  <c r="U83" i="24" s="1"/>
  <c r="T71" i="24"/>
  <c r="U71" i="24" s="1"/>
  <c r="T59" i="24"/>
  <c r="U59" i="24" s="1"/>
  <c r="T47" i="24"/>
  <c r="T35" i="24"/>
  <c r="T23" i="24"/>
  <c r="T11" i="24"/>
  <c r="V199" i="24"/>
  <c r="W199" i="24" s="1"/>
  <c r="V187" i="24"/>
  <c r="W187" i="24" s="1"/>
  <c r="V175" i="24"/>
  <c r="W175" i="24" s="1"/>
  <c r="V163" i="24"/>
  <c r="W163" i="24" s="1"/>
  <c r="V151" i="24"/>
  <c r="W151" i="24" s="1"/>
  <c r="V139" i="24"/>
  <c r="W139" i="24" s="1"/>
  <c r="V127" i="24"/>
  <c r="W127" i="24" s="1"/>
  <c r="V115" i="24"/>
  <c r="W115" i="24" s="1"/>
  <c r="V103" i="24"/>
  <c r="W103" i="24" s="1"/>
  <c r="V91" i="24"/>
  <c r="W91" i="24" s="1"/>
  <c r="V79" i="24"/>
  <c r="W79" i="24" s="1"/>
  <c r="V67" i="24"/>
  <c r="W67" i="24" s="1"/>
  <c r="V55" i="24"/>
  <c r="W55" i="24" s="1"/>
  <c r="V43" i="24"/>
  <c r="V31" i="24"/>
  <c r="W31" i="24" s="1"/>
  <c r="V19" i="24"/>
  <c r="A4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A40" i="4" s="1"/>
  <c r="B41" i="4"/>
  <c r="B11" i="4"/>
  <c r="I49" i="1" a="1"/>
  <c r="I49" i="1" s="1"/>
  <c r="I48" i="1" a="1"/>
  <c r="I48" i="1" s="1"/>
  <c r="I47" i="1" a="1"/>
  <c r="I47" i="1" s="1"/>
  <c r="I46" i="1" a="1"/>
  <c r="I46" i="1" s="1"/>
  <c r="I45" i="1" a="1"/>
  <c r="I45" i="1" s="1"/>
  <c r="I44" i="1" a="1"/>
  <c r="I44" i="1" s="1"/>
  <c r="I43" i="1" a="1"/>
  <c r="I43" i="1" s="1"/>
  <c r="I42" i="1" a="1"/>
  <c r="I42" i="1" s="1"/>
  <c r="I41" i="1" a="1"/>
  <c r="I41" i="1" s="1"/>
  <c r="I40" i="1" a="1"/>
  <c r="I40" i="1" s="1"/>
  <c r="I39" i="1" a="1"/>
  <c r="I39" i="1" s="1"/>
  <c r="I38" i="1" a="1"/>
  <c r="I38" i="1" s="1"/>
  <c r="I37" i="1" a="1"/>
  <c r="I37" i="1" s="1"/>
  <c r="U47" i="24" l="1"/>
  <c r="N15" i="24"/>
  <c r="I8" i="19"/>
  <c r="F8" i="19"/>
  <c r="C8" i="19"/>
  <c r="L8" i="19"/>
  <c r="O8" i="19"/>
  <c r="U25" i="24"/>
  <c r="W24" i="24"/>
  <c r="W49" i="24"/>
  <c r="U6" i="24"/>
  <c r="U19" i="24"/>
  <c r="U32" i="24"/>
  <c r="W8" i="24"/>
  <c r="W43" i="24"/>
  <c r="U12" i="24"/>
  <c r="U24" i="24"/>
  <c r="W23" i="24"/>
  <c r="W48" i="24"/>
  <c r="W192" i="24"/>
  <c r="U5" i="24"/>
  <c r="U30" i="24"/>
  <c r="U2" i="24"/>
  <c r="W18" i="24"/>
  <c r="U11" i="24"/>
  <c r="U36" i="24"/>
  <c r="U17" i="24"/>
  <c r="U42" i="24"/>
  <c r="W30" i="24"/>
  <c r="U35" i="24"/>
  <c r="U37" i="24"/>
  <c r="U18" i="24"/>
  <c r="U31" i="24"/>
  <c r="W6" i="24"/>
  <c r="U23" i="24"/>
  <c r="U192" i="24"/>
  <c r="W22" i="24"/>
  <c r="W47" i="24"/>
  <c r="U4" i="24"/>
  <c r="U29" i="24"/>
  <c r="U16" i="24"/>
  <c r="U41" i="24"/>
  <c r="W16" i="24"/>
  <c r="W29" i="24"/>
  <c r="W9" i="24"/>
  <c r="W21" i="24"/>
  <c r="W46" i="24"/>
  <c r="U3" i="24"/>
  <c r="U28" i="24"/>
  <c r="W15" i="24"/>
  <c r="U40" i="24"/>
  <c r="W14" i="24"/>
  <c r="W40" i="24"/>
  <c r="U10" i="24"/>
  <c r="U27" i="24"/>
  <c r="W26" i="24"/>
  <c r="W39" i="24"/>
  <c r="U22" i="24"/>
  <c r="W20" i="24"/>
  <c r="W32" i="24"/>
  <c r="U14" i="24"/>
  <c r="U39" i="24"/>
  <c r="W13" i="24"/>
  <c r="W38" i="24"/>
  <c r="U9" i="24"/>
  <c r="U34" i="24"/>
  <c r="W33" i="24"/>
  <c r="W45" i="24"/>
  <c r="W44" i="24"/>
  <c r="U26" i="24"/>
  <c r="W25" i="24"/>
  <c r="W2" i="24"/>
  <c r="U8" i="24"/>
  <c r="U21" i="24"/>
  <c r="U15" i="24"/>
  <c r="W19" i="24"/>
  <c r="U13" i="24"/>
  <c r="U38" i="24"/>
  <c r="W12" i="24"/>
  <c r="U7" i="24"/>
  <c r="U20" i="24"/>
  <c r="U33" i="24"/>
  <c r="W7" i="24"/>
  <c r="H2" i="1"/>
  <c r="I2" i="1"/>
  <c r="J2" i="1"/>
  <c r="M25" i="24" l="1"/>
  <c r="N24" i="24"/>
  <c r="M26" i="24"/>
  <c r="N25" i="24"/>
  <c r="M27" i="24"/>
  <c r="N26" i="24"/>
  <c r="M28" i="24"/>
  <c r="N27" i="24"/>
  <c r="M29" i="24"/>
  <c r="N28" i="24"/>
  <c r="M30" i="24"/>
  <c r="N29" i="24"/>
  <c r="M31" i="24"/>
  <c r="N30" i="24"/>
  <c r="M32" i="24"/>
  <c r="N31" i="24"/>
  <c r="M23" i="24"/>
  <c r="N32" i="24"/>
  <c r="N23" i="24"/>
  <c r="M24" i="24"/>
  <c r="N8" i="24"/>
  <c r="M10" i="24"/>
  <c r="N9" i="24"/>
  <c r="M11" i="24"/>
  <c r="N10" i="24"/>
  <c r="M12" i="24"/>
  <c r="N11" i="24"/>
  <c r="M13" i="24"/>
  <c r="N12" i="24"/>
  <c r="M14" i="24"/>
  <c r="N13" i="24"/>
  <c r="M5" i="24"/>
  <c r="N14" i="24"/>
  <c r="N5" i="24"/>
  <c r="M6" i="24"/>
  <c r="M7" i="24"/>
  <c r="N6" i="24"/>
  <c r="M8" i="24"/>
  <c r="N7" i="24"/>
  <c r="M9" i="24"/>
  <c r="O9" i="19" l="1"/>
  <c r="I9" i="19"/>
  <c r="C9" i="19"/>
  <c r="L9" i="19"/>
  <c r="F9" i="19"/>
  <c r="O11" i="19"/>
  <c r="L11" i="19"/>
  <c r="I11" i="19"/>
  <c r="F11" i="19"/>
  <c r="C11" i="19"/>
  <c r="O10" i="19"/>
  <c r="L10" i="19"/>
  <c r="I10" i="19"/>
  <c r="F10" i="19"/>
  <c r="C10" i="19"/>
  <c r="W21" i="5"/>
  <c r="X21" i="5"/>
  <c r="Y21" i="5" s="1"/>
  <c r="W22" i="5"/>
  <c r="X22" i="5"/>
  <c r="Y22" i="5" s="1"/>
  <c r="W23" i="5"/>
  <c r="X23" i="5"/>
  <c r="Y23" i="5" s="1"/>
  <c r="W24" i="5"/>
  <c r="X24" i="5"/>
  <c r="Y24" i="5" s="1"/>
  <c r="W25" i="5"/>
  <c r="X25" i="5"/>
  <c r="Y25" i="5" s="1"/>
  <c r="W26" i="5"/>
  <c r="X26" i="5"/>
  <c r="Y26" i="5" s="1"/>
  <c r="W27" i="5"/>
  <c r="X27" i="5"/>
  <c r="Y27" i="5"/>
  <c r="W28" i="5"/>
  <c r="X28" i="5"/>
  <c r="Y28" i="5" s="1"/>
  <c r="W29" i="5"/>
  <c r="X29" i="5"/>
  <c r="Y29" i="5" s="1"/>
  <c r="W30" i="5"/>
  <c r="X30" i="5"/>
  <c r="Y30" i="5" s="1"/>
  <c r="W31" i="5"/>
  <c r="X31" i="5"/>
  <c r="Y31" i="5"/>
  <c r="W32" i="5"/>
  <c r="X32" i="5"/>
  <c r="Y32" i="5" s="1"/>
  <c r="W33" i="5"/>
  <c r="X33" i="5"/>
  <c r="Y33" i="5" s="1"/>
  <c r="W34" i="5"/>
  <c r="X34" i="5"/>
  <c r="Y34" i="5"/>
  <c r="U34" i="5" s="1"/>
  <c r="V34" i="5" s="1"/>
  <c r="W35" i="5"/>
  <c r="X35" i="5"/>
  <c r="Y35" i="5"/>
  <c r="U35" i="5" s="1"/>
  <c r="V35" i="5" s="1"/>
  <c r="W36" i="5"/>
  <c r="X36" i="5"/>
  <c r="Y36" i="5" s="1"/>
  <c r="W37" i="5"/>
  <c r="X37" i="5"/>
  <c r="Y37" i="5"/>
  <c r="U37" i="5" s="1"/>
  <c r="V37" i="5" s="1"/>
  <c r="W38" i="5"/>
  <c r="X38" i="5"/>
  <c r="Y38" i="5"/>
  <c r="U38" i="5" s="1"/>
  <c r="V38" i="5" s="1"/>
  <c r="W39" i="5"/>
  <c r="X39" i="5"/>
  <c r="Y39" i="5" s="1"/>
  <c r="W40" i="5"/>
  <c r="X40" i="5"/>
  <c r="Y40" i="5"/>
  <c r="U40" i="5" s="1"/>
  <c r="V40" i="5" s="1"/>
  <c r="W41" i="5"/>
  <c r="X41" i="5"/>
  <c r="Y41" i="5"/>
  <c r="U41" i="5" s="1"/>
  <c r="V41" i="5" s="1"/>
  <c r="W42" i="5"/>
  <c r="X42" i="5"/>
  <c r="Y42" i="5"/>
  <c r="U42" i="5" s="1"/>
  <c r="V42" i="5" s="1"/>
  <c r="U43" i="5"/>
  <c r="V43" i="5" s="1"/>
  <c r="W43" i="5"/>
  <c r="X43" i="5"/>
  <c r="Y43" i="5"/>
  <c r="W44" i="5"/>
  <c r="X44" i="5"/>
  <c r="Y44" i="5"/>
  <c r="U44" i="5" s="1"/>
  <c r="V44" i="5" s="1"/>
  <c r="W45" i="5"/>
  <c r="X45" i="5"/>
  <c r="Y45" i="5"/>
  <c r="U45" i="5" s="1"/>
  <c r="V45" i="5" s="1"/>
  <c r="W46" i="5"/>
  <c r="X46" i="5"/>
  <c r="Y46" i="5"/>
  <c r="U46" i="5" s="1"/>
  <c r="V46" i="5" s="1"/>
  <c r="W47" i="5"/>
  <c r="X47" i="5"/>
  <c r="Y47" i="5"/>
  <c r="U47" i="5" s="1"/>
  <c r="V47" i="5" s="1"/>
  <c r="W48" i="5"/>
  <c r="X48" i="5"/>
  <c r="Y48" i="5"/>
  <c r="U48" i="5" s="1"/>
  <c r="V48" i="5" s="1"/>
  <c r="W49" i="5"/>
  <c r="X49" i="5"/>
  <c r="Y49" i="5"/>
  <c r="U49" i="5" s="1"/>
  <c r="V49" i="5" s="1"/>
  <c r="G6" i="18"/>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9" i="18"/>
  <c r="G5" i="18"/>
  <c r="C6" i="18"/>
  <c r="C7" i="18"/>
  <c r="C8" i="18"/>
  <c r="C9" i="18"/>
  <c r="C10" i="18"/>
  <c r="C11" i="18"/>
  <c r="C12" i="18"/>
  <c r="C13" i="18"/>
  <c r="C14" i="18"/>
  <c r="C15" i="18"/>
  <c r="C16" i="18"/>
  <c r="C17" i="18"/>
  <c r="C18" i="18"/>
  <c r="C19" i="18"/>
  <c r="C20" i="18"/>
  <c r="C21" i="18"/>
  <c r="C22" i="18"/>
  <c r="C23" i="18"/>
  <c r="C24" i="18"/>
  <c r="C25" i="18"/>
  <c r="C26" i="18"/>
  <c r="C27" i="18"/>
  <c r="C28" i="18"/>
  <c r="C29" i="18"/>
  <c r="C30" i="18"/>
  <c r="C31" i="18"/>
  <c r="C32" i="18"/>
  <c r="C33" i="18"/>
  <c r="C34" i="18"/>
  <c r="C35" i="18"/>
  <c r="C36" i="18"/>
  <c r="C37" i="18"/>
  <c r="C38" i="18"/>
  <c r="C39" i="18"/>
  <c r="C40" i="18"/>
  <c r="C41" i="18"/>
  <c r="C42" i="18"/>
  <c r="C43" i="18"/>
  <c r="C44" i="18"/>
  <c r="C45" i="18"/>
  <c r="C46" i="18"/>
  <c r="C47" i="18"/>
  <c r="C48" i="18"/>
  <c r="C49" i="18"/>
  <c r="C50" i="18"/>
  <c r="C51" i="18"/>
  <c r="C52" i="18"/>
  <c r="C53" i="18"/>
  <c r="C54" i="18"/>
  <c r="C55" i="18"/>
  <c r="C56" i="18"/>
  <c r="C57" i="18"/>
  <c r="C58" i="18"/>
  <c r="C59" i="18"/>
  <c r="C60" i="18"/>
  <c r="C61" i="18"/>
  <c r="C62" i="18"/>
  <c r="C63" i="18"/>
  <c r="C64" i="18"/>
  <c r="C65" i="18"/>
  <c r="C66" i="18"/>
  <c r="C67" i="18"/>
  <c r="C68" i="18"/>
  <c r="C69" i="18"/>
  <c r="C70" i="18"/>
  <c r="C71" i="18"/>
  <c r="C72" i="18"/>
  <c r="C73" i="18"/>
  <c r="C74" i="18"/>
  <c r="C75" i="18"/>
  <c r="C76" i="18"/>
  <c r="C77" i="18"/>
  <c r="C78" i="18"/>
  <c r="C79" i="18"/>
  <c r="C80" i="18"/>
  <c r="C81" i="18"/>
  <c r="C82" i="18"/>
  <c r="C83" i="18"/>
  <c r="C84" i="18"/>
  <c r="C85" i="18"/>
  <c r="C86" i="18"/>
  <c r="C87" i="18"/>
  <c r="C88" i="18"/>
  <c r="C89" i="18"/>
  <c r="C90" i="18"/>
  <c r="C91" i="18"/>
  <c r="C92" i="18"/>
  <c r="C93" i="18"/>
  <c r="C94" i="18"/>
  <c r="C95" i="18"/>
  <c r="C96" i="18"/>
  <c r="C97" i="18"/>
  <c r="C98" i="18"/>
  <c r="C99" i="18"/>
  <c r="C100" i="18"/>
  <c r="C101" i="18"/>
  <c r="C102" i="18"/>
  <c r="C103" i="18"/>
  <c r="C104" i="18"/>
  <c r="C105" i="18"/>
  <c r="C106" i="18"/>
  <c r="C107" i="18"/>
  <c r="C108" i="18"/>
  <c r="C109" i="18"/>
  <c r="C110" i="18"/>
  <c r="C111" i="18"/>
  <c r="C112" i="18"/>
  <c r="C113" i="18"/>
  <c r="C114" i="18"/>
  <c r="C115" i="18"/>
  <c r="C116" i="18"/>
  <c r="C117" i="18"/>
  <c r="C118" i="18"/>
  <c r="C119" i="18"/>
  <c r="C120" i="18"/>
  <c r="C121" i="18"/>
  <c r="C122" i="18"/>
  <c r="C123" i="18"/>
  <c r="C124" i="18"/>
  <c r="C125" i="18"/>
  <c r="C126" i="18"/>
  <c r="C127" i="18"/>
  <c r="C128" i="18"/>
  <c r="C129" i="18"/>
  <c r="C130" i="18"/>
  <c r="C131" i="18"/>
  <c r="C132" i="18"/>
  <c r="C133" i="18"/>
  <c r="C134" i="18"/>
  <c r="C135" i="18"/>
  <c r="C136" i="18"/>
  <c r="C137" i="18"/>
  <c r="C138" i="18"/>
  <c r="C139" i="18"/>
  <c r="C140" i="18"/>
  <c r="C141" i="18"/>
  <c r="C142" i="18"/>
  <c r="C143" i="18"/>
  <c r="C144" i="18"/>
  <c r="C145" i="18"/>
  <c r="C146" i="18"/>
  <c r="C147" i="18"/>
  <c r="C148" i="18"/>
  <c r="C149" i="18"/>
  <c r="C150" i="18"/>
  <c r="C151" i="18"/>
  <c r="C152" i="18"/>
  <c r="C153" i="18"/>
  <c r="C154" i="18"/>
  <c r="C155" i="18"/>
  <c r="C156" i="18"/>
  <c r="C157" i="18"/>
  <c r="C158" i="18"/>
  <c r="C159" i="18"/>
  <c r="C160" i="18"/>
  <c r="C161" i="18"/>
  <c r="C162" i="18"/>
  <c r="C163" i="18"/>
  <c r="C164" i="18"/>
  <c r="C165" i="18"/>
  <c r="C166" i="18"/>
  <c r="C167" i="18"/>
  <c r="C168" i="18"/>
  <c r="C169" i="18"/>
  <c r="C170" i="18"/>
  <c r="C171" i="18"/>
  <c r="C172" i="18"/>
  <c r="C173" i="18"/>
  <c r="C174" i="18"/>
  <c r="C175" i="18"/>
  <c r="C176" i="18"/>
  <c r="C177" i="18"/>
  <c r="C178" i="18"/>
  <c r="C179" i="18"/>
  <c r="C180" i="18"/>
  <c r="C181" i="18"/>
  <c r="C182" i="18"/>
  <c r="C183" i="18"/>
  <c r="C184" i="18"/>
  <c r="C185" i="18"/>
  <c r="C186" i="18"/>
  <c r="C187" i="18"/>
  <c r="C188" i="18"/>
  <c r="C189" i="18"/>
  <c r="C190" i="18"/>
  <c r="C191" i="18"/>
  <c r="C192" i="18"/>
  <c r="C193" i="18"/>
  <c r="C194" i="18"/>
  <c r="C195" i="18"/>
  <c r="C196" i="18"/>
  <c r="C197" i="18"/>
  <c r="C198" i="18"/>
  <c r="C199" i="18"/>
  <c r="C200" i="18"/>
  <c r="C201" i="18"/>
  <c r="C202" i="18"/>
  <c r="C203" i="18"/>
  <c r="C204" i="18"/>
  <c r="C205" i="18"/>
  <c r="C206" i="18"/>
  <c r="C207" i="18"/>
  <c r="C208" i="18"/>
  <c r="C209" i="18"/>
  <c r="C210" i="18"/>
  <c r="C211" i="18"/>
  <c r="C212" i="18"/>
  <c r="C213" i="18"/>
  <c r="C214" i="18"/>
  <c r="C215" i="18"/>
  <c r="C216" i="18"/>
  <c r="C217" i="18"/>
  <c r="C218" i="18"/>
  <c r="C219" i="18"/>
  <c r="C220" i="18"/>
  <c r="C221" i="18"/>
  <c r="C222" i="18"/>
  <c r="C223" i="18"/>
  <c r="C224" i="18"/>
  <c r="C225" i="18"/>
  <c r="C226" i="18"/>
  <c r="C227" i="18"/>
  <c r="C228" i="18"/>
  <c r="C229" i="18"/>
  <c r="C230" i="18"/>
  <c r="C231" i="18"/>
  <c r="C232" i="18"/>
  <c r="C233" i="18"/>
  <c r="C234" i="18"/>
  <c r="C235" i="18"/>
  <c r="C236" i="18"/>
  <c r="C237" i="18"/>
  <c r="C238" i="18"/>
  <c r="C239" i="18"/>
  <c r="C240" i="18"/>
  <c r="C241" i="18"/>
  <c r="C242" i="18"/>
  <c r="C243" i="18"/>
  <c r="C244" i="18"/>
  <c r="C245" i="18"/>
  <c r="C246" i="18"/>
  <c r="C247" i="18"/>
  <c r="C248" i="18"/>
  <c r="C249" i="18"/>
  <c r="C250" i="18"/>
  <c r="C251" i="18"/>
  <c r="C252" i="18"/>
  <c r="C253" i="18"/>
  <c r="C254" i="18"/>
  <c r="C255" i="18"/>
  <c r="C256" i="18"/>
  <c r="C257" i="18"/>
  <c r="C258" i="18"/>
  <c r="C259" i="18"/>
  <c r="C260" i="18"/>
  <c r="C261" i="18"/>
  <c r="C262" i="18"/>
  <c r="C263" i="18"/>
  <c r="C264" i="18"/>
  <c r="C265" i="18"/>
  <c r="C266" i="18"/>
  <c r="C267" i="18"/>
  <c r="C268" i="18"/>
  <c r="C269" i="18"/>
  <c r="C270" i="18"/>
  <c r="C271" i="18"/>
  <c r="C272" i="18"/>
  <c r="C273" i="18"/>
  <c r="C274" i="18"/>
  <c r="C275" i="18"/>
  <c r="C276" i="18"/>
  <c r="C277" i="18"/>
  <c r="C278" i="18"/>
  <c r="C279" i="18"/>
  <c r="C280" i="18"/>
  <c r="C281" i="18"/>
  <c r="C282" i="18"/>
  <c r="C283" i="18"/>
  <c r="C284" i="18"/>
  <c r="C285" i="18"/>
  <c r="C286" i="18"/>
  <c r="C287" i="18"/>
  <c r="C288" i="18"/>
  <c r="C5" i="18"/>
  <c r="J40" i="17" a="1"/>
  <c r="J40" i="17" s="1"/>
  <c r="I40" i="17" a="1"/>
  <c r="I40" i="17" s="1"/>
  <c r="J39" i="17" a="1"/>
  <c r="J39" i="17" s="1"/>
  <c r="I39" i="17" a="1"/>
  <c r="I39" i="17" s="1"/>
  <c r="J38" i="17" a="1"/>
  <c r="J38" i="17" s="1"/>
  <c r="I38" i="17" a="1"/>
  <c r="I38" i="17" s="1"/>
  <c r="J37" i="17" a="1"/>
  <c r="J37" i="17" s="1"/>
  <c r="I37" i="17" a="1"/>
  <c r="I37" i="17" s="1"/>
  <c r="J36" i="17" a="1"/>
  <c r="J36" i="17" s="1"/>
  <c r="I36" i="17" a="1"/>
  <c r="I36" i="17" s="1"/>
  <c r="J35" i="17" a="1"/>
  <c r="J35" i="17" s="1"/>
  <c r="I35" i="17" a="1"/>
  <c r="I35" i="17" s="1"/>
  <c r="J34" i="17" a="1"/>
  <c r="J34" i="17" s="1"/>
  <c r="I34" i="17" a="1"/>
  <c r="I34" i="17" s="1"/>
  <c r="J33" i="17" a="1"/>
  <c r="J33" i="17" s="1"/>
  <c r="I33" i="17" a="1"/>
  <c r="I33" i="17" s="1"/>
  <c r="J32" i="17" a="1"/>
  <c r="J32" i="17" s="1"/>
  <c r="I32" i="17" a="1"/>
  <c r="I32" i="17" s="1"/>
  <c r="J31" i="17" a="1"/>
  <c r="J31" i="17" s="1"/>
  <c r="I31" i="17" a="1"/>
  <c r="I31" i="17" s="1"/>
  <c r="J30" i="17" a="1"/>
  <c r="J30" i="17" s="1"/>
  <c r="I30" i="17" a="1"/>
  <c r="I30" i="17" s="1"/>
  <c r="J29" i="17" a="1"/>
  <c r="J29" i="17" s="1"/>
  <c r="I29" i="17" a="1"/>
  <c r="I29" i="17" s="1"/>
  <c r="J28" i="17" a="1"/>
  <c r="J28" i="17" s="1"/>
  <c r="I28" i="17" a="1"/>
  <c r="I28" i="17" s="1"/>
  <c r="J27" i="17" a="1"/>
  <c r="J27" i="17" s="1"/>
  <c r="I27" i="17" a="1"/>
  <c r="I27" i="17" s="1"/>
  <c r="J26" i="17" a="1"/>
  <c r="J26" i="17" s="1"/>
  <c r="I26" i="17" a="1"/>
  <c r="I26" i="17" s="1"/>
  <c r="H26" i="17" a="1"/>
  <c r="H26" i="17" s="1"/>
  <c r="H27" i="17" a="1"/>
  <c r="H27" i="17" s="1"/>
  <c r="H28" i="17" a="1"/>
  <c r="H28" i="17" s="1"/>
  <c r="H29" i="17" a="1"/>
  <c r="H29" i="17" s="1"/>
  <c r="H30" i="17" a="1"/>
  <c r="H30" i="17" s="1"/>
  <c r="H31" i="17" a="1"/>
  <c r="H31" i="17" s="1"/>
  <c r="H32" i="17" a="1"/>
  <c r="H32" i="17" s="1"/>
  <c r="H33" i="17" a="1"/>
  <c r="H33" i="17" s="1"/>
  <c r="H34" i="17" a="1"/>
  <c r="H34" i="17" s="1"/>
  <c r="H35" i="17" a="1"/>
  <c r="H35" i="17" s="1"/>
  <c r="H36" i="17" a="1"/>
  <c r="H36" i="17" s="1"/>
  <c r="H37" i="17" a="1"/>
  <c r="H37" i="17" s="1"/>
  <c r="H38" i="17" a="1"/>
  <c r="H38" i="17" s="1"/>
  <c r="H39" i="17" a="1"/>
  <c r="H39" i="17" s="1"/>
  <c r="H40" i="17" a="1"/>
  <c r="H40" i="17" s="1"/>
  <c r="I2" i="17"/>
  <c r="V8" i="18" l="1"/>
  <c r="W8" i="18" s="1"/>
  <c r="V6" i="18"/>
  <c r="W6" i="18" s="1"/>
  <c r="U7" i="18"/>
  <c r="U6" i="18"/>
  <c r="U8" i="18"/>
  <c r="U9" i="18"/>
  <c r="V7" i="18"/>
  <c r="W7" i="18" s="1"/>
  <c r="K6" i="18"/>
  <c r="V5" i="18"/>
  <c r="W5" i="18" s="1"/>
  <c r="L14" i="18"/>
  <c r="M14" i="18" s="1"/>
  <c r="V14" i="18"/>
  <c r="W14" i="18" s="1"/>
  <c r="U5" i="18"/>
  <c r="V13" i="18"/>
  <c r="W13" i="18" s="1"/>
  <c r="L8" i="18"/>
  <c r="M8" i="18" s="1"/>
  <c r="U14" i="18"/>
  <c r="V12" i="18"/>
  <c r="W12" i="18" s="1"/>
  <c r="U13" i="18"/>
  <c r="V11" i="18"/>
  <c r="W11" i="18" s="1"/>
  <c r="U12" i="18"/>
  <c r="V10" i="18"/>
  <c r="W10" i="18" s="1"/>
  <c r="U11" i="18"/>
  <c r="V9" i="18"/>
  <c r="W9" i="18" s="1"/>
  <c r="U10" i="18"/>
  <c r="K9" i="18"/>
  <c r="L7" i="18"/>
  <c r="M7" i="18" s="1"/>
  <c r="K8" i="18"/>
  <c r="L6" i="18"/>
  <c r="M6" i="18" s="1"/>
  <c r="K7" i="18"/>
  <c r="L5" i="18"/>
  <c r="M5" i="18" s="1"/>
  <c r="K5" i="18"/>
  <c r="L13" i="18"/>
  <c r="M13" i="18" s="1"/>
  <c r="K14" i="18"/>
  <c r="L12" i="18"/>
  <c r="M12" i="18" s="1"/>
  <c r="K13" i="18"/>
  <c r="L11" i="18"/>
  <c r="M11" i="18" s="1"/>
  <c r="K12" i="18"/>
  <c r="L10" i="18"/>
  <c r="M10" i="18" s="1"/>
  <c r="K11" i="18"/>
  <c r="L9" i="18"/>
  <c r="M9" i="18" s="1"/>
  <c r="K10" i="18"/>
  <c r="H49" i="1" a="1"/>
  <c r="H49" i="1" s="1"/>
  <c r="N33" i="24" s="1"/>
  <c r="H48" i="1" a="1"/>
  <c r="H48" i="1" s="1"/>
  <c r="H47" i="1" a="1"/>
  <c r="H47" i="1" s="1"/>
  <c r="H46" i="1" a="1"/>
  <c r="H46" i="1" s="1"/>
  <c r="H45" i="1" a="1"/>
  <c r="H45" i="1" s="1"/>
  <c r="H44" i="1" a="1"/>
  <c r="H44" i="1" s="1"/>
  <c r="H43" i="1" a="1"/>
  <c r="H43" i="1" s="1"/>
  <c r="H42" i="1" a="1"/>
  <c r="H42" i="1" s="1"/>
  <c r="H41" i="1" a="1"/>
  <c r="H41" i="1" s="1"/>
  <c r="H40" i="1" a="1"/>
  <c r="H40" i="1" s="1"/>
  <c r="H39" i="1" a="1"/>
  <c r="H39" i="1" s="1"/>
  <c r="H38" i="1" a="1"/>
  <c r="H38" i="1" s="1"/>
  <c r="H37" i="1" a="1"/>
  <c r="H37" i="1" s="1"/>
  <c r="G49" i="1" a="1"/>
  <c r="G49" i="1" s="1"/>
  <c r="G48" i="1" a="1"/>
  <c r="G48" i="1" s="1"/>
  <c r="G47" i="1" a="1"/>
  <c r="G47" i="1" s="1"/>
  <c r="G46" i="1" a="1"/>
  <c r="G46" i="1" s="1"/>
  <c r="G45" i="1" a="1"/>
  <c r="G45" i="1" s="1"/>
  <c r="G44" i="1" a="1"/>
  <c r="G44" i="1" s="1"/>
  <c r="G43" i="1" a="1"/>
  <c r="G43" i="1" s="1"/>
  <c r="G42" i="1" a="1"/>
  <c r="G42" i="1" s="1"/>
  <c r="G41" i="1" a="1"/>
  <c r="G41" i="1" s="1"/>
  <c r="G40" i="1" a="1"/>
  <c r="G40" i="1" s="1"/>
  <c r="G39" i="1" a="1"/>
  <c r="G39" i="1" s="1"/>
  <c r="G38" i="1" a="1"/>
  <c r="G38" i="1" s="1"/>
  <c r="G37" i="1" a="1"/>
  <c r="G37" i="1" s="1"/>
  <c r="L33" i="16" l="1" a="1"/>
  <c r="L33" i="16" s="1"/>
  <c r="K33" i="16" a="1"/>
  <c r="K33" i="16" s="1"/>
  <c r="J33" i="16" a="1"/>
  <c r="J33" i="16" s="1"/>
  <c r="L32" i="16" a="1"/>
  <c r="L32" i="16" s="1"/>
  <c r="K32" i="16" a="1"/>
  <c r="K32" i="16" s="1"/>
  <c r="J32" i="16" a="1"/>
  <c r="J32" i="16" s="1"/>
  <c r="L31" i="16" a="1"/>
  <c r="L31" i="16" s="1"/>
  <c r="K31" i="16" a="1"/>
  <c r="K31" i="16" s="1"/>
  <c r="J31" i="16" a="1"/>
  <c r="J31" i="16" s="1"/>
  <c r="L30" i="16" a="1"/>
  <c r="L30" i="16" s="1"/>
  <c r="K30" i="16" a="1"/>
  <c r="K30" i="16" s="1"/>
  <c r="J30" i="16" a="1"/>
  <c r="J30" i="16" s="1"/>
  <c r="L29" i="16" a="1"/>
  <c r="L29" i="16" s="1"/>
  <c r="K29" i="16" a="1"/>
  <c r="K29" i="16" s="1"/>
  <c r="J29" i="16" a="1"/>
  <c r="J29" i="16" s="1"/>
  <c r="L3" i="16"/>
  <c r="K3" i="16"/>
  <c r="J3" i="16"/>
  <c r="I3" i="16"/>
  <c r="U34" i="8" l="1"/>
  <c r="U35" i="8"/>
  <c r="U36" i="8"/>
  <c r="U37" i="8"/>
  <c r="U38" i="8"/>
  <c r="U39" i="8"/>
  <c r="U40" i="8"/>
  <c r="U41" i="8"/>
  <c r="U42" i="8"/>
  <c r="U43" i="8"/>
  <c r="U44" i="8"/>
  <c r="U45" i="8"/>
  <c r="U46" i="8"/>
  <c r="U47" i="8"/>
  <c r="U48" i="8"/>
  <c r="U49" i="8"/>
  <c r="U50" i="8"/>
  <c r="U51" i="8"/>
  <c r="U52" i="8"/>
  <c r="U53" i="8"/>
  <c r="U54" i="8"/>
  <c r="U55" i="8"/>
  <c r="U56" i="8"/>
  <c r="U57" i="8"/>
  <c r="U58" i="8"/>
  <c r="U59" i="8"/>
  <c r="U60" i="8"/>
  <c r="U61" i="8"/>
  <c r="U62" i="8"/>
  <c r="U63" i="8"/>
  <c r="U64" i="8"/>
  <c r="U65" i="8"/>
  <c r="U66" i="8"/>
  <c r="U67" i="8"/>
  <c r="U68" i="8"/>
  <c r="U69" i="8"/>
  <c r="U70" i="8"/>
  <c r="U71" i="8"/>
  <c r="U33" i="8"/>
  <c r="E32" i="2" l="1"/>
  <c r="W3" i="5"/>
  <c r="X3" i="5"/>
  <c r="Y3" i="5" s="1"/>
  <c r="W4" i="5"/>
  <c r="X4" i="5"/>
  <c r="Y4" i="5" s="1"/>
  <c r="W5" i="5"/>
  <c r="X5" i="5"/>
  <c r="Y5" i="5" s="1"/>
  <c r="W6" i="5"/>
  <c r="X6" i="5"/>
  <c r="Y6" i="5" s="1"/>
  <c r="W7" i="5"/>
  <c r="X7" i="5"/>
  <c r="Y7" i="5" s="1"/>
  <c r="W8" i="5"/>
  <c r="X8" i="5"/>
  <c r="Y8" i="5" s="1"/>
  <c r="W9" i="5"/>
  <c r="X9" i="5"/>
  <c r="Y9" i="5" s="1"/>
  <c r="W10" i="5"/>
  <c r="X10" i="5"/>
  <c r="Y10" i="5" s="1"/>
  <c r="W11" i="5"/>
  <c r="X11" i="5"/>
  <c r="Y11" i="5" s="1"/>
  <c r="W12" i="5"/>
  <c r="X12" i="5"/>
  <c r="Y12" i="5" s="1"/>
  <c r="W13" i="5"/>
  <c r="X13" i="5"/>
  <c r="Y13" i="5" s="1"/>
  <c r="W14" i="5"/>
  <c r="X14" i="5"/>
  <c r="Y14" i="5" s="1"/>
  <c r="W15" i="5"/>
  <c r="X15" i="5"/>
  <c r="Y15" i="5" s="1"/>
  <c r="W16" i="5"/>
  <c r="X16" i="5"/>
  <c r="Y16" i="5" s="1"/>
  <c r="W17" i="5"/>
  <c r="X17" i="5"/>
  <c r="Y17" i="5" s="1"/>
  <c r="W18" i="5"/>
  <c r="X18" i="5"/>
  <c r="Y18" i="5" s="1"/>
  <c r="W19" i="5"/>
  <c r="X19" i="5"/>
  <c r="Y19" i="5" s="1"/>
  <c r="W20" i="5"/>
  <c r="X20" i="5"/>
  <c r="Y20" i="5" s="1"/>
  <c r="U30" i="5" l="1"/>
  <c r="U31" i="5"/>
  <c r="U39" i="5"/>
  <c r="U33" i="5"/>
  <c r="U29" i="5"/>
  <c r="U28" i="5"/>
  <c r="U32" i="5"/>
  <c r="U36" i="5"/>
  <c r="U25" i="5"/>
  <c r="U24" i="5"/>
  <c r="U23" i="5"/>
  <c r="U21" i="5"/>
  <c r="U27" i="5"/>
  <c r="U22" i="5"/>
  <c r="U26" i="5"/>
  <c r="U12" i="5"/>
  <c r="U20" i="5"/>
  <c r="U10" i="5"/>
  <c r="U19" i="5"/>
  <c r="U5" i="5"/>
  <c r="U16" i="5"/>
  <c r="U9" i="5"/>
  <c r="U15" i="5"/>
  <c r="U4" i="5"/>
  <c r="U18" i="5"/>
  <c r="U8" i="5"/>
  <c r="U17" i="5"/>
  <c r="U13" i="5"/>
  <c r="U11" i="5"/>
  <c r="U3" i="5"/>
  <c r="U6" i="5"/>
  <c r="U14" i="5"/>
  <c r="U7" i="5"/>
  <c r="V31" i="5" l="1"/>
  <c r="V30" i="5"/>
  <c r="V36" i="5"/>
  <c r="V32" i="5"/>
  <c r="V28" i="5"/>
  <c r="V29" i="5"/>
  <c r="V33" i="5"/>
  <c r="V39" i="5"/>
  <c r="V25" i="5"/>
  <c r="V21" i="5"/>
  <c r="V26" i="5"/>
  <c r="V22" i="5"/>
  <c r="V24" i="5"/>
  <c r="V27" i="5"/>
  <c r="V23" i="5"/>
  <c r="V17" i="5"/>
  <c r="V20" i="5"/>
  <c r="V12" i="5"/>
  <c r="V4" i="5"/>
  <c r="V15" i="5"/>
  <c r="V9" i="5"/>
  <c r="V7" i="5"/>
  <c r="V16" i="5"/>
  <c r="V18" i="5"/>
  <c r="V6" i="5"/>
  <c r="V3" i="5"/>
  <c r="V5" i="5"/>
  <c r="V11" i="5"/>
  <c r="V19" i="5"/>
  <c r="V8" i="5"/>
  <c r="V14" i="5"/>
  <c r="V13" i="5"/>
  <c r="V10" i="5"/>
  <c r="F31" i="23" l="1"/>
  <c r="F35" i="23"/>
  <c r="F39" i="23"/>
  <c r="F43" i="23"/>
  <c r="F47" i="23"/>
  <c r="F51" i="23"/>
  <c r="F55" i="23"/>
  <c r="F59" i="23"/>
  <c r="F63" i="23"/>
  <c r="F67" i="23"/>
  <c r="F71" i="23"/>
  <c r="F33" i="23"/>
  <c r="F41" i="23"/>
  <c r="F49" i="23"/>
  <c r="F57" i="23"/>
  <c r="F69" i="23"/>
  <c r="F38" i="23"/>
  <c r="F50" i="23"/>
  <c r="F62" i="23"/>
  <c r="F74" i="23"/>
  <c r="F32" i="23"/>
  <c r="F36" i="23"/>
  <c r="F40" i="23"/>
  <c r="F44" i="23"/>
  <c r="F48" i="23"/>
  <c r="F52" i="23"/>
  <c r="F56" i="23"/>
  <c r="F60" i="23"/>
  <c r="F64" i="23"/>
  <c r="F68" i="23"/>
  <c r="F72" i="23"/>
  <c r="F37" i="23"/>
  <c r="F45" i="23"/>
  <c r="F53" i="23"/>
  <c r="F65" i="23"/>
  <c r="F73" i="23"/>
  <c r="F34" i="23"/>
  <c r="F42" i="23"/>
  <c r="F54" i="23"/>
  <c r="F66" i="23"/>
  <c r="F61" i="23"/>
  <c r="F46" i="23"/>
  <c r="F58" i="23"/>
  <c r="F70" i="23"/>
  <c r="G28" i="23"/>
  <c r="H28" i="23" s="1"/>
  <c r="G32" i="23"/>
  <c r="H32" i="23" s="1"/>
  <c r="G36" i="23"/>
  <c r="H36" i="23" s="1"/>
  <c r="G40" i="23"/>
  <c r="H40" i="23" s="1"/>
  <c r="G44" i="23"/>
  <c r="H44" i="23" s="1"/>
  <c r="G48" i="23"/>
  <c r="H48" i="23" s="1"/>
  <c r="G52" i="23"/>
  <c r="H52" i="23" s="1"/>
  <c r="G56" i="23"/>
  <c r="H56" i="23" s="1"/>
  <c r="G60" i="23"/>
  <c r="H60" i="23" s="1"/>
  <c r="G64" i="23"/>
  <c r="H64" i="23" s="1"/>
  <c r="G68" i="23"/>
  <c r="H68" i="23" s="1"/>
  <c r="G72" i="23"/>
  <c r="H72" i="23" s="1"/>
  <c r="G4" i="23"/>
  <c r="H4" i="23" s="1"/>
  <c r="G8" i="23"/>
  <c r="H8" i="23" s="1"/>
  <c r="G12" i="23"/>
  <c r="H12" i="23" s="1"/>
  <c r="G16" i="23"/>
  <c r="H16" i="23" s="1"/>
  <c r="G20" i="23"/>
  <c r="H20" i="23" s="1"/>
  <c r="G24" i="23"/>
  <c r="H24" i="23" s="1"/>
  <c r="G31" i="23"/>
  <c r="H31" i="23" s="1"/>
  <c r="G43" i="23"/>
  <c r="H43" i="23" s="1"/>
  <c r="G55" i="23"/>
  <c r="H55" i="23" s="1"/>
  <c r="G67" i="23"/>
  <c r="H67" i="23" s="1"/>
  <c r="G3" i="23"/>
  <c r="H3" i="23" s="1"/>
  <c r="G15" i="23"/>
  <c r="H15" i="23" s="1"/>
  <c r="G2" i="23"/>
  <c r="H2" i="23" s="1"/>
  <c r="G29" i="23"/>
  <c r="H29" i="23" s="1"/>
  <c r="G33" i="23"/>
  <c r="H33" i="23" s="1"/>
  <c r="G37" i="23"/>
  <c r="H37" i="23" s="1"/>
  <c r="G41" i="23"/>
  <c r="H41" i="23" s="1"/>
  <c r="G45" i="23"/>
  <c r="H45" i="23" s="1"/>
  <c r="G49" i="23"/>
  <c r="H49" i="23" s="1"/>
  <c r="G53" i="23"/>
  <c r="H53" i="23" s="1"/>
  <c r="G57" i="23"/>
  <c r="H57" i="23" s="1"/>
  <c r="G61" i="23"/>
  <c r="H61" i="23" s="1"/>
  <c r="G65" i="23"/>
  <c r="H65" i="23" s="1"/>
  <c r="G69" i="23"/>
  <c r="H69" i="23" s="1"/>
  <c r="G73" i="23"/>
  <c r="H73" i="23" s="1"/>
  <c r="G5" i="23"/>
  <c r="H5" i="23" s="1"/>
  <c r="G9" i="23"/>
  <c r="H9" i="23" s="1"/>
  <c r="G13" i="23"/>
  <c r="H13" i="23" s="1"/>
  <c r="G17" i="23"/>
  <c r="H17" i="23" s="1"/>
  <c r="G21" i="23"/>
  <c r="H21" i="23" s="1"/>
  <c r="G25" i="23"/>
  <c r="H25" i="23" s="1"/>
  <c r="G35" i="23"/>
  <c r="H35" i="23" s="1"/>
  <c r="G51" i="23"/>
  <c r="H51" i="23" s="1"/>
  <c r="G63" i="23"/>
  <c r="H63" i="23" s="1"/>
  <c r="G7" i="23"/>
  <c r="H7" i="23" s="1"/>
  <c r="G19" i="23"/>
  <c r="H19" i="23" s="1"/>
  <c r="G30" i="23"/>
  <c r="H30" i="23" s="1"/>
  <c r="G34" i="23"/>
  <c r="H34" i="23" s="1"/>
  <c r="G38" i="23"/>
  <c r="H38" i="23" s="1"/>
  <c r="G42" i="23"/>
  <c r="H42" i="23" s="1"/>
  <c r="G46" i="23"/>
  <c r="H46" i="23" s="1"/>
  <c r="G50" i="23"/>
  <c r="H50" i="23" s="1"/>
  <c r="G54" i="23"/>
  <c r="H54" i="23" s="1"/>
  <c r="G58" i="23"/>
  <c r="H58" i="23" s="1"/>
  <c r="G62" i="23"/>
  <c r="H62" i="23" s="1"/>
  <c r="G66" i="23"/>
  <c r="H66" i="23" s="1"/>
  <c r="G70" i="23"/>
  <c r="H70" i="23" s="1"/>
  <c r="G74" i="23"/>
  <c r="H74" i="23" s="1"/>
  <c r="G6" i="23"/>
  <c r="H6" i="23" s="1"/>
  <c r="G10" i="23"/>
  <c r="H10" i="23" s="1"/>
  <c r="G14" i="23"/>
  <c r="H14" i="23" s="1"/>
  <c r="G18" i="23"/>
  <c r="H18" i="23" s="1"/>
  <c r="G22" i="23"/>
  <c r="H22" i="23" s="1"/>
  <c r="G26" i="23"/>
  <c r="H26" i="23" s="1"/>
  <c r="G27" i="23"/>
  <c r="H27" i="23" s="1"/>
  <c r="G39" i="23"/>
  <c r="H39" i="23" s="1"/>
  <c r="G47" i="23"/>
  <c r="H47" i="23" s="1"/>
  <c r="G59" i="23"/>
  <c r="H59" i="23" s="1"/>
  <c r="G71" i="23"/>
  <c r="H71" i="23" s="1"/>
  <c r="G11" i="23"/>
  <c r="H11" i="23" s="1"/>
  <c r="G23" i="23"/>
  <c r="H23" i="23" s="1"/>
  <c r="F9" i="7"/>
  <c r="F21" i="7"/>
  <c r="F33" i="7"/>
  <c r="F45" i="7"/>
  <c r="B8" i="23"/>
  <c r="B20" i="23"/>
  <c r="B32" i="23"/>
  <c r="B44" i="23"/>
  <c r="B56" i="23"/>
  <c r="B68" i="23"/>
  <c r="B55" i="23"/>
  <c r="F10" i="7"/>
  <c r="F22" i="7"/>
  <c r="F34" i="7"/>
  <c r="F46" i="7"/>
  <c r="B9" i="23"/>
  <c r="B21" i="23"/>
  <c r="B33" i="23"/>
  <c r="B45" i="23"/>
  <c r="B57" i="23"/>
  <c r="B69" i="23"/>
  <c r="B67" i="23"/>
  <c r="F11" i="7"/>
  <c r="F23" i="7"/>
  <c r="F35" i="7"/>
  <c r="F47" i="7"/>
  <c r="B10" i="23"/>
  <c r="B22" i="23"/>
  <c r="B34" i="23"/>
  <c r="B46" i="23"/>
  <c r="B58" i="23"/>
  <c r="B70" i="23"/>
  <c r="B43" i="23"/>
  <c r="F12" i="7"/>
  <c r="F24" i="7"/>
  <c r="F36" i="7"/>
  <c r="F48" i="7"/>
  <c r="B11" i="23"/>
  <c r="B23" i="23"/>
  <c r="B35" i="23"/>
  <c r="B47" i="23"/>
  <c r="B59" i="23"/>
  <c r="B71" i="23"/>
  <c r="F20" i="7"/>
  <c r="B7" i="23"/>
  <c r="F13" i="7"/>
  <c r="F25" i="7"/>
  <c r="F37" i="7"/>
  <c r="F49" i="7"/>
  <c r="B12" i="23"/>
  <c r="B24" i="23"/>
  <c r="B36" i="23"/>
  <c r="B48" i="23"/>
  <c r="B60" i="23"/>
  <c r="B72" i="23"/>
  <c r="F14" i="7"/>
  <c r="F26" i="7"/>
  <c r="F38" i="7"/>
  <c r="F50" i="7"/>
  <c r="B13" i="23"/>
  <c r="B25" i="23"/>
  <c r="B37" i="23"/>
  <c r="B49" i="23"/>
  <c r="B61" i="23"/>
  <c r="B73" i="23"/>
  <c r="F15" i="7"/>
  <c r="F27" i="7"/>
  <c r="F39" i="7"/>
  <c r="F7" i="7"/>
  <c r="B14" i="23"/>
  <c r="B26" i="23"/>
  <c r="B38" i="23"/>
  <c r="B50" i="23"/>
  <c r="B62" i="23"/>
  <c r="B74" i="23"/>
  <c r="F16" i="7"/>
  <c r="F28" i="7"/>
  <c r="F40" i="7"/>
  <c r="B3" i="23"/>
  <c r="B15" i="23"/>
  <c r="B27" i="23"/>
  <c r="B39" i="23"/>
  <c r="B51" i="23"/>
  <c r="B63" i="23"/>
  <c r="B2" i="23"/>
  <c r="F17" i="7"/>
  <c r="F29" i="7"/>
  <c r="F41" i="7"/>
  <c r="B4" i="23"/>
  <c r="B16" i="23"/>
  <c r="B28" i="23"/>
  <c r="B40" i="23"/>
  <c r="B52" i="23"/>
  <c r="B64" i="23"/>
  <c r="F43" i="7"/>
  <c r="F8" i="7"/>
  <c r="F44" i="7"/>
  <c r="B31" i="23"/>
  <c r="F18" i="7"/>
  <c r="F30" i="7"/>
  <c r="F42" i="7"/>
  <c r="B5" i="23"/>
  <c r="B17" i="23"/>
  <c r="B29" i="23"/>
  <c r="B41" i="23"/>
  <c r="B53" i="23"/>
  <c r="B65" i="23"/>
  <c r="F19" i="7"/>
  <c r="F31" i="7"/>
  <c r="B6" i="23"/>
  <c r="B18" i="23"/>
  <c r="B30" i="23"/>
  <c r="B42" i="23"/>
  <c r="B54" i="23"/>
  <c r="B66" i="23"/>
  <c r="F32" i="7"/>
  <c r="B19" i="23"/>
  <c r="G14" i="1"/>
  <c r="M3" i="16"/>
  <c r="N6" i="19" l="1"/>
  <c r="B6" i="19"/>
  <c r="K6" i="19"/>
  <c r="E6" i="19"/>
  <c r="H6" i="19"/>
  <c r="AA3" i="5"/>
  <c r="F28" i="23" s="1"/>
  <c r="AA4" i="5"/>
  <c r="F20" i="23" s="1"/>
  <c r="AA5" i="5"/>
  <c r="F5" i="23" s="1"/>
  <c r="AA6" i="5"/>
  <c r="F14" i="23" s="1"/>
  <c r="AA7" i="5"/>
  <c r="F11" i="23" s="1"/>
  <c r="AA8" i="5"/>
  <c r="F6" i="23" s="1"/>
  <c r="AA9" i="5"/>
  <c r="F3" i="23" s="1"/>
  <c r="AA10" i="5"/>
  <c r="AA11" i="5"/>
  <c r="AA12" i="5"/>
  <c r="F21" i="23" s="1"/>
  <c r="AA13" i="5"/>
  <c r="F16" i="23" s="1"/>
  <c r="AA14" i="5"/>
  <c r="F9" i="23" s="1"/>
  <c r="AA15" i="5"/>
  <c r="F15" i="23" s="1"/>
  <c r="AA16" i="5"/>
  <c r="F2" i="23" s="1"/>
  <c r="AA17" i="5"/>
  <c r="F17" i="23" s="1"/>
  <c r="AA18" i="5"/>
  <c r="F29" i="23" s="1"/>
  <c r="AA19" i="5"/>
  <c r="F12" i="23" s="1"/>
  <c r="AA20" i="5"/>
  <c r="F8" i="23" s="1"/>
  <c r="AA21" i="5"/>
  <c r="F25" i="23" s="1"/>
  <c r="AA22" i="5"/>
  <c r="F19" i="23" s="1"/>
  <c r="AA23" i="5"/>
  <c r="F7" i="23" s="1"/>
  <c r="AA24" i="5"/>
  <c r="F18" i="23" s="1"/>
  <c r="AA25" i="5"/>
  <c r="F13" i="23" s="1"/>
  <c r="AA26" i="5"/>
  <c r="F10" i="23" s="1"/>
  <c r="AA27" i="5"/>
  <c r="F27" i="23" s="1"/>
  <c r="X5" i="8" l="1"/>
  <c r="U4" i="8"/>
  <c r="U5" i="8"/>
  <c r="U6" i="8"/>
  <c r="U7" i="8"/>
  <c r="U8" i="8"/>
  <c r="U9" i="8"/>
  <c r="U10" i="8"/>
  <c r="U11" i="8"/>
  <c r="U12" i="8"/>
  <c r="U13" i="8"/>
  <c r="U14" i="8"/>
  <c r="U15" i="8"/>
  <c r="U16" i="8"/>
  <c r="U17" i="8"/>
  <c r="U18" i="8"/>
  <c r="U19" i="8"/>
  <c r="U20" i="8"/>
  <c r="U21" i="8"/>
  <c r="U22" i="8"/>
  <c r="U23" i="8"/>
  <c r="U24" i="8"/>
  <c r="U25" i="8"/>
  <c r="U26" i="8"/>
  <c r="U27" i="8"/>
  <c r="U28" i="8"/>
  <c r="U29" i="8"/>
  <c r="U30" i="8"/>
  <c r="U31" i="8"/>
  <c r="U32" i="8"/>
  <c r="U3" i="8"/>
  <c r="X3" i="8"/>
  <c r="J2" i="17" l="1"/>
  <c r="X4" i="8"/>
  <c r="G30" i="1" s="1"/>
  <c r="G29" i="1"/>
  <c r="AA28" i="5" l="1"/>
  <c r="F22" i="23" s="1"/>
  <c r="AA29" i="5"/>
  <c r="F24" i="23" s="1"/>
  <c r="AA30" i="5"/>
  <c r="F4" i="23" s="1"/>
  <c r="AA31" i="5"/>
  <c r="F30" i="23" s="1"/>
  <c r="AA32" i="5"/>
  <c r="F23" i="23" s="1"/>
  <c r="AA33" i="5"/>
  <c r="F26" i="23" s="1"/>
  <c r="AA34" i="5"/>
  <c r="AA35" i="5"/>
  <c r="AA36" i="5"/>
  <c r="AA37" i="5"/>
  <c r="AA38" i="5"/>
  <c r="AA39" i="5"/>
  <c r="AA40" i="5"/>
  <c r="AA41" i="5"/>
  <c r="AA42" i="5"/>
  <c r="AA43" i="5"/>
  <c r="AA44" i="5"/>
  <c r="AA45" i="5"/>
  <c r="AA46" i="5"/>
  <c r="AA47" i="5"/>
  <c r="AA48" i="5"/>
  <c r="J11" i="7" l="1"/>
  <c r="L11" i="7"/>
  <c r="K9" i="7"/>
  <c r="D11" i="7"/>
  <c r="M9" i="7"/>
  <c r="N9" i="7"/>
  <c r="K11" i="7"/>
  <c r="C11" i="7"/>
  <c r="P9" i="7"/>
  <c r="L9" i="7"/>
  <c r="I11" i="7"/>
  <c r="I9" i="7"/>
  <c r="J9" i="7"/>
  <c r="E3" i="2"/>
  <c r="A12" i="4" s="1"/>
  <c r="E4" i="2"/>
  <c r="A13" i="4" s="1"/>
  <c r="E5" i="2"/>
  <c r="A14" i="4" s="1"/>
  <c r="E6" i="2"/>
  <c r="E7" i="2"/>
  <c r="A16" i="4" s="1"/>
  <c r="E8" i="2"/>
  <c r="A17" i="4" s="1"/>
  <c r="E9" i="2"/>
  <c r="A18" i="4" s="1"/>
  <c r="E10" i="2"/>
  <c r="A19" i="4" s="1"/>
  <c r="E11" i="2"/>
  <c r="A20" i="4" s="1"/>
  <c r="E12" i="2"/>
  <c r="A21" i="4" s="1"/>
  <c r="E13" i="2"/>
  <c r="A22" i="4" s="1"/>
  <c r="E14" i="2"/>
  <c r="A23" i="4" s="1"/>
  <c r="E15" i="2"/>
  <c r="A24" i="4" s="1"/>
  <c r="E16" i="2"/>
  <c r="A25" i="4" s="1"/>
  <c r="E17" i="2"/>
  <c r="A26" i="4" s="1"/>
  <c r="E18" i="2"/>
  <c r="A27" i="4" s="1"/>
  <c r="E19" i="2"/>
  <c r="A28" i="4" s="1"/>
  <c r="E20" i="2"/>
  <c r="A29" i="4" s="1"/>
  <c r="E21" i="2"/>
  <c r="A30" i="4" s="1"/>
  <c r="E22" i="2"/>
  <c r="A31" i="4" s="1"/>
  <c r="E23" i="2"/>
  <c r="A32" i="4" s="1"/>
  <c r="E24" i="2"/>
  <c r="A33" i="4" s="1"/>
  <c r="E25" i="2"/>
  <c r="A34" i="4" s="1"/>
  <c r="E26" i="2"/>
  <c r="A35" i="4" s="1"/>
  <c r="E27" i="2"/>
  <c r="A36" i="4" s="1"/>
  <c r="E28" i="2"/>
  <c r="A37" i="4" s="1"/>
  <c r="E29" i="2"/>
  <c r="A38" i="4" s="1"/>
  <c r="E30" i="2"/>
  <c r="A39" i="4" s="1"/>
  <c r="E31" i="2"/>
  <c r="E2" i="2"/>
  <c r="A11" i="4" s="1"/>
  <c r="G31" i="1"/>
  <c r="E15" i="3" l="1"/>
  <c r="A15" i="4"/>
  <c r="G19" i="3"/>
  <c r="E19" i="3"/>
  <c r="G34" i="3"/>
  <c r="E34" i="3"/>
  <c r="G18" i="3"/>
  <c r="E18" i="3"/>
  <c r="G41" i="3"/>
  <c r="D41" i="3" s="1"/>
  <c r="E41" i="3"/>
  <c r="G33" i="3"/>
  <c r="D33" i="3" s="1"/>
  <c r="E33" i="3"/>
  <c r="G25" i="3"/>
  <c r="D25" i="3" s="1"/>
  <c r="E25" i="3"/>
  <c r="G17" i="3"/>
  <c r="E17" i="3"/>
  <c r="G35" i="3"/>
  <c r="D35" i="3" s="1"/>
  <c r="E35" i="3"/>
  <c r="G11" i="3"/>
  <c r="D11" i="3" s="1"/>
  <c r="E11" i="3"/>
  <c r="G26" i="3"/>
  <c r="E26" i="3"/>
  <c r="G32" i="3"/>
  <c r="D32" i="3" s="1"/>
  <c r="E32" i="3"/>
  <c r="G24" i="3"/>
  <c r="E24" i="3"/>
  <c r="G16" i="3"/>
  <c r="D16" i="3" s="1"/>
  <c r="E16" i="3"/>
  <c r="G31" i="3"/>
  <c r="D31" i="3" s="1"/>
  <c r="E31" i="3"/>
  <c r="G14" i="3"/>
  <c r="D14" i="3" s="1"/>
  <c r="E14" i="3"/>
  <c r="G39" i="3"/>
  <c r="D39" i="3" s="1"/>
  <c r="E39" i="3"/>
  <c r="G15" i="3"/>
  <c r="G38" i="3"/>
  <c r="D38" i="3" s="1"/>
  <c r="E38" i="3"/>
  <c r="G22" i="3"/>
  <c r="D22" i="3" s="1"/>
  <c r="E22" i="3"/>
  <c r="G37" i="3"/>
  <c r="D37" i="3" s="1"/>
  <c r="E37" i="3"/>
  <c r="G29" i="3"/>
  <c r="E29" i="3"/>
  <c r="G21" i="3"/>
  <c r="D21" i="3" s="1"/>
  <c r="E21" i="3"/>
  <c r="G13" i="3"/>
  <c r="D13" i="3" s="1"/>
  <c r="E13" i="3"/>
  <c r="G27" i="3"/>
  <c r="E27" i="3"/>
  <c r="G23" i="3"/>
  <c r="D23" i="3" s="1"/>
  <c r="E23" i="3"/>
  <c r="G30" i="3"/>
  <c r="D30" i="3" s="1"/>
  <c r="E30" i="3"/>
  <c r="G36" i="3"/>
  <c r="D36" i="3" s="1"/>
  <c r="E36" i="3"/>
  <c r="G28" i="3"/>
  <c r="D28" i="3" s="1"/>
  <c r="E28" i="3"/>
  <c r="G20" i="3"/>
  <c r="D20" i="3" s="1"/>
  <c r="E20" i="3"/>
  <c r="G12" i="3"/>
  <c r="E12" i="3"/>
  <c r="G40" i="3"/>
  <c r="D40" i="3" s="1"/>
  <c r="E40" i="3"/>
  <c r="F18" i="3"/>
  <c r="F12" i="3"/>
  <c r="F36" i="3"/>
  <c r="F28" i="3"/>
  <c r="F20" i="3"/>
  <c r="F35" i="3"/>
  <c r="F27" i="3"/>
  <c r="F19" i="3"/>
  <c r="F11" i="3"/>
  <c r="F34" i="3"/>
  <c r="F26" i="3"/>
  <c r="F41" i="3"/>
  <c r="F33" i="3"/>
  <c r="F25" i="3"/>
  <c r="F17" i="3"/>
  <c r="F40" i="3"/>
  <c r="F32" i="3"/>
  <c r="F24" i="3"/>
  <c r="F16" i="3"/>
  <c r="F39" i="3"/>
  <c r="F31" i="3"/>
  <c r="F23" i="3"/>
  <c r="F15" i="3"/>
  <c r="F38" i="3"/>
  <c r="F30" i="3"/>
  <c r="F22" i="3"/>
  <c r="F14" i="3"/>
  <c r="F37" i="3"/>
  <c r="F29" i="3"/>
  <c r="F21" i="3"/>
  <c r="F13" i="3"/>
  <c r="D15" i="4" l="1"/>
  <c r="D23" i="4"/>
  <c r="D31" i="4"/>
  <c r="D39" i="4"/>
  <c r="D16" i="4"/>
  <c r="D24" i="4"/>
  <c r="D32" i="4"/>
  <c r="D40" i="4"/>
  <c r="D17" i="4"/>
  <c r="D25" i="4"/>
  <c r="D33" i="4"/>
  <c r="D41" i="4"/>
  <c r="D20" i="4"/>
  <c r="D14" i="4"/>
  <c r="D18" i="4"/>
  <c r="D26" i="4"/>
  <c r="D34" i="4"/>
  <c r="D11" i="4"/>
  <c r="D38" i="4"/>
  <c r="D19" i="4"/>
  <c r="D27" i="4"/>
  <c r="D35" i="4"/>
  <c r="D22" i="4"/>
  <c r="D12" i="4"/>
  <c r="D28" i="4"/>
  <c r="D36" i="4"/>
  <c r="D13" i="4"/>
  <c r="D21" i="4"/>
  <c r="D29" i="4"/>
  <c r="D37" i="4"/>
  <c r="D30" i="4"/>
  <c r="B39" i="3"/>
  <c r="A39" i="3" s="1"/>
  <c r="C39" i="3"/>
  <c r="B40" i="3"/>
  <c r="A40" i="3" s="1"/>
  <c r="C40" i="3"/>
  <c r="B41" i="3"/>
  <c r="A41" i="3" s="1"/>
  <c r="C41" i="3"/>
  <c r="B38" i="3" l="1"/>
  <c r="A38" i="3" s="1"/>
  <c r="C38" i="3"/>
  <c r="S5" i="4" l="1"/>
  <c r="S11" i="4" s="1"/>
  <c r="S4" i="4"/>
  <c r="S10" i="4" s="1"/>
  <c r="S3" i="4"/>
  <c r="S2" i="4"/>
  <c r="G23" i="1" s="1"/>
  <c r="B12" i="3"/>
  <c r="A12" i="3" s="1"/>
  <c r="B13" i="3"/>
  <c r="A13" i="3" s="1"/>
  <c r="B14" i="3"/>
  <c r="A14" i="3" s="1"/>
  <c r="B15" i="3"/>
  <c r="A15" i="3" s="1"/>
  <c r="B16" i="3"/>
  <c r="A16" i="3" s="1"/>
  <c r="B17" i="3"/>
  <c r="A17" i="3" s="1"/>
  <c r="B18" i="3"/>
  <c r="A18" i="3" s="1"/>
  <c r="B19" i="3"/>
  <c r="A19" i="3" s="1"/>
  <c r="B20" i="3"/>
  <c r="A20" i="3" s="1"/>
  <c r="B21" i="3"/>
  <c r="A21" i="3" s="1"/>
  <c r="B22" i="3"/>
  <c r="A22" i="3" s="1"/>
  <c r="B23" i="3"/>
  <c r="A23" i="3" s="1"/>
  <c r="B24" i="3"/>
  <c r="A24" i="3" s="1"/>
  <c r="B25" i="3"/>
  <c r="A25" i="3" s="1"/>
  <c r="B26" i="3"/>
  <c r="A26" i="3" s="1"/>
  <c r="B27" i="3"/>
  <c r="A27" i="3" s="1"/>
  <c r="B28" i="3"/>
  <c r="A28" i="3" s="1"/>
  <c r="B29" i="3"/>
  <c r="A29" i="3" s="1"/>
  <c r="B30" i="3"/>
  <c r="A30" i="3" s="1"/>
  <c r="B31" i="3"/>
  <c r="A31" i="3" s="1"/>
  <c r="B32" i="3"/>
  <c r="A32" i="3" s="1"/>
  <c r="B33" i="3"/>
  <c r="A33" i="3" s="1"/>
  <c r="B34" i="3"/>
  <c r="A34" i="3" s="1"/>
  <c r="B35" i="3"/>
  <c r="A35" i="3" s="1"/>
  <c r="B36" i="3"/>
  <c r="A36" i="3" s="1"/>
  <c r="B37" i="3"/>
  <c r="A37" i="3" s="1"/>
  <c r="B11" i="3"/>
  <c r="C12" i="3"/>
  <c r="D12" i="3" s="1"/>
  <c r="C13" i="3"/>
  <c r="C14" i="3"/>
  <c r="C15" i="3"/>
  <c r="D15" i="3" s="1"/>
  <c r="C16" i="3"/>
  <c r="C17" i="3"/>
  <c r="D17" i="3" s="1"/>
  <c r="C18" i="3"/>
  <c r="D18" i="3" s="1"/>
  <c r="C19" i="3"/>
  <c r="D19" i="3" s="1"/>
  <c r="C20" i="3"/>
  <c r="C21" i="3"/>
  <c r="C22" i="3"/>
  <c r="C23" i="3"/>
  <c r="C24" i="3"/>
  <c r="D24" i="3" s="1"/>
  <c r="C25" i="3"/>
  <c r="C26" i="3"/>
  <c r="D26" i="3" s="1"/>
  <c r="C27" i="3"/>
  <c r="D27" i="3" s="1"/>
  <c r="C28" i="3"/>
  <c r="C29" i="3"/>
  <c r="D29" i="3" s="1"/>
  <c r="C30" i="3"/>
  <c r="C31" i="3"/>
  <c r="C32" i="3"/>
  <c r="C33" i="3"/>
  <c r="C34" i="3"/>
  <c r="D34" i="3" s="1"/>
  <c r="C35" i="3"/>
  <c r="C36" i="3"/>
  <c r="C37" i="3"/>
  <c r="C11" i="3"/>
  <c r="H1" i="2"/>
  <c r="N5" i="14" l="1"/>
  <c r="P5" i="14" s="1" a="1"/>
  <c r="P5" i="14" s="1"/>
  <c r="A1" i="16"/>
  <c r="G11" i="1"/>
  <c r="N4" i="24"/>
  <c r="O5" i="15"/>
  <c r="O6" i="15" s="1"/>
  <c r="O7" i="15" s="1"/>
  <c r="O8" i="15" s="1"/>
  <c r="O9" i="15" s="1"/>
  <c r="O10" i="15" s="1"/>
  <c r="O11" i="15" s="1"/>
  <c r="O12" i="15" s="1"/>
  <c r="O13" i="15" s="1"/>
  <c r="O14" i="15" s="1"/>
  <c r="O15" i="15" s="1"/>
  <c r="O16" i="15" s="1"/>
  <c r="O17" i="15" s="1"/>
  <c r="O18" i="15" s="1"/>
  <c r="O19" i="15" s="1"/>
  <c r="O20" i="15" s="1"/>
  <c r="O21" i="15" s="1"/>
  <c r="O22" i="15" s="1"/>
  <c r="O23" i="15" s="1"/>
  <c r="O24" i="15" s="1"/>
  <c r="O25" i="15" s="1"/>
  <c r="O26" i="15" s="1"/>
  <c r="O27" i="15" s="1"/>
  <c r="O28" i="15" s="1"/>
  <c r="O29" i="15" s="1"/>
  <c r="O30" i="15" s="1"/>
  <c r="O31" i="15" s="1"/>
  <c r="O32" i="15" s="1"/>
  <c r="O33" i="15" s="1"/>
  <c r="O34" i="15" s="1"/>
  <c r="O35" i="15" s="1"/>
  <c r="O36" i="15" s="1"/>
  <c r="O37" i="15" s="1"/>
  <c r="O38" i="15" s="1"/>
  <c r="O39" i="15" s="1"/>
  <c r="O40" i="15" s="1"/>
  <c r="O41" i="15" s="1"/>
  <c r="N22" i="24"/>
  <c r="N5" i="15"/>
  <c r="N6" i="14"/>
  <c r="P6" i="14" s="1" a="1"/>
  <c r="P6" i="14" s="1"/>
  <c r="O5" i="14"/>
  <c r="O6" i="14" s="1"/>
  <c r="O7" i="14" s="1"/>
  <c r="O8" i="14" s="1"/>
  <c r="O9" i="14" s="1"/>
  <c r="O10" i="14" s="1"/>
  <c r="O11" i="14" s="1"/>
  <c r="O12" i="14" s="1"/>
  <c r="O13" i="14" s="1"/>
  <c r="O14" i="14" s="1"/>
  <c r="O15" i="14" s="1"/>
  <c r="O16" i="14" s="1"/>
  <c r="O17" i="14" s="1"/>
  <c r="O18" i="14" s="1"/>
  <c r="O19" i="14" s="1"/>
  <c r="O20" i="14" s="1"/>
  <c r="O21" i="14" s="1"/>
  <c r="O22" i="14" s="1"/>
  <c r="O23" i="14" s="1"/>
  <c r="O24" i="14" s="1"/>
  <c r="O25" i="14" s="1"/>
  <c r="O26" i="14" s="1"/>
  <c r="O27" i="14" s="1"/>
  <c r="O28" i="14" s="1"/>
  <c r="O29" i="14" s="1"/>
  <c r="O30" i="14" s="1"/>
  <c r="O31" i="14" s="1"/>
  <c r="O32" i="14" s="1"/>
  <c r="O33" i="14" s="1"/>
  <c r="O34" i="14" s="1"/>
  <c r="O35" i="14" s="1"/>
  <c r="O36" i="14" s="1"/>
  <c r="O37" i="14" s="1"/>
  <c r="O38" i="14" s="1"/>
  <c r="O39" i="14" s="1"/>
  <c r="O40" i="14" s="1"/>
  <c r="O41" i="14" s="1"/>
  <c r="G2" i="1"/>
  <c r="C5" i="20"/>
  <c r="H2" i="17"/>
  <c r="H3" i="16"/>
  <c r="Y2" i="8"/>
  <c r="T1" i="4"/>
  <c r="H3" i="2"/>
  <c r="X2" i="8"/>
  <c r="G7" i="1"/>
  <c r="I7" i="1" s="1"/>
  <c r="S9" i="4"/>
  <c r="G24" i="1"/>
  <c r="B10" i="3"/>
  <c r="C10" i="3"/>
  <c r="S8" i="4"/>
  <c r="S1" i="4"/>
  <c r="C3" i="4"/>
  <c r="H2" i="2"/>
  <c r="P8" i="3" s="1"/>
  <c r="M5" i="1" l="1"/>
  <c r="P5" i="15" a="1"/>
  <c r="P5" i="15" s="1"/>
  <c r="N6" i="15"/>
  <c r="J28" i="16" a="1"/>
  <c r="J28" i="16" s="1"/>
  <c r="L28" i="16" a="1"/>
  <c r="L28" i="16" s="1"/>
  <c r="K28" i="16" a="1"/>
  <c r="K28" i="16" s="1"/>
  <c r="D5" i="20"/>
  <c r="C7" i="20"/>
  <c r="C6" i="20"/>
  <c r="N7" i="14"/>
  <c r="P7" i="14" s="1" a="1"/>
  <c r="P7" i="14" s="1"/>
  <c r="H7" i="1"/>
  <c r="C2" i="4"/>
  <c r="T13" i="4"/>
  <c r="G13" i="1"/>
  <c r="B2" i="3"/>
  <c r="B4" i="3"/>
  <c r="B3" i="3"/>
  <c r="N7" i="15" l="1"/>
  <c r="P6" i="15" a="1"/>
  <c r="P6" i="15" s="1"/>
  <c r="E5" i="20"/>
  <c r="D7" i="20"/>
  <c r="D6" i="20"/>
  <c r="N8" i="14"/>
  <c r="P8" i="14" s="1" a="1"/>
  <c r="P8" i="14" s="1"/>
  <c r="P8" i="7"/>
  <c r="P16" i="7"/>
  <c r="P24" i="7"/>
  <c r="P32" i="7"/>
  <c r="P40" i="7"/>
  <c r="P48" i="7"/>
  <c r="P35" i="7"/>
  <c r="P12" i="7"/>
  <c r="P44" i="7"/>
  <c r="P21" i="7"/>
  <c r="P46" i="7"/>
  <c r="P15" i="7"/>
  <c r="P47" i="7"/>
  <c r="P17" i="7"/>
  <c r="P25" i="7"/>
  <c r="P33" i="7"/>
  <c r="P41" i="7"/>
  <c r="P49" i="7"/>
  <c r="P19" i="7"/>
  <c r="P7" i="7"/>
  <c r="P36" i="7"/>
  <c r="P37" i="7"/>
  <c r="P30" i="7"/>
  <c r="P23" i="7"/>
  <c r="P39" i="7"/>
  <c r="P10" i="7"/>
  <c r="P18" i="7"/>
  <c r="P26" i="7"/>
  <c r="P34" i="7"/>
  <c r="P42" i="7"/>
  <c r="P50" i="7"/>
  <c r="P11" i="7"/>
  <c r="P27" i="7"/>
  <c r="P43" i="7"/>
  <c r="P20" i="7"/>
  <c r="P28" i="7"/>
  <c r="P13" i="7"/>
  <c r="P29" i="7"/>
  <c r="P45" i="7"/>
  <c r="P14" i="7"/>
  <c r="P22" i="7"/>
  <c r="P38" i="7"/>
  <c r="P31" i="7"/>
  <c r="N13" i="7"/>
  <c r="N21" i="7"/>
  <c r="N29" i="7"/>
  <c r="N37" i="7"/>
  <c r="N45" i="7"/>
  <c r="M17" i="7"/>
  <c r="M25" i="7"/>
  <c r="M33" i="7"/>
  <c r="M41" i="7"/>
  <c r="M49" i="7"/>
  <c r="L13" i="7"/>
  <c r="L21" i="7"/>
  <c r="L29" i="7"/>
  <c r="L37" i="7"/>
  <c r="L45" i="7"/>
  <c r="K17" i="7"/>
  <c r="K25" i="7"/>
  <c r="K33" i="7"/>
  <c r="K41" i="7"/>
  <c r="K49" i="7"/>
  <c r="J13" i="7"/>
  <c r="J21" i="7"/>
  <c r="J29" i="7"/>
  <c r="J37" i="7"/>
  <c r="J45" i="7"/>
  <c r="I17" i="7"/>
  <c r="I25" i="7"/>
  <c r="I33" i="7"/>
  <c r="I41" i="7"/>
  <c r="I49" i="7"/>
  <c r="O9" i="7"/>
  <c r="D9" i="7"/>
  <c r="D17" i="7"/>
  <c r="D25" i="7"/>
  <c r="D33" i="7"/>
  <c r="D41" i="7"/>
  <c r="D49" i="7"/>
  <c r="C13" i="7"/>
  <c r="C21" i="7"/>
  <c r="C29" i="7"/>
  <c r="C37" i="7"/>
  <c r="C45" i="7"/>
  <c r="N10" i="7"/>
  <c r="N50" i="7"/>
  <c r="M38" i="7"/>
  <c r="L26" i="7"/>
  <c r="K22" i="7"/>
  <c r="J18" i="7"/>
  <c r="I14" i="7"/>
  <c r="I46" i="7"/>
  <c r="C10" i="7"/>
  <c r="C50" i="7"/>
  <c r="N19" i="7"/>
  <c r="M23" i="7"/>
  <c r="L19" i="7"/>
  <c r="N14" i="7"/>
  <c r="N22" i="7"/>
  <c r="N30" i="7"/>
  <c r="N38" i="7"/>
  <c r="N46" i="7"/>
  <c r="M10" i="7"/>
  <c r="M18" i="7"/>
  <c r="M26" i="7"/>
  <c r="M34" i="7"/>
  <c r="M42" i="7"/>
  <c r="M50" i="7"/>
  <c r="L14" i="7"/>
  <c r="L22" i="7"/>
  <c r="L30" i="7"/>
  <c r="L38" i="7"/>
  <c r="L46" i="7"/>
  <c r="K10" i="7"/>
  <c r="K18" i="7"/>
  <c r="K26" i="7"/>
  <c r="K34" i="7"/>
  <c r="K42" i="7"/>
  <c r="K50" i="7"/>
  <c r="J14" i="7"/>
  <c r="J22" i="7"/>
  <c r="J30" i="7"/>
  <c r="J38" i="7"/>
  <c r="J46" i="7"/>
  <c r="I10" i="7"/>
  <c r="I18" i="7"/>
  <c r="I26" i="7"/>
  <c r="I34" i="7"/>
  <c r="I42" i="7"/>
  <c r="I50" i="7"/>
  <c r="D10" i="7"/>
  <c r="D18" i="7"/>
  <c r="D26" i="7"/>
  <c r="D34" i="7"/>
  <c r="D42" i="7"/>
  <c r="D50" i="7"/>
  <c r="C14" i="7"/>
  <c r="C22" i="7"/>
  <c r="C30" i="7"/>
  <c r="C38" i="7"/>
  <c r="C46" i="7"/>
  <c r="M14" i="7"/>
  <c r="L10" i="7"/>
  <c r="L50" i="7"/>
  <c r="J10" i="7"/>
  <c r="J50" i="7"/>
  <c r="D38" i="7"/>
  <c r="C34" i="7"/>
  <c r="N35" i="7"/>
  <c r="M31" i="7"/>
  <c r="L27" i="7"/>
  <c r="N15" i="7"/>
  <c r="N23" i="7"/>
  <c r="N31" i="7"/>
  <c r="N39" i="7"/>
  <c r="N47" i="7"/>
  <c r="M11" i="7"/>
  <c r="M19" i="7"/>
  <c r="M27" i="7"/>
  <c r="M35" i="7"/>
  <c r="M43" i="7"/>
  <c r="M7" i="7"/>
  <c r="L15" i="7"/>
  <c r="L23" i="7"/>
  <c r="L31" i="7"/>
  <c r="L39" i="7"/>
  <c r="L47" i="7"/>
  <c r="K19" i="7"/>
  <c r="K27" i="7"/>
  <c r="K35" i="7"/>
  <c r="K43" i="7"/>
  <c r="K7" i="7"/>
  <c r="J15" i="7"/>
  <c r="J23" i="7"/>
  <c r="J31" i="7"/>
  <c r="J39" i="7"/>
  <c r="J47" i="7"/>
  <c r="I19" i="7"/>
  <c r="I27" i="7"/>
  <c r="I35" i="7"/>
  <c r="I43" i="7"/>
  <c r="I7" i="7"/>
  <c r="D19" i="7"/>
  <c r="D27" i="7"/>
  <c r="D35" i="7"/>
  <c r="D43" i="7"/>
  <c r="D7" i="7"/>
  <c r="C15" i="7"/>
  <c r="C23" i="7"/>
  <c r="C31" i="7"/>
  <c r="C39" i="7"/>
  <c r="C47" i="7"/>
  <c r="C48" i="7"/>
  <c r="N34" i="7"/>
  <c r="M30" i="7"/>
  <c r="L34" i="7"/>
  <c r="K30" i="7"/>
  <c r="J26" i="7"/>
  <c r="I22" i="7"/>
  <c r="D22" i="7"/>
  <c r="C18" i="7"/>
  <c r="N11" i="7"/>
  <c r="M15" i="7"/>
  <c r="M47" i="7"/>
  <c r="L35" i="7"/>
  <c r="N8" i="7"/>
  <c r="N16" i="7"/>
  <c r="N24" i="7"/>
  <c r="N32" i="7"/>
  <c r="N40" i="7"/>
  <c r="N48" i="7"/>
  <c r="M12" i="7"/>
  <c r="M20" i="7"/>
  <c r="M28" i="7"/>
  <c r="M36" i="7"/>
  <c r="M44" i="7"/>
  <c r="L8" i="7"/>
  <c r="L16" i="7"/>
  <c r="L24" i="7"/>
  <c r="L32" i="7"/>
  <c r="L40" i="7"/>
  <c r="L48" i="7"/>
  <c r="K12" i="7"/>
  <c r="K20" i="7"/>
  <c r="K28" i="7"/>
  <c r="K36" i="7"/>
  <c r="K44" i="7"/>
  <c r="J8" i="7"/>
  <c r="J16" i="7"/>
  <c r="J24" i="7"/>
  <c r="J32" i="7"/>
  <c r="J40" i="7"/>
  <c r="J48" i="7"/>
  <c r="I12" i="7"/>
  <c r="I20" i="7"/>
  <c r="I28" i="7"/>
  <c r="I36" i="7"/>
  <c r="I44" i="7"/>
  <c r="D12" i="7"/>
  <c r="D20" i="7"/>
  <c r="D28" i="7"/>
  <c r="D36" i="7"/>
  <c r="D44" i="7"/>
  <c r="C8" i="7"/>
  <c r="C16" i="7"/>
  <c r="C24" i="7"/>
  <c r="C32" i="7"/>
  <c r="C40" i="7"/>
  <c r="N26" i="7"/>
  <c r="M46" i="7"/>
  <c r="L42" i="7"/>
  <c r="K38" i="7"/>
  <c r="J34" i="7"/>
  <c r="I30" i="7"/>
  <c r="D30" i="7"/>
  <c r="C42" i="7"/>
  <c r="N43" i="7"/>
  <c r="M39" i="7"/>
  <c r="L43" i="7"/>
  <c r="N17" i="7"/>
  <c r="N25" i="7"/>
  <c r="N33" i="7"/>
  <c r="N41" i="7"/>
  <c r="N49" i="7"/>
  <c r="M13" i="7"/>
  <c r="M21" i="7"/>
  <c r="M29" i="7"/>
  <c r="M37" i="7"/>
  <c r="M45" i="7"/>
  <c r="L17" i="7"/>
  <c r="L25" i="7"/>
  <c r="L33" i="7"/>
  <c r="L41" i="7"/>
  <c r="L49" i="7"/>
  <c r="K13" i="7"/>
  <c r="K21" i="7"/>
  <c r="K29" i="7"/>
  <c r="K37" i="7"/>
  <c r="K45" i="7"/>
  <c r="J17" i="7"/>
  <c r="J25" i="7"/>
  <c r="J33" i="7"/>
  <c r="J41" i="7"/>
  <c r="J49" i="7"/>
  <c r="I13" i="7"/>
  <c r="I21" i="7"/>
  <c r="I29" i="7"/>
  <c r="I37" i="7"/>
  <c r="I45" i="7"/>
  <c r="D13" i="7"/>
  <c r="D21" i="7"/>
  <c r="D29" i="7"/>
  <c r="D37" i="7"/>
  <c r="D45" i="7"/>
  <c r="C9" i="7"/>
  <c r="C17" i="7"/>
  <c r="C25" i="7"/>
  <c r="C33" i="7"/>
  <c r="C41" i="7"/>
  <c r="C49" i="7"/>
  <c r="N18" i="7"/>
  <c r="N42" i="7"/>
  <c r="M22" i="7"/>
  <c r="L18" i="7"/>
  <c r="K14" i="7"/>
  <c r="K46" i="7"/>
  <c r="J42" i="7"/>
  <c r="I38" i="7"/>
  <c r="D14" i="7"/>
  <c r="D46" i="7"/>
  <c r="C26" i="7"/>
  <c r="N27" i="7"/>
  <c r="N7" i="7"/>
  <c r="N36" i="7"/>
  <c r="L12" i="7"/>
  <c r="K16" i="7"/>
  <c r="K48" i="7"/>
  <c r="J36" i="7"/>
  <c r="I24" i="7"/>
  <c r="D8" i="7"/>
  <c r="D40" i="7"/>
  <c r="C28" i="7"/>
  <c r="D47" i="7"/>
  <c r="K32" i="7"/>
  <c r="D24" i="7"/>
  <c r="C44" i="7"/>
  <c r="L7" i="7"/>
  <c r="I15" i="7"/>
  <c r="C19" i="7"/>
  <c r="N44" i="7"/>
  <c r="L20" i="7"/>
  <c r="K23" i="7"/>
  <c r="J43" i="7"/>
  <c r="I31" i="7"/>
  <c r="D15" i="7"/>
  <c r="C35" i="7"/>
  <c r="L44" i="7"/>
  <c r="I40" i="7"/>
  <c r="N12" i="7"/>
  <c r="J27" i="7"/>
  <c r="C7" i="7"/>
  <c r="C27" i="7"/>
  <c r="M8" i="7"/>
  <c r="L28" i="7"/>
  <c r="K24" i="7"/>
  <c r="J12" i="7"/>
  <c r="J44" i="7"/>
  <c r="I32" i="7"/>
  <c r="D16" i="7"/>
  <c r="D48" i="7"/>
  <c r="C36" i="7"/>
  <c r="J20" i="7"/>
  <c r="K39" i="7"/>
  <c r="J35" i="7"/>
  <c r="M16" i="7"/>
  <c r="L36" i="7"/>
  <c r="K31" i="7"/>
  <c r="J19" i="7"/>
  <c r="J7" i="7"/>
  <c r="I39" i="7"/>
  <c r="D23" i="7"/>
  <c r="C43" i="7"/>
  <c r="M24" i="7"/>
  <c r="I8" i="7"/>
  <c r="C12" i="7"/>
  <c r="M32" i="7"/>
  <c r="I47" i="7"/>
  <c r="D31" i="7"/>
  <c r="I23" i="7"/>
  <c r="D39" i="7"/>
  <c r="N20" i="7"/>
  <c r="M40" i="7"/>
  <c r="K8" i="7"/>
  <c r="K40" i="7"/>
  <c r="J28" i="7"/>
  <c r="I16" i="7"/>
  <c r="I48" i="7"/>
  <c r="D32" i="7"/>
  <c r="C20" i="7"/>
  <c r="N28" i="7"/>
  <c r="M48" i="7"/>
  <c r="K15" i="7"/>
  <c r="K47" i="7"/>
  <c r="N8" i="15" l="1"/>
  <c r="P7" i="15" a="1"/>
  <c r="P7" i="15" s="1"/>
  <c r="F5" i="20"/>
  <c r="E7" i="20"/>
  <c r="E6" i="20"/>
  <c r="N9" i="14"/>
  <c r="P9" i="14" s="1" a="1"/>
  <c r="P9" i="14" s="1"/>
  <c r="R40" i="7"/>
  <c r="R48" i="7"/>
  <c r="R39" i="7"/>
  <c r="R31" i="7"/>
  <c r="R47" i="7"/>
  <c r="R45" i="7"/>
  <c r="R32" i="7"/>
  <c r="R46" i="7"/>
  <c r="R50" i="7"/>
  <c r="R29" i="7"/>
  <c r="R36" i="7"/>
  <c r="R44" i="7"/>
  <c r="R43" i="7"/>
  <c r="R38" i="7"/>
  <c r="R35" i="7"/>
  <c r="R49" i="7"/>
  <c r="R37" i="7"/>
  <c r="R42" i="7"/>
  <c r="R41" i="7"/>
  <c r="R30" i="7"/>
  <c r="R34" i="7"/>
  <c r="R33" i="7"/>
  <c r="R21" i="7"/>
  <c r="R7" i="7"/>
  <c r="R26" i="7"/>
  <c r="R25" i="7"/>
  <c r="R23" i="7"/>
  <c r="R14" i="7"/>
  <c r="R13" i="7"/>
  <c r="R18" i="7"/>
  <c r="R17" i="7"/>
  <c r="R8" i="7"/>
  <c r="R10" i="7"/>
  <c r="R9" i="7"/>
  <c r="R15" i="7"/>
  <c r="R28" i="7"/>
  <c r="R27" i="7"/>
  <c r="R20" i="7"/>
  <c r="R19" i="7"/>
  <c r="R22" i="7"/>
  <c r="R11" i="7"/>
  <c r="R12" i="7"/>
  <c r="R16" i="7"/>
  <c r="R24" i="7"/>
  <c r="C3" i="7"/>
  <c r="O44" i="7"/>
  <c r="O43" i="7"/>
  <c r="O47" i="7"/>
  <c r="O36" i="7"/>
  <c r="O35" i="7"/>
  <c r="O31" i="7"/>
  <c r="O30" i="7"/>
  <c r="O40" i="7"/>
  <c r="O39" i="7"/>
  <c r="O38" i="7"/>
  <c r="O32" i="7"/>
  <c r="O37" i="7"/>
  <c r="O42" i="7"/>
  <c r="O41" i="7"/>
  <c r="O48" i="7"/>
  <c r="O46" i="7"/>
  <c r="O45" i="7"/>
  <c r="O50" i="7"/>
  <c r="O49" i="7"/>
  <c r="O29" i="7"/>
  <c r="O34" i="7"/>
  <c r="O33" i="7"/>
  <c r="O24" i="7"/>
  <c r="O27" i="7"/>
  <c r="O19" i="7"/>
  <c r="O17" i="7"/>
  <c r="O15" i="7"/>
  <c r="O23" i="7"/>
  <c r="O12" i="7"/>
  <c r="O25" i="7"/>
  <c r="O16" i="7"/>
  <c r="O22" i="7"/>
  <c r="O18" i="7"/>
  <c r="O21" i="7"/>
  <c r="O28" i="7"/>
  <c r="O10" i="7"/>
  <c r="O11" i="7"/>
  <c r="O26" i="7"/>
  <c r="O8" i="7"/>
  <c r="O14" i="7"/>
  <c r="O13" i="7"/>
  <c r="O20" i="7"/>
  <c r="O7" i="7"/>
  <c r="N9" i="15" l="1"/>
  <c r="P8" i="15" a="1"/>
  <c r="P8" i="15" s="1"/>
  <c r="G5" i="20"/>
  <c r="F7" i="20"/>
  <c r="F6" i="20"/>
  <c r="N10" i="14"/>
  <c r="P10" i="14" s="1" a="1"/>
  <c r="P10" i="14" s="1"/>
  <c r="C2" i="7"/>
  <c r="N10" i="15" l="1"/>
  <c r="P9" i="15" a="1"/>
  <c r="P9" i="15" s="1"/>
  <c r="H5" i="20"/>
  <c r="G7" i="20"/>
  <c r="G6" i="20"/>
  <c r="N11" i="14"/>
  <c r="P11" i="14" s="1" a="1"/>
  <c r="P11" i="14" s="1"/>
  <c r="N11" i="15" l="1"/>
  <c r="P10" i="15" a="1"/>
  <c r="P10" i="15" s="1"/>
  <c r="I5" i="20"/>
  <c r="H7" i="20"/>
  <c r="H6" i="20"/>
  <c r="N12" i="14"/>
  <c r="P12" i="14" s="1" a="1"/>
  <c r="P12" i="14" s="1"/>
  <c r="N12" i="15" l="1"/>
  <c r="P11" i="15" a="1"/>
  <c r="P11" i="15" s="1"/>
  <c r="C8" i="20"/>
  <c r="I7" i="20"/>
  <c r="I6" i="20"/>
  <c r="N13" i="14"/>
  <c r="P13" i="14" s="1" a="1"/>
  <c r="P13" i="14" s="1"/>
  <c r="N13" i="15" l="1"/>
  <c r="P12" i="15" a="1"/>
  <c r="P12" i="15" s="1"/>
  <c r="D8" i="20"/>
  <c r="C10" i="20"/>
  <c r="C9" i="20"/>
  <c r="N14" i="14"/>
  <c r="P14" i="14" s="1" a="1"/>
  <c r="P14" i="14" s="1"/>
  <c r="N14" i="15" l="1"/>
  <c r="P13" i="15" a="1"/>
  <c r="P13" i="15" s="1"/>
  <c r="E8" i="20"/>
  <c r="D9" i="20"/>
  <c r="D10" i="20"/>
  <c r="N15" i="14"/>
  <c r="P15" i="14" s="1" a="1"/>
  <c r="P15" i="14" s="1"/>
  <c r="N15" i="15" l="1"/>
  <c r="P14" i="15" a="1"/>
  <c r="P14" i="15" s="1"/>
  <c r="F8" i="20"/>
  <c r="E9" i="20"/>
  <c r="E10" i="20"/>
  <c r="N16" i="14"/>
  <c r="P16" i="14" s="1" a="1"/>
  <c r="P16" i="14" s="1"/>
  <c r="N16" i="15" l="1"/>
  <c r="P15" i="15" a="1"/>
  <c r="P15" i="15" s="1"/>
  <c r="G8" i="20"/>
  <c r="F9" i="20"/>
  <c r="F10" i="20"/>
  <c r="N17" i="14"/>
  <c r="P17" i="14" s="1" a="1"/>
  <c r="P17" i="14" s="1"/>
  <c r="N17" i="15" l="1"/>
  <c r="P16" i="15" a="1"/>
  <c r="P16" i="15" s="1"/>
  <c r="H8" i="20"/>
  <c r="G9" i="20"/>
  <c r="G10" i="20"/>
  <c r="N18" i="14"/>
  <c r="P18" i="14" s="1" a="1"/>
  <c r="P18" i="14" s="1"/>
  <c r="N18" i="15" l="1"/>
  <c r="P17" i="15" a="1"/>
  <c r="P17" i="15" s="1"/>
  <c r="I8" i="20"/>
  <c r="H10" i="20"/>
  <c r="H9" i="20"/>
  <c r="N19" i="14"/>
  <c r="P19" i="14" s="1" a="1"/>
  <c r="P19" i="14" s="1"/>
  <c r="N19" i="15" l="1"/>
  <c r="P18" i="15" a="1"/>
  <c r="P18" i="15" s="1"/>
  <c r="C11" i="20"/>
  <c r="I10" i="20"/>
  <c r="I9" i="20"/>
  <c r="N20" i="14"/>
  <c r="P20" i="14" s="1" a="1"/>
  <c r="P20" i="14" s="1"/>
  <c r="N20" i="15" l="1"/>
  <c r="P19" i="15" a="1"/>
  <c r="P19" i="15" s="1"/>
  <c r="D11" i="20"/>
  <c r="C12" i="20"/>
  <c r="C13" i="20"/>
  <c r="N21" i="14"/>
  <c r="P21" i="14" s="1" a="1"/>
  <c r="P21" i="14" s="1"/>
  <c r="N21" i="15" l="1"/>
  <c r="P20" i="15" a="1"/>
  <c r="P20" i="15" s="1"/>
  <c r="E11" i="20"/>
  <c r="D13" i="20"/>
  <c r="D12" i="20"/>
  <c r="N22" i="14"/>
  <c r="P22" i="14" s="1" a="1"/>
  <c r="P22" i="14" s="1"/>
  <c r="N22" i="15" l="1"/>
  <c r="P21" i="15" a="1"/>
  <c r="P21" i="15" s="1"/>
  <c r="F11" i="20"/>
  <c r="E13" i="20"/>
  <c r="E12" i="20"/>
  <c r="N23" i="14"/>
  <c r="P23" i="14" s="1" a="1"/>
  <c r="P23" i="14" s="1"/>
  <c r="N23" i="15" l="1"/>
  <c r="P22" i="15" a="1"/>
  <c r="P22" i="15" s="1"/>
  <c r="G11" i="20"/>
  <c r="F13" i="20"/>
  <c r="F12" i="20"/>
  <c r="N24" i="14"/>
  <c r="P24" i="14" s="1" a="1"/>
  <c r="P24" i="14" s="1"/>
  <c r="N24" i="15" l="1"/>
  <c r="P23" i="15" a="1"/>
  <c r="P23" i="15" s="1"/>
  <c r="H11" i="20"/>
  <c r="G12" i="20"/>
  <c r="G13" i="20"/>
  <c r="N25" i="14"/>
  <c r="P25" i="14" s="1" a="1"/>
  <c r="P25" i="14" s="1"/>
  <c r="N25" i="15" l="1"/>
  <c r="P24" i="15" a="1"/>
  <c r="P24" i="15" s="1"/>
  <c r="I11" i="20"/>
  <c r="H13" i="20"/>
  <c r="H12" i="20"/>
  <c r="N26" i="14"/>
  <c r="P26" i="14" s="1" a="1"/>
  <c r="P26" i="14" s="1"/>
  <c r="N26" i="15" l="1"/>
  <c r="P25" i="15" a="1"/>
  <c r="P25" i="15" s="1"/>
  <c r="C14" i="20"/>
  <c r="I12" i="20"/>
  <c r="I13" i="20"/>
  <c r="N27" i="14"/>
  <c r="P27" i="14" s="1" a="1"/>
  <c r="P27" i="14" s="1"/>
  <c r="N27" i="15" l="1"/>
  <c r="P26" i="15" a="1"/>
  <c r="P26" i="15" s="1"/>
  <c r="D14" i="20"/>
  <c r="C15" i="20"/>
  <c r="C16" i="20"/>
  <c r="N28" i="14"/>
  <c r="P28" i="14" s="1" a="1"/>
  <c r="P28" i="14" s="1"/>
  <c r="N28" i="15" l="1"/>
  <c r="P27" i="15" a="1"/>
  <c r="P27" i="15" s="1"/>
  <c r="E14" i="20"/>
  <c r="D15" i="20"/>
  <c r="D16" i="20"/>
  <c r="N29" i="14"/>
  <c r="P29" i="14" s="1" a="1"/>
  <c r="P29" i="14" s="1"/>
  <c r="N29" i="15" l="1"/>
  <c r="P28" i="15" a="1"/>
  <c r="P28" i="15" s="1"/>
  <c r="F14" i="20"/>
  <c r="E15" i="20"/>
  <c r="E16" i="20"/>
  <c r="N30" i="14"/>
  <c r="P30" i="14" s="1" a="1"/>
  <c r="P30" i="14" s="1"/>
  <c r="N30" i="15" l="1"/>
  <c r="P29" i="15" a="1"/>
  <c r="P29" i="15" s="1"/>
  <c r="G14" i="20"/>
  <c r="F15" i="20"/>
  <c r="F16" i="20"/>
  <c r="N31" i="14"/>
  <c r="P31" i="14" s="1" a="1"/>
  <c r="P31" i="14" s="1"/>
  <c r="N31" i="15" l="1"/>
  <c r="P30" i="15" a="1"/>
  <c r="P30" i="15" s="1"/>
  <c r="H14" i="20"/>
  <c r="G16" i="20"/>
  <c r="G15" i="20"/>
  <c r="N32" i="14"/>
  <c r="P32" i="14" s="1" a="1"/>
  <c r="P32" i="14" s="1"/>
  <c r="N32" i="15" l="1"/>
  <c r="P31" i="15" a="1"/>
  <c r="P31" i="15" s="1"/>
  <c r="I14" i="20"/>
  <c r="H15" i="20"/>
  <c r="H16" i="20"/>
  <c r="N33" i="14"/>
  <c r="P33" i="14" s="1" a="1"/>
  <c r="P33" i="14" s="1"/>
  <c r="N33" i="15" l="1"/>
  <c r="P32" i="15" a="1"/>
  <c r="P32" i="15" s="1"/>
  <c r="C17" i="20"/>
  <c r="I16" i="20"/>
  <c r="I15" i="20"/>
  <c r="N34" i="14"/>
  <c r="P34" i="14" s="1" a="1"/>
  <c r="P34" i="14" s="1"/>
  <c r="N34" i="15" l="1"/>
  <c r="P33" i="15" a="1"/>
  <c r="P33" i="15" s="1"/>
  <c r="D17" i="20"/>
  <c r="C19" i="20"/>
  <c r="C18" i="20"/>
  <c r="N35" i="14"/>
  <c r="P35" i="14" s="1" a="1"/>
  <c r="P35" i="14" s="1"/>
  <c r="N35" i="15" l="1"/>
  <c r="P34" i="15" a="1"/>
  <c r="P34" i="15" s="1"/>
  <c r="E17" i="20"/>
  <c r="D19" i="20"/>
  <c r="D18" i="20"/>
  <c r="N36" i="14"/>
  <c r="P36" i="14" s="1" a="1"/>
  <c r="P36" i="14" s="1"/>
  <c r="E20" i="20" l="1"/>
  <c r="N36" i="15"/>
  <c r="P35" i="15" a="1"/>
  <c r="P35" i="15" s="1"/>
  <c r="F17" i="20"/>
  <c r="E18" i="20"/>
  <c r="E19" i="20"/>
  <c r="N37" i="14"/>
  <c r="P37" i="14" s="1" a="1"/>
  <c r="P37" i="14" s="1"/>
  <c r="N37" i="15" l="1"/>
  <c r="P36" i="15" a="1"/>
  <c r="P36" i="15" s="1"/>
  <c r="G17" i="20"/>
  <c r="F19" i="20"/>
  <c r="F18" i="20"/>
  <c r="N38" i="14"/>
  <c r="P38" i="14" s="1" a="1"/>
  <c r="P38" i="14" s="1"/>
  <c r="N38" i="15" l="1"/>
  <c r="P37" i="15" a="1"/>
  <c r="P37" i="15" s="1"/>
  <c r="H17" i="20"/>
  <c r="G18" i="20"/>
  <c r="G19" i="20"/>
  <c r="N39" i="14"/>
  <c r="P39" i="14" s="1" a="1"/>
  <c r="P39" i="14" s="1"/>
  <c r="N39" i="15" l="1"/>
  <c r="P38" i="15" a="1"/>
  <c r="P38" i="15" s="1"/>
  <c r="I17" i="20"/>
  <c r="H18" i="20"/>
  <c r="H19" i="20"/>
  <c r="N40" i="14"/>
  <c r="P40" i="14" s="1" a="1"/>
  <c r="P40" i="14" s="1"/>
  <c r="N40" i="15" l="1"/>
  <c r="P39" i="15" a="1"/>
  <c r="P39" i="15" s="1"/>
  <c r="C21" i="20"/>
  <c r="I18" i="20"/>
  <c r="I19" i="20"/>
  <c r="N41" i="14"/>
  <c r="P41" i="14" s="1" a="1"/>
  <c r="P41" i="14" s="1"/>
  <c r="N41" i="15" l="1"/>
  <c r="P41" i="15" s="1" a="1"/>
  <c r="P41" i="15" s="1"/>
  <c r="P40" i="15" a="1"/>
  <c r="P40" i="15" s="1"/>
  <c r="D21" i="20"/>
  <c r="C22" i="20"/>
  <c r="C23" i="20"/>
  <c r="E21" i="20" l="1"/>
  <c r="D23" i="20"/>
  <c r="D22" i="20"/>
  <c r="F21" i="20" l="1"/>
  <c r="E23" i="20"/>
  <c r="E22" i="20"/>
  <c r="G21" i="20" l="1"/>
  <c r="F23" i="20"/>
  <c r="F22" i="20"/>
  <c r="H21" i="20" l="1"/>
  <c r="G23" i="20"/>
  <c r="G22" i="20"/>
  <c r="I21" i="20" l="1"/>
  <c r="H23" i="20"/>
  <c r="H22" i="20"/>
  <c r="I23" i="20" l="1"/>
  <c r="I22" i="20"/>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<sst xmlns="http://schemas.openxmlformats.org/spreadsheetml/2006/main" count="2526" uniqueCount="1132">
  <si>
    <t>Date</t>
  </si>
  <si>
    <t>Sponsored followers</t>
  </si>
  <si>
    <t>Organic followers</t>
  </si>
  <si>
    <t>Total followers</t>
  </si>
  <si>
    <t>월</t>
    <phoneticPr fontId="2" type="noConversion"/>
  </si>
  <si>
    <t>오가닉</t>
    <phoneticPr fontId="2" type="noConversion"/>
  </si>
  <si>
    <t>광고</t>
    <phoneticPr fontId="2" type="noConversion"/>
  </si>
  <si>
    <t>총 팔로워</t>
    <phoneticPr fontId="2" type="noConversion"/>
  </si>
  <si>
    <t>월</t>
    <phoneticPr fontId="2" type="noConversion"/>
  </si>
  <si>
    <t>총합계</t>
    <phoneticPr fontId="2" type="noConversion"/>
  </si>
  <si>
    <t>복사용 (값만 붙여넣기!)</t>
    <phoneticPr fontId="2" type="noConversion"/>
  </si>
  <si>
    <t>월</t>
    <phoneticPr fontId="2" type="noConversion"/>
  </si>
  <si>
    <t>총합계</t>
    <phoneticPr fontId="2" type="noConversion"/>
  </si>
  <si>
    <t>전월+오가닉</t>
    <phoneticPr fontId="2" type="noConversion"/>
  </si>
  <si>
    <t>*SK 하이닉스 링크드인 페이지</t>
  </si>
  <si>
    <t>*SK 하이닉스 링크드인 페이지</t>
    <phoneticPr fontId="2" type="noConversion"/>
  </si>
  <si>
    <t>당월</t>
    <phoneticPr fontId="2" type="noConversion"/>
  </si>
  <si>
    <t>표-당월</t>
    <phoneticPr fontId="2" type="noConversion"/>
  </si>
  <si>
    <t>표-전월</t>
    <phoneticPr fontId="2" type="noConversion"/>
  </si>
  <si>
    <t>페이지 관련 지표 증감 (전월 대비)</t>
    <phoneticPr fontId="2" type="noConversion"/>
  </si>
  <si>
    <t>콘텐츠 관련 오가닉 지표 증감 (전월 대비)</t>
    <phoneticPr fontId="2" type="noConversion"/>
  </si>
  <si>
    <t>이탈자</t>
    <phoneticPr fontId="2" type="noConversion"/>
  </si>
  <si>
    <t>위 표 왼쪽에 값붙하고 나면 총합계, 전월오가닉 없어짐</t>
    <phoneticPr fontId="2" type="noConversion"/>
  </si>
  <si>
    <t>Post title</t>
  </si>
  <si>
    <t>Campaign name</t>
  </si>
  <si>
    <t>Created date</t>
  </si>
  <si>
    <t>Campaign start date</t>
  </si>
  <si>
    <t>Campaign end date</t>
  </si>
  <si>
    <t>Audience</t>
  </si>
  <si>
    <t>Impressions</t>
  </si>
  <si>
    <t>Clicks</t>
  </si>
  <si>
    <t>Click through rate (CTR)</t>
  </si>
  <si>
    <t>Likes</t>
  </si>
  <si>
    <t>Comments</t>
  </si>
  <si>
    <t>Reposts</t>
  </si>
  <si>
    <t>Follows</t>
  </si>
  <si>
    <t>Engagement rate</t>
  </si>
  <si>
    <t>Content Type</t>
  </si>
  <si>
    <t>Organic</t>
  </si>
  <si>
    <t/>
  </si>
  <si>
    <t>All followers</t>
  </si>
  <si>
    <t>Video</t>
  </si>
  <si>
    <t>Overview page views (desktop)</t>
  </si>
  <si>
    <t>Overview page views (mobile)</t>
  </si>
  <si>
    <t>Overview page views (total)</t>
  </si>
  <si>
    <t>Overview unique visitors (desktop)</t>
  </si>
  <si>
    <t>Overview unique visitors (mobile)</t>
  </si>
  <si>
    <t>Overview unique visitors (total)</t>
  </si>
  <si>
    <t>Life page views (desktop)</t>
  </si>
  <si>
    <t>Life page views (mobile)</t>
  </si>
  <si>
    <t>Life page views (total)</t>
  </si>
  <si>
    <t>Life unique visitors (desktop)</t>
  </si>
  <si>
    <t>Life unique visitors (mobile)</t>
  </si>
  <si>
    <t>Life unique visitors (total)</t>
  </si>
  <si>
    <t>Jobs page views (desktop)</t>
  </si>
  <si>
    <t>Jobs page views (mobile)</t>
  </si>
  <si>
    <t>Jobs page views (total)</t>
  </si>
  <si>
    <t>Jobs unique visitors (desktop)</t>
  </si>
  <si>
    <t>Jobs unique visitors (mobile)</t>
  </si>
  <si>
    <t>Jobs unique visitors (total)</t>
  </si>
  <si>
    <t>Total page views (desktop)</t>
  </si>
  <si>
    <t>Total page views (mobile)</t>
  </si>
  <si>
    <t>Total page views (total)</t>
  </si>
  <si>
    <t>Total unique visitors (desktop)</t>
  </si>
  <si>
    <t>Total unique visitors (mobile)</t>
  </si>
  <si>
    <t>Total unique visitors (total)</t>
  </si>
  <si>
    <t>총 PV</t>
    <phoneticPr fontId="2" type="noConversion"/>
  </si>
  <si>
    <t>총 UV</t>
    <phoneticPr fontId="2" type="noConversion"/>
  </si>
  <si>
    <t>PC PV</t>
    <phoneticPr fontId="2" type="noConversion"/>
  </si>
  <si>
    <t>모바일 PV</t>
    <phoneticPr fontId="2" type="noConversion"/>
  </si>
  <si>
    <t>#</t>
  </si>
  <si>
    <t>Source</t>
  </si>
  <si>
    <t>Contents</t>
  </si>
  <si>
    <t>Category</t>
  </si>
  <si>
    <r>
      <t xml:space="preserve">CTR </t>
    </r>
    <r>
      <rPr>
        <b/>
        <sz val="7"/>
        <color rgb="FF000000"/>
        <rFont val="나눔바른고딕"/>
        <family val="3"/>
        <charset val="129"/>
      </rPr>
      <t>(%)</t>
    </r>
  </si>
  <si>
    <t>Like</t>
  </si>
  <si>
    <t>Share</t>
  </si>
  <si>
    <t>Engagements</t>
  </si>
  <si>
    <t>Engagement Rate (%)</t>
    <phoneticPr fontId="2" type="noConversion"/>
  </si>
  <si>
    <t xml:space="preserve">    Date</t>
    <phoneticPr fontId="2" type="noConversion"/>
  </si>
  <si>
    <t>DESKTOP</t>
    <phoneticPr fontId="2" type="noConversion"/>
  </si>
  <si>
    <t>MOBILE</t>
    <phoneticPr fontId="2" type="noConversion"/>
  </si>
  <si>
    <t>* Impression 수 Top 5 콘텐츠 게재 일자 표시</t>
  </si>
  <si>
    <t>전월이탈자</t>
    <phoneticPr fontId="2" type="noConversion"/>
  </si>
  <si>
    <t xml:space="preserve"> </t>
    <phoneticPr fontId="2" type="noConversion"/>
  </si>
  <si>
    <t>ER설정</t>
    <phoneticPr fontId="2" type="noConversion"/>
  </si>
  <si>
    <t>최종순위</t>
    <phoneticPr fontId="2" type="noConversion"/>
  </si>
  <si>
    <t>engagement</t>
    <phoneticPr fontId="2" type="noConversion"/>
  </si>
  <si>
    <t>engagement rate</t>
    <phoneticPr fontId="2" type="noConversion"/>
  </si>
  <si>
    <t>유튜브?</t>
    <phoneticPr fontId="2" type="noConversion"/>
  </si>
  <si>
    <t>오가닉 Impression</t>
    <phoneticPr fontId="2" type="noConversion"/>
  </si>
  <si>
    <t>오가닉 Engagement</t>
    <phoneticPr fontId="2" type="noConversion"/>
  </si>
  <si>
    <t>오가닉 클릭 수</t>
    <phoneticPr fontId="2" type="noConversion"/>
  </si>
  <si>
    <t>업로드?</t>
    <phoneticPr fontId="2" type="noConversion"/>
  </si>
  <si>
    <t>업로드?</t>
    <phoneticPr fontId="2" type="noConversion"/>
  </si>
  <si>
    <t>광고 집행 시작일</t>
    <phoneticPr fontId="2" type="noConversion"/>
  </si>
  <si>
    <t>업로드에 yes라 떴지만 옆에 그래프에는 아무것도 안떠있습니다</t>
    <phoneticPr fontId="2" type="noConversion"/>
  </si>
  <si>
    <t>Engagement metrics for individual posts. Created date indicates when your post was created. All dates and times are in UTC.</t>
  </si>
  <si>
    <t>Aggregated engagement metrics for your organic and sponsored posts over time. Date indicates when your posts were viewed by LinkedIn members. Data is delayed by up to 2 days. All dates and times are in UTC.</t>
  </si>
  <si>
    <t>Impressions (organic)</t>
  </si>
  <si>
    <t>Impressions (sponsored)</t>
  </si>
  <si>
    <t>Impressions (total)</t>
  </si>
  <si>
    <t>Unique impressions (organic)</t>
  </si>
  <si>
    <t>Clicks (organic)</t>
  </si>
  <si>
    <t>Clicks (sponsored)</t>
  </si>
  <si>
    <t>Clicks (total)</t>
  </si>
  <si>
    <t>Reactions (organic)</t>
  </si>
  <si>
    <t>Reactions (sponsored)</t>
  </si>
  <si>
    <t>Reactions (total)</t>
  </si>
  <si>
    <t>Comments (organic)</t>
  </si>
  <si>
    <t>Comments (sponsored)</t>
  </si>
  <si>
    <t>Comments (total)</t>
  </si>
  <si>
    <t>Reposts (organic)</t>
  </si>
  <si>
    <t>Reposts (sponsored)</t>
  </si>
  <si>
    <t>Reposts (total)</t>
  </si>
  <si>
    <t>Engagement rate (organic)</t>
  </si>
  <si>
    <t>Engagement rate (sponsored)</t>
  </si>
  <si>
    <t>Engagement rate (total)</t>
  </si>
  <si>
    <t>contents</t>
    <phoneticPr fontId="2" type="noConversion"/>
  </si>
  <si>
    <t>source</t>
    <phoneticPr fontId="2" type="noConversion"/>
  </si>
  <si>
    <t>카테고리</t>
    <phoneticPr fontId="2" type="noConversion"/>
  </si>
  <si>
    <t>오가닉</t>
    <phoneticPr fontId="2" type="noConversion"/>
  </si>
  <si>
    <t>좋아요</t>
    <phoneticPr fontId="2" type="noConversion"/>
  </si>
  <si>
    <t xml:space="preserve"> </t>
    <phoneticPr fontId="2" type="noConversion"/>
  </si>
  <si>
    <t>목</t>
  </si>
  <si>
    <t>화</t>
  </si>
  <si>
    <t>금</t>
  </si>
  <si>
    <t>수</t>
  </si>
  <si>
    <t>월</t>
  </si>
  <si>
    <t>목</t>
    <phoneticPr fontId="2" type="noConversion"/>
  </si>
  <si>
    <t>금</t>
    <phoneticPr fontId="2" type="noConversion"/>
  </si>
  <si>
    <t>토</t>
  </si>
  <si>
    <t>토</t>
    <phoneticPr fontId="2" type="noConversion"/>
  </si>
  <si>
    <t>일</t>
  </si>
  <si>
    <t>일</t>
    <phoneticPr fontId="2" type="noConversion"/>
  </si>
  <si>
    <t>화</t>
    <phoneticPr fontId="2" type="noConversion"/>
  </si>
  <si>
    <t>1월</t>
    <phoneticPr fontId="2" type="noConversion"/>
  </si>
  <si>
    <t>12월</t>
    <phoneticPr fontId="2" type="noConversion"/>
  </si>
  <si>
    <t>첫째주</t>
    <phoneticPr fontId="2" type="noConversion"/>
  </si>
  <si>
    <t>셋째주</t>
    <phoneticPr fontId="2" type="noConversion"/>
  </si>
  <si>
    <t>둘째주</t>
    <phoneticPr fontId="2" type="noConversion"/>
  </si>
  <si>
    <t>넷째주</t>
    <phoneticPr fontId="2" type="noConversion"/>
  </si>
  <si>
    <t>다섯째주</t>
    <phoneticPr fontId="2" type="noConversion"/>
  </si>
  <si>
    <t>날짜</t>
  </si>
  <si>
    <t>날짜</t>
    <phoneticPr fontId="2" type="noConversion"/>
  </si>
  <si>
    <t>요일</t>
  </si>
  <si>
    <t>요일</t>
    <phoneticPr fontId="2" type="noConversion"/>
  </si>
  <si>
    <t>수치</t>
  </si>
  <si>
    <t>수치</t>
    <phoneticPr fontId="2" type="noConversion"/>
  </si>
  <si>
    <t>주차</t>
    <phoneticPr fontId="2" type="noConversion"/>
  </si>
  <si>
    <t>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하세요제발 값 붙여넣기 하세요</t>
    <phoneticPr fontId="2" type="noConversion"/>
  </si>
  <si>
    <t>Sponsored</t>
  </si>
  <si>
    <t>03/31/2024</t>
  </si>
  <si>
    <t>Total</t>
  </si>
  <si>
    <r>
      <t>10</t>
    </r>
    <r>
      <rPr>
        <sz val="10"/>
        <rFont val="돋움"/>
        <family val="3"/>
        <charset val="129"/>
      </rPr>
      <t>월</t>
    </r>
  </si>
  <si>
    <r>
      <t>11</t>
    </r>
    <r>
      <rPr>
        <sz val="10"/>
        <rFont val="돋움"/>
        <family val="3"/>
        <charset val="129"/>
      </rPr>
      <t>월</t>
    </r>
  </si>
  <si>
    <r>
      <t>12</t>
    </r>
    <r>
      <rPr>
        <sz val="10"/>
        <rFont val="돋움"/>
        <family val="3"/>
        <charset val="129"/>
      </rPr>
      <t>월</t>
    </r>
  </si>
  <si>
    <t>Total Page Views</t>
  </si>
  <si>
    <t>PC Page Views</t>
  </si>
  <si>
    <t>Mobile Page Views</t>
  </si>
  <si>
    <t>Total Page Visitors</t>
  </si>
  <si>
    <t>콘텐츠 건 수</t>
    <phoneticPr fontId="2" type="noConversion"/>
  </si>
  <si>
    <t>1월</t>
  </si>
  <si>
    <t>Impression</t>
  </si>
  <si>
    <t>Engagement</t>
  </si>
  <si>
    <t>Job Function</t>
    <phoneticPr fontId="2" type="noConversion"/>
  </si>
  <si>
    <t>Job function</t>
  </si>
  <si>
    <t>Total views</t>
  </si>
  <si>
    <t>Accounting</t>
  </si>
  <si>
    <t>Administrative</t>
  </si>
  <si>
    <t>Arts and Design</t>
  </si>
  <si>
    <t>Business Development</t>
  </si>
  <si>
    <t>Community and Social Services</t>
  </si>
  <si>
    <t>Consulting</t>
  </si>
  <si>
    <t>Education</t>
  </si>
  <si>
    <t>Engineering</t>
  </si>
  <si>
    <t>Entrepreneurship</t>
  </si>
  <si>
    <t>Finance</t>
  </si>
  <si>
    <t>Healthcare Services</t>
  </si>
  <si>
    <t>Human Resources</t>
  </si>
  <si>
    <t>Information Technology</t>
  </si>
  <si>
    <t>Legal</t>
  </si>
  <si>
    <t>Marketing</t>
  </si>
  <si>
    <t>Media and Communication</t>
  </si>
  <si>
    <t>Military and Protective Services</t>
  </si>
  <si>
    <t>Operations</t>
  </si>
  <si>
    <t>Product Management</t>
  </si>
  <si>
    <t>Program and Project Management</t>
  </si>
  <si>
    <t>Purchasing</t>
  </si>
  <si>
    <t>Quality Assurance</t>
  </si>
  <si>
    <t>Real Estate</t>
  </si>
  <si>
    <t>Research</t>
  </si>
  <si>
    <t>Sales</t>
  </si>
  <si>
    <t>Customer Success and Support</t>
  </si>
  <si>
    <t>Industry</t>
  </si>
  <si>
    <t>Defense and Space Manufacturing</t>
  </si>
  <si>
    <t>Computer Hardware Manufacturing</t>
  </si>
  <si>
    <t>Software Development</t>
  </si>
  <si>
    <t>Computer Networking Products</t>
  </si>
  <si>
    <t>Technology, Information and Internet</t>
  </si>
  <si>
    <t>Semiconductor Manufacturing</t>
  </si>
  <si>
    <t>Telecommunications</t>
  </si>
  <si>
    <t>Law Practice</t>
  </si>
  <si>
    <t>Legal Services</t>
  </si>
  <si>
    <t>Business Consulting and Services</t>
  </si>
  <si>
    <t>Biotechnology Research</t>
  </si>
  <si>
    <t>Hospitals and Health Care</t>
  </si>
  <si>
    <t>Pharmaceutical Manufacturing</t>
  </si>
  <si>
    <t>Medical Equipment Manufacturing</t>
  </si>
  <si>
    <t>Personal Care Product Manufacturing</t>
  </si>
  <si>
    <t>Retail Apparel and Fashion</t>
  </si>
  <si>
    <t>Food and Beverage Manufacturing</t>
  </si>
  <si>
    <t>Computers and Electronics Manufacturing</t>
  </si>
  <si>
    <t>Manufacturing</t>
  </si>
  <si>
    <t>Furniture and Home Furnishings Manufacturing</t>
  </si>
  <si>
    <t>Retail</t>
  </si>
  <si>
    <t>Entertainment Providers</t>
  </si>
  <si>
    <t>Travel Arrangements</t>
  </si>
  <si>
    <t>Restaurants</t>
  </si>
  <si>
    <t>Spectator Sports</t>
  </si>
  <si>
    <t>Food and Beverage Services</t>
  </si>
  <si>
    <t>Broadcast Media Production and Distribution</t>
  </si>
  <si>
    <t>Banking</t>
  </si>
  <si>
    <t>Insurance</t>
  </si>
  <si>
    <t>Financial Services</t>
  </si>
  <si>
    <t>Investment Banking</t>
  </si>
  <si>
    <t>Investment Management</t>
  </si>
  <si>
    <t>Construction</t>
  </si>
  <si>
    <t>Wholesale Building Materials</t>
  </si>
  <si>
    <t>Architecture and Planning</t>
  </si>
  <si>
    <t>Civil Engineering</t>
  </si>
  <si>
    <t>Aviation and Aerospace Component Manufacturing</t>
  </si>
  <si>
    <t>Motor Vehicle Manufacturing</t>
  </si>
  <si>
    <t>Chemical Manufacturing</t>
  </si>
  <si>
    <t>Machinery Manufacturing</t>
  </si>
  <si>
    <t>Mining</t>
  </si>
  <si>
    <t>Oil and Gas</t>
  </si>
  <si>
    <t>Utilities</t>
  </si>
  <si>
    <t>Higher Education</t>
  </si>
  <si>
    <t>Education Administration Programs</t>
  </si>
  <si>
    <t>Research Services</t>
  </si>
  <si>
    <t>Armed Forces</t>
  </si>
  <si>
    <t>International Affairs</t>
  </si>
  <si>
    <t>Government Administration</t>
  </si>
  <si>
    <t>Advertising Services</t>
  </si>
  <si>
    <t>Newspaper Publishing</t>
  </si>
  <si>
    <t>Book and Periodical Publishing</t>
  </si>
  <si>
    <t>Printing Services</t>
  </si>
  <si>
    <t>Information Services</t>
  </si>
  <si>
    <t>Environmental Services</t>
  </si>
  <si>
    <t>Civic and Social Organizations</t>
  </si>
  <si>
    <t>Consumer Services</t>
  </si>
  <si>
    <t>Truck Transportation</t>
  </si>
  <si>
    <t>Airlines and Aviation</t>
  </si>
  <si>
    <t>IT Services and IT Consulting</t>
  </si>
  <si>
    <t>Market Research</t>
  </si>
  <si>
    <t>Public Relations and Communications Services</t>
  </si>
  <si>
    <t>Design Services</t>
  </si>
  <si>
    <t>Non-profit Organizations</t>
  </si>
  <si>
    <t>Strategic Management Services</t>
  </si>
  <si>
    <t>Writing and Editing</t>
  </si>
  <si>
    <t>Staffing and Recruiting</t>
  </si>
  <si>
    <t>Venture Capital and Private Equity Principals</t>
  </si>
  <si>
    <t>Translation and Localization</t>
  </si>
  <si>
    <t>Computer Games</t>
  </si>
  <si>
    <t>Events Services</t>
  </si>
  <si>
    <t>Appliances, Electrical, and Electronics Manufacturing</t>
  </si>
  <si>
    <t>Online Audio and Video Media</t>
  </si>
  <si>
    <t>Nanotechnology Research</t>
  </si>
  <si>
    <t>Musicians</t>
  </si>
  <si>
    <t>Transportation, Logistics, Supply Chain and Storage</t>
  </si>
  <si>
    <t>Computer and Network Security</t>
  </si>
  <si>
    <t>Security and Investigations</t>
  </si>
  <si>
    <t>Facilities Services</t>
  </si>
  <si>
    <t>Outsourcing and Offshoring Consulting</t>
  </si>
  <si>
    <t>Media Production</t>
  </si>
  <si>
    <t>E-Learning Providers</t>
  </si>
  <si>
    <t>Wholesale</t>
  </si>
  <si>
    <t>Wholesale Import and Export</t>
  </si>
  <si>
    <t>Industrial Machinery Manufacturing</t>
  </si>
  <si>
    <t>Photography</t>
  </si>
  <si>
    <t>Human Resources Services</t>
  </si>
  <si>
    <t>Graphic Design</t>
  </si>
  <si>
    <t>International Trade and Development</t>
  </si>
  <si>
    <t>Automation Machinery Manufacturing</t>
  </si>
  <si>
    <t>Government Relations Services</t>
  </si>
  <si>
    <t>Wholesale Computer Equipment</t>
  </si>
  <si>
    <t>IT System Design Services</t>
  </si>
  <si>
    <t>Holding Companies</t>
  </si>
  <si>
    <t>Renewable Energy Equipment Manufacturing</t>
  </si>
  <si>
    <t>Industry</t>
    <phoneticPr fontId="2" type="noConversion"/>
  </si>
  <si>
    <t>Total Views</t>
    <phoneticPr fontId="2" type="noConversion"/>
  </si>
  <si>
    <t>Percentage</t>
    <phoneticPr fontId="2" type="noConversion"/>
  </si>
  <si>
    <t>조회 수</t>
    <phoneticPr fontId="2" type="noConversion"/>
  </si>
  <si>
    <t>노출 수</t>
    <phoneticPr fontId="2" type="noConversion"/>
  </si>
  <si>
    <t>조회수 반영 E/R</t>
    <phoneticPr fontId="2" type="noConversion"/>
  </si>
  <si>
    <t>1주차</t>
    <phoneticPr fontId="2" type="noConversion"/>
  </si>
  <si>
    <t>유형</t>
    <phoneticPr fontId="2" type="noConversion"/>
  </si>
  <si>
    <t>2주차</t>
    <phoneticPr fontId="2" type="noConversion"/>
  </si>
  <si>
    <t>3주차</t>
    <phoneticPr fontId="2" type="noConversion"/>
  </si>
  <si>
    <t>4주차</t>
    <phoneticPr fontId="2" type="noConversion"/>
  </si>
  <si>
    <t>5주차</t>
    <phoneticPr fontId="2" type="noConversion"/>
  </si>
  <si>
    <t>수</t>
    <phoneticPr fontId="2" type="noConversion"/>
  </si>
  <si>
    <t>6주차</t>
    <phoneticPr fontId="2" type="noConversion"/>
  </si>
  <si>
    <t>조회 Top 1</t>
    <phoneticPr fontId="2" type="noConversion"/>
  </si>
  <si>
    <t>조회 Top 2</t>
    <phoneticPr fontId="2" type="noConversion"/>
  </si>
  <si>
    <t>조회 Top 3</t>
    <phoneticPr fontId="2" type="noConversion"/>
  </si>
  <si>
    <t>조회 Top 4</t>
    <phoneticPr fontId="2" type="noConversion"/>
  </si>
  <si>
    <t>조회 Top 5</t>
    <phoneticPr fontId="2" type="noConversion"/>
  </si>
  <si>
    <t>Page</t>
  </si>
  <si>
    <t>Total Followers</t>
  </si>
  <si>
    <t>New Followers</t>
  </si>
  <si>
    <t>Total post engagements</t>
  </si>
  <si>
    <t>Total posts</t>
  </si>
  <si>
    <t>SK hynix</t>
  </si>
  <si>
    <t>Micron Technology</t>
  </si>
  <si>
    <t>Intel Corporation</t>
  </si>
  <si>
    <t>KIOXIA America, Inc.</t>
  </si>
  <si>
    <t>Western Digital</t>
  </si>
  <si>
    <t>SK hynix America</t>
  </si>
  <si>
    <t>Solidigm</t>
  </si>
  <si>
    <t>Samsung Semiconductor</t>
  </si>
  <si>
    <t>NVIDIA</t>
  </si>
  <si>
    <t>SK hynix Italy s.r.l.</t>
  </si>
  <si>
    <t>24년 1월</t>
    <phoneticPr fontId="2" type="noConversion"/>
  </si>
  <si>
    <t>24년 2월</t>
    <phoneticPr fontId="2" type="noConversion"/>
  </si>
  <si>
    <t>기업명</t>
    <phoneticPr fontId="2" type="noConversion"/>
  </si>
  <si>
    <t>No.</t>
    <phoneticPr fontId="2" type="noConversion"/>
  </si>
  <si>
    <t>자동생성열</t>
    <phoneticPr fontId="2" type="noConversion"/>
  </si>
  <si>
    <t>Post link</t>
  </si>
  <si>
    <t>Post type</t>
  </si>
  <si>
    <t>Posted by</t>
  </si>
  <si>
    <t>Views (Excluding offsite video views)</t>
  </si>
  <si>
    <t>Offsite Views</t>
  </si>
  <si>
    <t>Jihyun Shin</t>
  </si>
  <si>
    <t>간단한 제목</t>
    <phoneticPr fontId="2" type="noConversion"/>
  </si>
  <si>
    <t>소스</t>
    <phoneticPr fontId="2" type="noConversion"/>
  </si>
  <si>
    <t>24년 3월</t>
    <phoneticPr fontId="2" type="noConversion"/>
  </si>
  <si>
    <t>2/1/2024</t>
  </si>
  <si>
    <t>2월</t>
  </si>
  <si>
    <t>2월</t>
    <phoneticPr fontId="2" type="noConversion"/>
  </si>
  <si>
    <t>당월 복붙용</t>
    <phoneticPr fontId="2" type="noConversion"/>
  </si>
  <si>
    <t>Total page views (desktop)</t>
    <phoneticPr fontId="2" type="noConversion"/>
  </si>
  <si>
    <t>Wireless Services</t>
  </si>
  <si>
    <t>Think Tanks</t>
  </si>
  <si>
    <t>No.</t>
  </si>
  <si>
    <t>국가명</t>
  </si>
  <si>
    <t>India</t>
  </si>
  <si>
    <t>China</t>
  </si>
  <si>
    <t>Taiwan</t>
  </si>
  <si>
    <t>Italy</t>
  </si>
  <si>
    <t>United Kingdom</t>
  </si>
  <si>
    <t>Netherlands</t>
  </si>
  <si>
    <t>국가명</t>
    <phoneticPr fontId="2" type="noConversion"/>
  </si>
  <si>
    <t>visitors location</t>
    <phoneticPr fontId="2" type="noConversion"/>
  </si>
  <si>
    <t>visitors total view</t>
    <phoneticPr fontId="2" type="noConversion"/>
  </si>
  <si>
    <t>followers location</t>
    <phoneticPr fontId="2" type="noConversion"/>
  </si>
  <si>
    <t>followers number</t>
    <phoneticPr fontId="2" type="noConversion"/>
  </si>
  <si>
    <t>Austria</t>
    <phoneticPr fontId="2" type="noConversion"/>
  </si>
  <si>
    <t>Bulgaria</t>
    <phoneticPr fontId="2" type="noConversion"/>
  </si>
  <si>
    <t>Hungary</t>
    <phoneticPr fontId="2" type="noConversion"/>
  </si>
  <si>
    <t>Slovak Republic</t>
    <phoneticPr fontId="2" type="noConversion"/>
  </si>
  <si>
    <t>Canada</t>
    <phoneticPr fontId="2" type="noConversion"/>
  </si>
  <si>
    <t>Singapore</t>
    <phoneticPr fontId="2" type="noConversion"/>
  </si>
  <si>
    <t>Louisiana</t>
  </si>
  <si>
    <t>Australia</t>
  </si>
  <si>
    <t>Belgium</t>
  </si>
  <si>
    <t>Switzerland</t>
  </si>
  <si>
    <t>Germany</t>
  </si>
  <si>
    <t>Spain</t>
  </si>
  <si>
    <t>France</t>
  </si>
  <si>
    <t>Norway</t>
  </si>
  <si>
    <t>Mexico</t>
  </si>
  <si>
    <t>Brazil</t>
  </si>
  <si>
    <t>Portugal</t>
  </si>
  <si>
    <t>Romania</t>
  </si>
  <si>
    <t>Turkey</t>
  </si>
  <si>
    <t>Japan</t>
  </si>
  <si>
    <t>Korea</t>
  </si>
  <si>
    <t>Malaysia</t>
  </si>
  <si>
    <t>Moldova</t>
  </si>
  <si>
    <t>Sweden</t>
  </si>
  <si>
    <t>Poland</t>
  </si>
  <si>
    <t>Indonesia</t>
  </si>
  <si>
    <t>Czech Republic</t>
  </si>
  <si>
    <t>Philippines</t>
  </si>
  <si>
    <t>Thailand</t>
  </si>
  <si>
    <t>Denmark</t>
  </si>
  <si>
    <t>Finland</t>
  </si>
  <si>
    <t>Colombia</t>
  </si>
  <si>
    <t>Morocco</t>
  </si>
  <si>
    <t>Ireland</t>
  </si>
  <si>
    <t>Pakistan</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</si>
  <si>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</si>
  <si>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</si>
  <si>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</si>
  <si>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</si>
  <si>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</si>
  <si>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</si>
  <si>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</si>
  <si>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</si>
  <si>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</si>
  <si>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</si>
  <si>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</si>
  <si>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</si>
  <si>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</si>
  <si>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</si>
  <si>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</si>
  <si>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</si>
  <si>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</si>
  <si>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</si>
  <si>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</si>
  <si>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</si>
  <si>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</si>
  <si>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</si>
  <si>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</si>
  <si>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</si>
  <si>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</si>
  <si>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</si>
  <si>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</si>
  <si>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</si>
  <si>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</si>
  <si>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</si>
  <si>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</si>
  <si>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</si>
  <si>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</si>
  <si>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</si>
  <si>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</si>
  <si>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</si>
  <si>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</si>
  <si>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</si>
  <si>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</si>
  <si>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</si>
  <si>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</si>
  <si>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</si>
  <si>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</si>
  <si>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</si>
  <si>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</si>
  <si>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</si>
  <si>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</si>
  <si>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</si>
  <si>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</si>
  <si>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Hong Kong</t>
    <phoneticPr fontId="2" type="noConversion"/>
  </si>
  <si>
    <t>국가이름</t>
    <phoneticPr fontId="2" type="noConversion"/>
  </si>
  <si>
    <t>미국지역</t>
    <phoneticPr fontId="2" type="noConversion"/>
  </si>
  <si>
    <t>Egypt</t>
    <phoneticPr fontId="2" type="noConversion"/>
  </si>
  <si>
    <t>Argentina</t>
    <phoneticPr fontId="2" type="noConversion"/>
  </si>
  <si>
    <t>Kenya</t>
    <phoneticPr fontId="2" type="noConversion"/>
  </si>
  <si>
    <t>Chile</t>
    <phoneticPr fontId="2" type="noConversion"/>
  </si>
  <si>
    <t>Vietnam</t>
    <phoneticPr fontId="2" type="noConversion"/>
  </si>
  <si>
    <t>Peru</t>
    <phoneticPr fontId="2" type="noConversion"/>
  </si>
  <si>
    <t>South Africa</t>
    <phoneticPr fontId="2" type="noConversion"/>
  </si>
  <si>
    <t>Afghanistan</t>
  </si>
  <si>
    <t>Albania</t>
  </si>
  <si>
    <t>Algeria</t>
  </si>
  <si>
    <t>Andorra</t>
  </si>
  <si>
    <t>Angola</t>
  </si>
  <si>
    <t>Antigua and Barbuda</t>
  </si>
  <si>
    <t>Armenia</t>
  </si>
  <si>
    <t>Azerbaijan</t>
  </si>
  <si>
    <t>Bahamas</t>
  </si>
  <si>
    <t>Bahrain</t>
  </si>
  <si>
    <t>Bangladesh</t>
  </si>
  <si>
    <t>Barbados</t>
  </si>
  <si>
    <t>Belarus</t>
  </si>
  <si>
    <t>Belize</t>
  </si>
  <si>
    <t>Benin</t>
  </si>
  <si>
    <t>Bhutan</t>
  </si>
  <si>
    <t>Bolivia</t>
  </si>
  <si>
    <t>Bosnia and Herzegovina</t>
  </si>
  <si>
    <t>Botswana</t>
  </si>
  <si>
    <t>Brunei</t>
  </si>
  <si>
    <t>Burkina Faso</t>
  </si>
  <si>
    <t>Burundi</t>
  </si>
  <si>
    <t>Côte d'Ivoire</t>
  </si>
  <si>
    <t>Cabo Verde</t>
  </si>
  <si>
    <t>Cambodia</t>
  </si>
  <si>
    <t>Cameroon</t>
  </si>
  <si>
    <t>Central African Republic</t>
  </si>
  <si>
    <t>Chad</t>
  </si>
  <si>
    <t>Comoros</t>
  </si>
  <si>
    <t>Congo</t>
  </si>
  <si>
    <t>Costa Rica</t>
  </si>
  <si>
    <t>Croatia</t>
  </si>
  <si>
    <t>Cuba</t>
  </si>
  <si>
    <t>Cyprus</t>
  </si>
  <si>
    <t>Democratic Republic of the Congo</t>
  </si>
  <si>
    <t>Djibouti</t>
  </si>
  <si>
    <t>Dominica</t>
  </si>
  <si>
    <t>Dominican Republic</t>
  </si>
  <si>
    <t>Ecuador</t>
  </si>
  <si>
    <t>El Salvador</t>
  </si>
  <si>
    <t>Equatorial Guinea</t>
  </si>
  <si>
    <t>Eritrea</t>
  </si>
  <si>
    <t>Estonia</t>
  </si>
  <si>
    <t>Eswatini</t>
  </si>
  <si>
    <t>Ethiopia</t>
  </si>
  <si>
    <t>Fiji</t>
  </si>
  <si>
    <t>Gabon</t>
  </si>
  <si>
    <t>Gambia</t>
  </si>
  <si>
    <t>Ghana</t>
  </si>
  <si>
    <t>Greece</t>
  </si>
  <si>
    <t>Grenada</t>
  </si>
  <si>
    <t>Guatemala</t>
  </si>
  <si>
    <t>Guinea</t>
  </si>
  <si>
    <t>Guinea-Bissau</t>
  </si>
  <si>
    <t>Guyana</t>
  </si>
  <si>
    <t>Haiti</t>
  </si>
  <si>
    <t>Holy See</t>
  </si>
  <si>
    <t>Honduras</t>
  </si>
  <si>
    <t>Iceland</t>
  </si>
  <si>
    <t>Iran</t>
  </si>
  <si>
    <t>Iraq</t>
  </si>
  <si>
    <t>Israel</t>
  </si>
  <si>
    <t>Jamaica</t>
  </si>
  <si>
    <t>Jordan</t>
  </si>
  <si>
    <t>Kazakhstan</t>
  </si>
  <si>
    <t>Kiribati</t>
  </si>
  <si>
    <t>Kuwait</t>
  </si>
  <si>
    <t>Kyrgyzstan</t>
  </si>
  <si>
    <t>Laos</t>
  </si>
  <si>
    <t>Latvia</t>
  </si>
  <si>
    <t>Lebanon</t>
  </si>
  <si>
    <t>Lesotho</t>
  </si>
  <si>
    <t>Liberia</t>
  </si>
  <si>
    <t>Libya</t>
  </si>
  <si>
    <t>Liechtenstein</t>
  </si>
  <si>
    <t>Lithuania</t>
  </si>
  <si>
    <t>Luxembourg</t>
  </si>
  <si>
    <t>Madagascar</t>
  </si>
  <si>
    <t>Malawi</t>
  </si>
  <si>
    <t>Maldives</t>
  </si>
  <si>
    <t>Mali</t>
  </si>
  <si>
    <t>Malta</t>
  </si>
  <si>
    <t>Marshall Islands</t>
  </si>
  <si>
    <t>Mauritania</t>
  </si>
  <si>
    <t>Mauritius</t>
  </si>
  <si>
    <t>Micronesia</t>
  </si>
  <si>
    <t>Monaco</t>
  </si>
  <si>
    <t>Mongolia</t>
  </si>
  <si>
    <t>Montenegro</t>
  </si>
  <si>
    <t>Mozambique</t>
  </si>
  <si>
    <t>Myanmar</t>
  </si>
  <si>
    <t>Namibia</t>
  </si>
  <si>
    <t>Nauru</t>
  </si>
  <si>
    <t>Nepal</t>
  </si>
  <si>
    <t>New Zealand</t>
  </si>
  <si>
    <t>Nicaragua</t>
  </si>
  <si>
    <t>Niger</t>
  </si>
  <si>
    <t>Nigeria</t>
  </si>
  <si>
    <t>North Korea</t>
  </si>
  <si>
    <t>North Macedonia</t>
  </si>
  <si>
    <t>Oman</t>
  </si>
  <si>
    <t>Palau</t>
  </si>
  <si>
    <t>Palestine State</t>
  </si>
  <si>
    <t>Panama</t>
  </si>
  <si>
    <t>Papua New Guinea</t>
  </si>
  <si>
    <t>Paraguay</t>
  </si>
  <si>
    <t>Qatar</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</si>
  <si>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</si>
  <si>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</si>
  <si>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</si>
  <si>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</si>
  <si>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</si>
  <si>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</si>
  <si>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</si>
  <si>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</si>
  <si>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</si>
  <si>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</si>
  <si>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</si>
  <si>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</si>
  <si>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</si>
  <si>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Slovakia</t>
  </si>
  <si>
    <t>Slovenia</t>
  </si>
  <si>
    <t>Solomon Islands</t>
  </si>
  <si>
    <t>Somalia</t>
  </si>
  <si>
    <t>South Sudan</t>
  </si>
  <si>
    <t>Sri Lanka</t>
  </si>
  <si>
    <t>Sudan</t>
  </si>
  <si>
    <t>Suriname</t>
  </si>
  <si>
    <t>Syria</t>
  </si>
  <si>
    <t>Tajikistan</t>
  </si>
  <si>
    <t>Tanzania</t>
  </si>
  <si>
    <t>Timor-Leste</t>
  </si>
  <si>
    <t>Togo</t>
  </si>
  <si>
    <t>Tonga</t>
  </si>
  <si>
    <t>Trinidad and Tobago</t>
  </si>
  <si>
    <t>Tunisia</t>
  </si>
  <si>
    <t>Turkmenistan</t>
  </si>
  <si>
    <t>Tuvalu</t>
  </si>
  <si>
    <t>Uganda</t>
  </si>
  <si>
    <t>Ukraine</t>
  </si>
  <si>
    <t>United Arab Emirates</t>
  </si>
  <si>
    <t>United States of America</t>
  </si>
  <si>
    <t>Uruguay</t>
  </si>
  <si>
    <t>Uzbekistan</t>
  </si>
  <si>
    <t>Vanuatu</t>
  </si>
  <si>
    <t>Venezuela</t>
  </si>
  <si>
    <t>Yemen</t>
  </si>
  <si>
    <t>Zambia</t>
  </si>
  <si>
    <t>Zimbabwe</t>
  </si>
  <si>
    <t>삽입될 국가 이름</t>
    <phoneticPr fontId="2" type="noConversion"/>
  </si>
  <si>
    <t>방문자</t>
    <phoneticPr fontId="2" type="noConversion"/>
  </si>
  <si>
    <t>팔로워</t>
    <phoneticPr fontId="2" type="noConversion"/>
  </si>
  <si>
    <t>방문자순위</t>
    <phoneticPr fontId="2" type="noConversion"/>
  </si>
  <si>
    <t>팔로워순위</t>
    <phoneticPr fontId="2" type="noConversion"/>
  </si>
  <si>
    <t>기획</t>
  </si>
  <si>
    <t>Products</t>
  </si>
  <si>
    <t>News</t>
  </si>
  <si>
    <t>미러링</t>
  </si>
  <si>
    <t>Events</t>
  </si>
  <si>
    <t>Interest</t>
  </si>
  <si>
    <t>Repost</t>
  </si>
  <si>
    <t>Seasonal</t>
  </si>
  <si>
    <t>조회정리</t>
    <phoneticPr fontId="2" type="noConversion"/>
  </si>
  <si>
    <t>조회순위</t>
    <phoneticPr fontId="2" type="noConversion"/>
  </si>
  <si>
    <t>조회 공식</t>
    <phoneticPr fontId="2" type="noConversion"/>
  </si>
  <si>
    <t>링크</t>
    <phoneticPr fontId="2" type="noConversion"/>
  </si>
  <si>
    <t>조회수 순위</t>
    <phoneticPr fontId="2" type="noConversion"/>
  </si>
  <si>
    <t>기업명</t>
  </si>
  <si>
    <t>Visitor</t>
    <phoneticPr fontId="2" type="noConversion"/>
  </si>
  <si>
    <t>Follower</t>
    <phoneticPr fontId="2" type="noConversion"/>
  </si>
  <si>
    <t>·</t>
    <phoneticPr fontId="2" type="noConversion"/>
  </si>
  <si>
    <t>03/01/2024</t>
  </si>
  <si>
    <t>03/02/2024</t>
  </si>
  <si>
    <t>03/03/2024</t>
  </si>
  <si>
    <t>03/04/2024</t>
  </si>
  <si>
    <t>03/05/2024</t>
  </si>
  <si>
    <t>03/06/2024</t>
  </si>
  <si>
    <t>03/07/2024</t>
  </si>
  <si>
    <t>03/08/2024</t>
  </si>
  <si>
    <t>03/09/2024</t>
  </si>
  <si>
    <t>03/10/2024</t>
  </si>
  <si>
    <t>03/11/2024</t>
  </si>
  <si>
    <t>03/12/2024</t>
  </si>
  <si>
    <t>03/13/2024</t>
  </si>
  <si>
    <t>03/14/2024</t>
  </si>
  <si>
    <t>03/15/2024</t>
  </si>
  <si>
    <t>03/16/2024</t>
  </si>
  <si>
    <t>03/17/2024</t>
  </si>
  <si>
    <t>03/18/2024</t>
  </si>
  <si>
    <t>03/19/2024</t>
  </si>
  <si>
    <t>03/20/2024</t>
  </si>
  <si>
    <t>03/21/2024</t>
  </si>
  <si>
    <t>03/22/2024</t>
  </si>
  <si>
    <t>03/23/2024</t>
  </si>
  <si>
    <t>03/24/2024</t>
  </si>
  <si>
    <t>03/25/2024</t>
  </si>
  <si>
    <t>03/26/2024</t>
  </si>
  <si>
    <t>03/27/2024</t>
  </si>
  <si>
    <t>03/28/2024</t>
  </si>
  <si>
    <t>03/29/2024</t>
  </si>
  <si>
    <t>03/30/2024</t>
  </si>
  <si>
    <t>3월</t>
  </si>
  <si>
    <t>Did you back-up your data?
Losing your files is way more common than you’d think.
You need someone to safeguard your valuable data even in unforeseen circumstances!
SK hynix stands with you as your shield, protecting your data.🛡️
#SKhynix #data #backup #SSD #PC</t>
  </si>
  <si>
    <t>https://www.linkedin.com/feed/update/urn:li:activity:7179794495150940160</t>
  </si>
  <si>
    <t>Discover the latest advancements in #CXL 3.1, which offers significant improvements in memory performance and server architecture. 
For in-depth insights, hear from Thomas Won Ha Choi, Ph.D, a leading expert at SK hynix.
https://lnkd.in/gDUNuGCQ
#SKhynix #CMM #AI #Memory #Server #Solution #DevCon</t>
  </si>
  <si>
    <t>https://www.linkedin.com/feed/update/urn:li:activity:7179439667325407232</t>
  </si>
  <si>
    <t>In response to the #AI era, SK hynix has launched a new division 'AI Infra' as part of its strategy. Discover insights from SungSup(SS) Kim, VP of AI Infra Sales, who has accumulated 20 years of expertise at SK hynix, on how the company has become a trusted 'Total AI Memory Provider'.
#SKhynix #Memory #DRAM #HBM3E #Technology #Storage #Semiconductor</t>
  </si>
  <si>
    <t>https://www.linkedin.com/feed/update/urn:li:activity:7179380746460037120</t>
  </si>
  <si>
    <t>SK hynix has appointed Unoh Kwon as the new Vice President within the newly established 'AI Infra' organization to complete the #HBM technology roadmap.
In 2022, while working as a #DRAM development research fellow at SK hynix, he pioneered the application of the HKMG process to mobile DRAM #LPDDR, leading to the successful development of the high-speed, low-power #LPDDR5X and #LPDDR5T.
Check out his vision for the next-generation HBM technology development and his strategy for the #AI era in our newsroom. 📰
https://lnkd.in/g9gm7EcZ
#SKhynix #Leader #News #VicePresident #Memory #Leadership #Journey </t>
  </si>
  <si>
    <t>https://www.linkedin.com/feed/update/urn:li:activity:7179032880013082624</t>
  </si>
  <si>
    <t>[Forefront Leader in the #HBM industry: SK hynix]
SK hynix strengthens business competitiveness as a leading player in the AI memory market with HBM3E.
Explore HBM3E by 'Total #AI Memory Provider,’ SK hynix!
#SKhynix #HBM3 #HBM3E #Memory</t>
  </si>
  <si>
    <t>https://www.linkedin.com/feed/update/urn:li:activity:7178714905913565184</t>
  </si>
  <si>
    <t>The AI era has further advanced. The world's largest AI conference, #GTC2024, where global tech giants unveiled new #AI technologies, has finally come to an end.
AI memory leader, SK hynix, also stunned the industry once again by presenting innovative AI technologies.
Are you ready to see all these innovations at a glance? Explore the future of AI with SK hynix!
Memory, the Power of AI
#SKhynix #GTC24 #HBM3E #CXL #CMM #GDDR #Automotive #NVIDIA</t>
  </si>
  <si>
    <t>https://www.linkedin.com/feed/update/urn:li:activity:7178360125487820800</t>
  </si>
  <si>
    <t>The revolution in memory '#packaging' technology has begun. With the advent of the AI era, semiconductor industry is increasingly focusing on the development of innovative #HBM technology.
At the heart of this technological competition, SK hynix's HBM3E stands out with its cutting-edge packaging technology.
Discover how SK hynix has managed to dominate the HBM market through the carousel below right now!
#SKhynix #HBM3E #TSV #MR #MUF #AI #LLM</t>
  </si>
  <si>
    <t>https://www.linkedin.com/feed/update/urn:li:activity:7177990114944438272</t>
  </si>
  <si>
    <t>Q2 SV Customer Document</t>
  </si>
  <si>
    <t>04/01/2024</t>
  </si>
  <si>
    <t>06/30/2024</t>
  </si>
  <si>
    <t>Let's celebrate World Water Day and take a moment to reflect on the importance of water.💧
It's crucial to remember the value of water and to pay attention to better water management practices. For the sake of our ecosystems and society, SK hynix plans to reduce 35% water withdrawal intensity by 2026 and aims to save 600 million tons of water conservation by 2030.
Explore SK hynix's sustainable water usage to improve the water management!
#SKhynix #WorldWaterDay #eco #ESG #Water</t>
  </si>
  <si>
    <t>https://www.linkedin.com/feed/update/urn:li:activity:7176859369244909570</t>
  </si>
  <si>
    <t>SK hynix proudly showcased its latest #AI memory products and technologies at #NVIDIA's GTC 2024, attracting attention of many visitors. 
SK hynix hynix exhibited a variety of AI memory solutions, including 12-layer HBM3E, enlarged capacity CXL, brand new Gen5 SSD, and next-generation graphics DRAM GDDR7.
Check out the link below for more details!➡️
https://lnkd.in/g9-Huyjr
#SKhynix #GTC2024 #HBM3E #CXL #GDDR7 #SSD</t>
  </si>
  <si>
    <t>https://www.linkedin.com/feed/update/urn:li:activity:7176548151842000896</t>
  </si>
  <si>
    <t>At this #GTC2024, AI technology leader SK hynix conducted a session discussing the future outlook of HBM, leading the #AI memory market.
Discover insights from Seoyeong Jeong(정서영), SK hynix's HBM expert, on the future of HBM memory, a rapidly heating topic in the evolving AI technology landscape.
#SKhynix #GTC #GTC24 #HBM #HBM3E </t>
  </si>
  <si>
    <t>https://www.linkedin.com/feed/update/urn:li:activity:7176178166246313986</t>
  </si>
  <si>
    <t>SK hynix has unveiled its new consumer product, '#PCB01', the industry’s latest PCIe 5th generation SSD, at #GTC2024. This product will solidify SK hynix's position as the world's leading AI memory provider in the on-device AI PC area.
Check out the news below for more details!
https://lnkd.in/euPNxFAB
#SKhynix #SSD #GTC24 #AI #PC #PCLe #5th</t>
  </si>
  <si>
    <t>https://www.linkedin.com/feed/update/urn:li:activity:7176149460970827777</t>
  </si>
  <si>
    <t>Where world-renowned AI experts gather, #GTC2024 is in full swing!
SK hynix's technical experts, including JINWOO CHOI, Jae Eun Lee, Seoyeong Jeong(정서영), Hyun Hwang(황현), YONGHYEOB KIM, Brian Yoon, Yongju Lee are eager to meet you. 
Haven't visited our booth yet? Come to booth #1029 now and discover the amazing world of memory that will lead the future era of #AI!
#SKhynix #GTC #GTC24</t>
  </si>
  <si>
    <t>https://www.linkedin.com/feed/update/urn:li:activity:7175815771816656897</t>
  </si>
  <si>
    <t>SK hynix solidifies its position as a leading AI memory company. Just seven months after the announcement of HBM3E development, SK hynix has become the world’s first to mass-produce the newest AI memory product, HBM3E, with ultra-high performance, and will start producing from late March.
Check out the news below for more information 📰
#SKhynix #HBM3E #DRAM #memory #AI #news
https://lnkd.in/eKuxraaQ</t>
  </si>
  <si>
    <t>https://www.linkedin.com/feed/update/urn:li:activity:7175750163389370368</t>
  </si>
  <si>
    <t>What are you most looking forward to at #GTC24 this year? At this event, SK hynix plans to introduce various products. 
Let us know which item you are most excited about!
#SKhynix #GTC #Automotive #CXL #GDDR7 #HBM3E #AI</t>
  </si>
  <si>
    <t>https://www.linkedin.com/feed/update/urn:li:activity:7175478074170376193</t>
  </si>
  <si>
    <t>Pay close attention to SK hynix’s booth #1029 at #GTC24, which will be a turning point in #AI.
This will be a place for events that let you feel the spectacular changes in technology.
Come experience the future of AI created by SK hynix.
#SKhynix #NVIDIA #GTC #booth #1029</t>
  </si>
  <si>
    <t>https://www.linkedin.com/feed/update/urn:li:activity:7175453388543811584</t>
  </si>
  <si>
    <t>Have you ever heard of #HBM3E?
Discover HBM3E, an essential memory solution for generative #AI.
In the forthcoming era of AI, we introduce the HBM product lineup presented by SK hynix.
#SKhynix #NVIDIA #GTC #GTC24 #HBM</t>
  </si>
  <si>
    <t>https://www.linkedin.com/feed/update/urn:li:activity:7174366219876147202</t>
  </si>
  <si>
    <t>Introducing SK hynix 3D booth graphics that will present innovative memory technology to everyone at #GTC24.
You’re not going to want to miss out, so make sure to visit us at our booth!
#SKhynix #NVIDIA #GTC #GTC24 #3D #booth #1029</t>
  </si>
  <si>
    <t>https://www.linkedin.com/feed/update/urn:li:activity:7174003900771975169</t>
  </si>
  <si>
    <t>Looking for SK hynix? 👀
At this year’s NVIDIA #GTC24, the booth will be number #1029.
We look forward to meeting you!
#SKhynix #NVIDIA #GTC #GTC24 #AI #Technology #booth #1029 #HBM3E</t>
  </si>
  <si>
    <t>https://www.linkedin.com/feed/update/urn:li:activity:7173927639538130944</t>
  </si>
  <si>
    <t>Curious about DRAM in the era of AI?
Introducing a more upgraded graphics DRAM from SK hynix.
GDDR7 is by your side anytime, anywhere, with improved performance than before.
#SKhynix #NVIDIA #GTC #GTC24 #DRAM #GDDR7</t>
  </si>
  <si>
    <t>https://www.linkedin.com/feed/update/urn:li:activity:7173671659856359425</t>
  </si>
  <si>
    <t>[Leading semiconductor advancements through material innovation]
Meet the SK hynix leader featured in this series! Head of Material Development Deokshin Kil, esteemed for his role in technological innovation within semiconductor material development. 
Since joining SK hynix in 1999, he's dedicated his career to material innovation, significantly contributing to the competitiveness of this field. 
Explore his endeavor to achieve a "Renaissance in Material Development"!
https://lnkd.in/gYTCRPC7
#SKhynix #Leader #News #MaterialDevelopment #Leadership #Journey #Semiconductor</t>
  </si>
  <si>
    <t>https://www.linkedin.com/feed/update/urn:li:activity:7173641264750342144</t>
  </si>
  <si>
    <t>The countdown to #GTC2024 has begun! At GTC2024, SK hynix, a leader in the HBM market, will showcase its expertise through a session conducted by SK hynix's expert Seoyeong Jeong(정서영) on innovative #HBM technology. 
Don't miss this opportunity to gain the expert's insights into how SK hynix is leading the market amidst the global #AI boom!
#SKhynix #HBM3E #NVIDIA #GTC #GTC24 #Session #Technology</t>
  </si>
  <si>
    <t>https://www.linkedin.com/feed/update/urn:li:activity:7173575729928949761</t>
  </si>
  <si>
    <t>Get ready for SK hynix’s automotive product lineup that leads the future of auto experiences!
Aren’t you curious about what products await you?
Check out SK hynix’s diverse portfolio filled with technologies that welcome you.
#SKhynix #GTC #GTC24 #Automotive</t>
  </si>
  <si>
    <t>https://www.linkedin.com/feed/update/urn:li:activity:7172924232081895426</t>
  </si>
  <si>
    <t>SK hynix is developing reliable and efficient automotive memory solutions with its many partners in the automotive supply chain.
Explore SK hynix’s diverse automotive product lineup at #GTC24 and envision the new future of automobiles in the era of AI!
#SKhynix #GTC #GTC24 #Automotive</t>
  </si>
  <si>
    <t>https://www.linkedin.com/feed/update/urn:li:activity:7172876483021983744</t>
  </si>
  <si>
    <t>“Create the highest, grandest vision possible for your life, because you become what you believe.”
In a special interview to mark IWD 2024 on March 8, the SK hynix asked six women from the company’s offices around the world to describe a belief that motivates them to improve themselves.
From striving for the highest standards to spreading positive energy, discover the beliefs that have taken the interviewees to the next level👑
https://lnkd.in/gy9Ha9Zw
#SKhynix #InternationalWomensDay #IWD24 #interview #ESG</t>
  </si>
  <si>
    <t>https://www.linkedin.com/feed/update/urn:li:activity:7171829525461262336</t>
  </si>
  <si>
    <t>The world's largest AI conference, #GTC, is about to start! Make sure to visit booth #1029 at GTC 2024, which will take place from March 18-21. As a leader in the AI memory market, SK hynix is proud to reveal its astonishing technologies at the upcoming #GTC2024.
Aren't you excited to see how SK hynix will transform the GPU market? Stay tuned for our upcoming news!
#SKhynix #GTC2024 #NVIDIA #AI #Memory #GPU</t>
  </si>
  <si>
    <t>https://www.linkedin.com/feed/update/urn:li:activity:7171799335930646528</t>
  </si>
  <si>
    <t>[People with the history of semiconductors]
SK hynix commemorates International Women's Day by shining a light on women scientists who have transformed history! "Amazing Grace," Grace Murray Hopper is the first protagonist of this series.
She entered programming at a late age but was more talented than anyone else and was instrumental in creating the most common business programming language, #COBOL. Grace, who is also known as the first to discover a computer 'bug', developed a program called Flow-Matics, the first English data processing compiler.
Let's take a moment to look at her innovative, yet challenging journey.
#IWD #Women #AmazingGrace #history #semiconductor #Series #IWD2024</t>
  </si>
  <si>
    <t>https://www.linkedin.com/feed/update/urn:li:activity:7171436949532995584</t>
  </si>
  <si>
    <t>SK hynix is creating something special through volunteer within their communities✨</t>
  </si>
  <si>
    <t>https://www.linkedin.com/feed/update/urn:li:activity:7170742374384566272</t>
  </si>
  <si>
    <t>SK hynix's MCRDIMM breaks away from the traditional DDR5 concept by adding a customized module to individual #DRAM units to boost speed.
It maintains the original DDR5 DRAM units but designed the module to enable simultaneous usage of two ranks instead of one, utilizing data buffers to transmit 128 bytes at once.
Meet #MCRDIMM, the high-capacity server module, ready for the era of #AI servers!
#SKhynix #semiconductor #MCRDIMM #DDR5 #module #technology</t>
  </si>
  <si>
    <t>https://www.linkedin.com/feed/update/urn:li:activity:7170712167283933184</t>
  </si>
  <si>
    <t>[Memory, The Power of AI]
#AI technology is reshaping our everyday lives. Generative AI has emerged as one of the most exciting and promising technologies today. Have you noticed the changes it's bringing?
SK hynix has strengthened its distinct position in the HBM market by developing the revolutionary packaging technology MR-MUF (Mass Reflow-Molded Underfill). SK hynix has applied this advanced MR-MUF technology to the #HBM3E, which boasts the most outstanding performance, thereby setting new standards in AI memory.
Check out the amazing #HBM technology of SK hynix, the AI memory industry leader, through the video below!
https://lnkd.in/gQYnhyu2
#SKhynix #HBM3 #GAI #MR #MUF</t>
  </si>
  <si>
    <t>https://www.linkedin.com/feed/update/urn:li:activity:7170350999142850560</t>
  </si>
  <si>
    <t>Q2 SV Customer Video</t>
  </si>
  <si>
    <t>GTC24 현장 직원 이미지</t>
  </si>
  <si>
    <t>TSV-HBM 카드뉴스</t>
  </si>
  <si>
    <t>세계 여성의 달_그레이스 호퍼 카드뉴스</t>
  </si>
  <si>
    <t>AI 인프라_김성섭 부사장님 인터뷰 (미주법인)</t>
  </si>
  <si>
    <t>GTC24 전시제품 소개 카드뉴스</t>
  </si>
  <si>
    <t>GDDR7 백서</t>
  </si>
  <si>
    <t>HBM3E 백서</t>
  </si>
  <si>
    <t>GTC24 현장 세션 이미지</t>
  </si>
  <si>
    <t>Automotive 백서</t>
  </si>
  <si>
    <t>HBM3E 스펙 조명 캐러셀</t>
  </si>
  <si>
    <t>GTC24 현장 부스 설치 이미지</t>
  </si>
  <si>
    <t>GTC24 세션 홍보 이미지</t>
  </si>
  <si>
    <t>AI 인프라_권운오 부상장님 인터뷰</t>
  </si>
  <si>
    <t>PCB01 공개 보도자료</t>
  </si>
  <si>
    <t>GTC24 스케치 뉴스룸</t>
  </si>
  <si>
    <t>HBM3E 양산 보도자료</t>
  </si>
  <si>
    <t>신임임원 인터뷰_길덕신 담당님</t>
  </si>
  <si>
    <t>GTC24 부스 안내 이미지</t>
  </si>
  <si>
    <t>DevCon CXL 블로그</t>
  </si>
  <si>
    <t>세계 물의 날</t>
  </si>
  <si>
    <t>세계 여성의 날 (뉴스룸)</t>
  </si>
  <si>
    <t>MCRDIMM 스펙 조명 이미지</t>
  </si>
  <si>
    <t>GTC24 행사 참여 안내 배너</t>
  </si>
  <si>
    <t>GTC24 3D 부스 이미지</t>
  </si>
  <si>
    <t>HBM3E 영상 게재</t>
  </si>
  <si>
    <t>Automotive memory solutions 영상 재게재</t>
  </si>
  <si>
    <t xml:space="preserve">데이터 백업의 날 </t>
  </si>
  <si>
    <t>GTC24 관련 Poll</t>
  </si>
  <si>
    <t>POLL</t>
  </si>
  <si>
    <t>미주법인 봉사 콘텐츠 리포스트</t>
  </si>
  <si>
    <r>
      <t xml:space="preserve">24년 </t>
    </r>
    <r>
      <rPr>
        <b/>
        <sz val="11"/>
        <color rgb="FF000000"/>
        <rFont val="맑은 고딕"/>
        <family val="3"/>
        <charset val="129"/>
      </rPr>
      <t>3</t>
    </r>
    <r>
      <rPr>
        <b/>
        <sz val="11"/>
        <color rgb="FF000000"/>
        <rFont val="나눔바른고딕"/>
        <family val="3"/>
        <charset val="129"/>
      </rPr>
      <t>월</t>
    </r>
    <phoneticPr fontId="2" type="noConversion"/>
  </si>
  <si>
    <t>Commercial and Service Industry Machinery Manufacturing</t>
  </si>
  <si>
    <t>Leasing Non-residential Real Estate</t>
  </si>
  <si>
    <t>Renewable Energy Semiconductor Manufacturing</t>
  </si>
  <si>
    <t>Legislative Offices</t>
  </si>
  <si>
    <t>Administration of Justice</t>
  </si>
  <si>
    <t>프로젝트명</t>
    <phoneticPr fontId="2" type="noConversion"/>
  </si>
  <si>
    <t>캠페인 그룹 시작일</t>
    <phoneticPr fontId="2" type="noConversion"/>
  </si>
  <si>
    <t>캠페인 그룹 종료일</t>
    <phoneticPr fontId="2" type="noConversion"/>
  </si>
  <si>
    <t>노출</t>
    <phoneticPr fontId="2" type="noConversion"/>
  </si>
  <si>
    <t>No</t>
  </si>
  <si>
    <t>유형</t>
  </si>
  <si>
    <t>비용 (원)</t>
  </si>
  <si>
    <t>타깃</t>
  </si>
  <si>
    <t>기간</t>
  </si>
  <si>
    <t>노출</t>
  </si>
  <si>
    <t>클릭수</t>
  </si>
  <si>
    <t>팔로워 수</t>
    <phoneticPr fontId="2" type="noConversion"/>
  </si>
  <si>
    <t>클릭/팔로우 전환율</t>
    <phoneticPr fontId="2" type="noConversion"/>
  </si>
  <si>
    <t>1인당 비용</t>
    <phoneticPr fontId="2" type="noConversion"/>
  </si>
  <si>
    <t>확보된 팔로워 수</t>
    <phoneticPr fontId="2" type="noConversion"/>
  </si>
  <si>
    <t>클릭/팔로워 전환율</t>
    <phoneticPr fontId="2" type="noConversion"/>
  </si>
  <si>
    <t>Option</t>
  </si>
  <si>
    <t>시작일</t>
  </si>
  <si>
    <t>종료일</t>
  </si>
  <si>
    <t>팔로워 광고</t>
    <phoneticPr fontId="2" type="noConversion"/>
  </si>
  <si>
    <t>클릭수</t>
    <phoneticPr fontId="2" type="noConversion"/>
  </si>
  <si>
    <t>CTR</t>
    <phoneticPr fontId="2" type="noConversion"/>
  </si>
  <si>
    <t>평균 CPM</t>
  </si>
  <si>
    <t>평균 CPC</t>
  </si>
  <si>
    <t>&lt;광고전체취합에 사용하는 데이터!!!</t>
    <phoneticPr fontId="2" type="noConversion"/>
  </si>
  <si>
    <t>아래는 "광고 전체취합" 시트에 복붙용</t>
    <phoneticPr fontId="2" type="noConversion"/>
  </si>
  <si>
    <t>USD</t>
  </si>
  <si>
    <t>CPC</t>
  </si>
  <si>
    <t>12/31/2023</t>
  </si>
  <si>
    <t>MarCom’s Ad Account</t>
  </si>
  <si>
    <t>2024 Follow Campaign</t>
  </si>
  <si>
    <t>Active</t>
  </si>
  <si>
    <t>12/31/2024</t>
  </si>
  <si>
    <t>24 Q1 Follower ADs (TOP Customer)</t>
  </si>
  <si>
    <t>Dynamic</t>
  </si>
  <si>
    <t>3/31/2024</t>
  </si>
  <si>
    <t>24 Q1 Follower ADs (No Sector, US)</t>
  </si>
  <si>
    <t>24 Q1 Follower ADs (Mobile Customer)</t>
  </si>
  <si>
    <t>24 Q1 팔로워 광고</t>
    <phoneticPr fontId="2" type="noConversion"/>
  </si>
  <si>
    <t>3/1/2024</t>
  </si>
  <si>
    <t>24년 4월</t>
    <phoneticPr fontId="2" type="noConversion"/>
  </si>
  <si>
    <t>Greater George Town, Malaysia</t>
  </si>
  <si>
    <t>Greater Tokyo Area, Japan</t>
  </si>
  <si>
    <t>Washington DC-Baltimore Area</t>
  </si>
  <si>
    <t>Kansas City Metropolitan Area</t>
  </si>
  <si>
    <t>Greater Chicago Area</t>
  </si>
  <si>
    <t>Greater Ahmedabad Area, India</t>
  </si>
  <si>
    <t>Albany, New York Metropolitan Area</t>
  </si>
  <si>
    <t>Greater Delhi Area, India</t>
  </si>
  <si>
    <t>Hsinchu Metropolitan Area, Taiwan</t>
  </si>
  <si>
    <t>Tainan Metropolitan Area, Taiwan</t>
  </si>
  <si>
    <t>Greater Seattle Area</t>
  </si>
  <si>
    <t>Greater Sacramento</t>
  </si>
  <si>
    <t>Budapest Metropolitan Area, Hungary</t>
  </si>
  <si>
    <t>Greater Munich Metropolitan Area, Germany</t>
  </si>
  <si>
    <t>San Francisco Bay Area</t>
  </si>
  <si>
    <t>Taichung–Changhua Metropolitan Area, Taiwan</t>
  </si>
  <si>
    <t>Greater São Paulo Area, Brazil</t>
  </si>
  <si>
    <t>Taipei–Keelung Metropolitan area, Taiwan</t>
  </si>
  <si>
    <t>Guadalajara, Mexico Metropolitan Area, Mexico</t>
  </si>
  <si>
    <t>Greater Boston</t>
  </si>
  <si>
    <t>Lipa, Philippines</t>
  </si>
  <si>
    <t>Greater Dusseldorf Area, Germany</t>
  </si>
  <si>
    <t>New York City Metropolitan Area</t>
  </si>
  <si>
    <t>Greater Dresden Area, Germany</t>
  </si>
  <si>
    <t>Greater Philadelphia</t>
  </si>
  <si>
    <t>Greater Orlando</t>
  </si>
  <si>
    <t>Portland, Oregon Metropolitan Area</t>
  </si>
  <si>
    <t>Greater Minneapolis-St. Paul Area</t>
  </si>
  <si>
    <t>Greater Turin Metropolitan Area, Italy</t>
  </si>
  <si>
    <t>Greater Karlsruhe Area, Germany</t>
  </si>
  <si>
    <t>Wuhan, China</t>
  </si>
  <si>
    <t>Boise Metropolitan Area</t>
  </si>
  <si>
    <t>Greater Pittsburgh Region</t>
  </si>
  <si>
    <t>Brabantine City Row, Netherlands</t>
  </si>
  <si>
    <t>Changzhou-Wuxi-Suzhou Metropolitan Area, China</t>
  </si>
  <si>
    <t>Lahore, Pakistan</t>
  </si>
  <si>
    <t>Greater Vancouver Metropolitan Area, Canada</t>
  </si>
  <si>
    <t>Austin, Texas Metropolitan Area</t>
  </si>
  <si>
    <t>Greater Grenoble Metropolitan Area, France</t>
  </si>
  <si>
    <t>Greater Phoenix Area</t>
  </si>
  <si>
    <t>Atsugi, Japan</t>
  </si>
  <si>
    <t>Frankfurt Rhine-Main Metropolitan Area, Germany</t>
  </si>
  <si>
    <t>Greater Indianapolis</t>
  </si>
  <si>
    <t>Greater Madrid Metropolitan Area, Spain</t>
  </si>
  <si>
    <t>Greater Toronto Area, Canada, Canada</t>
  </si>
  <si>
    <t>Gainesville Metropolitan Area</t>
  </si>
  <si>
    <t>Cork Metropolitan Area, Ireland</t>
  </si>
  <si>
    <t>Icheon, South Korea</t>
  </si>
  <si>
    <t>Atlanta Metropolitan Area</t>
  </si>
  <si>
    <t>Greater Quebec City Metropolitan Area, Canada</t>
  </si>
  <si>
    <t>Miami-Fort Lauderdale Area</t>
  </si>
  <si>
    <t>Warsaw Metropolitan Area, Poland</t>
  </si>
  <si>
    <t>Greater Dublin, Ireland</t>
  </si>
  <si>
    <t>The Randstad, Netherlands, Netherlands</t>
  </si>
  <si>
    <t>Helsinki Metropolitan Area, Finland</t>
  </si>
  <si>
    <t>Greater Houston</t>
  </si>
  <si>
    <t>Manchester Area, United Kingdom, United Kingdom</t>
  </si>
  <si>
    <t>Greater Kolkata Area, India</t>
  </si>
  <si>
    <t>Hsinchu County, Taiwan</t>
  </si>
  <si>
    <t>Greater Paris Metropolitan Region, France</t>
  </si>
  <si>
    <t>Los Angeles Metropolitan Area</t>
  </si>
  <si>
    <t>Bucharest Metropolitan Area, Romania</t>
  </si>
  <si>
    <t>Greater Milan Metropolitan Area, Italy</t>
  </si>
  <si>
    <t>Noida, India</t>
  </si>
  <si>
    <t>Singapore, Singapore</t>
  </si>
  <si>
    <t>Greater Hyderabad Area, India</t>
  </si>
  <si>
    <t>London Area, United Kingdom, United Kingdom</t>
  </si>
  <si>
    <t>Ulsan Metropolitan Area, South Korea</t>
  </si>
  <si>
    <t>Gwangju Metropolitan Area, South Korea</t>
  </si>
  <si>
    <t>Daejeon Metropolitan Area, South Korea</t>
  </si>
  <si>
    <t>Busan Metropolitan Area, South Korea</t>
  </si>
  <si>
    <t>Greater Chennai Area, India</t>
  </si>
  <si>
    <t>Lafayette, Indiana Metropolitan Area</t>
  </si>
  <si>
    <t>Zürich Metropolitan Area, Switzerland</t>
  </si>
  <si>
    <t>Seoul Incheon Metropolitan Area, South Korea</t>
  </si>
  <si>
    <t>Dallas-Fort Worth Metroplex</t>
  </si>
  <si>
    <t>Greater Barcelona Metropolitan Area, Spain</t>
  </si>
  <si>
    <t>Pune/Pimpri-Chinchwad Area, India</t>
  </si>
  <si>
    <t>Metro Manila, Philippines</t>
  </si>
  <si>
    <t>Detroit Metropolitan Area</t>
  </si>
  <si>
    <t>San Diego Metropolitan Area</t>
  </si>
  <si>
    <t>Denver Metropolitan Area</t>
  </si>
  <si>
    <t>Yellapur, India</t>
  </si>
  <si>
    <t>Greater Coimbatore Area, India</t>
  </si>
  <si>
    <t>Greenville-Spartanburg-Anderson, South Carolina Area</t>
  </si>
  <si>
    <t>Greater St. Louis</t>
  </si>
  <si>
    <t>Greater Tampa Bay Area</t>
  </si>
  <si>
    <t>Greater Coventry Area, United Kingdom</t>
  </si>
  <si>
    <t>Tyneside Area, United Kingdom</t>
  </si>
  <si>
    <t>Greater Bengaluru Area, India</t>
  </si>
  <si>
    <t>Greater Indore Area, India</t>
  </si>
  <si>
    <t>Kumamoto Metropolitan Area, Japan</t>
  </si>
  <si>
    <t>Greater Bristol Area, United Kingdom, United Kingdom</t>
  </si>
  <si>
    <t>Dhanbad-Ranchi Area, India</t>
  </si>
  <si>
    <t>Louvain Metropolitan Area, Belgium</t>
  </si>
  <si>
    <t>Greater Cambridge Area, United Kingdom</t>
  </si>
  <si>
    <t>Ho Chi Minh City Metropolitan Area, Vietnam</t>
  </si>
  <si>
    <t>Hanoi Capital Region, Vietnam</t>
  </si>
  <si>
    <t>Raleigh-Durham-Chapel Hill Area</t>
  </si>
  <si>
    <t>Grand Rapids Metropolitan Area</t>
  </si>
  <si>
    <t>Greater Cleveland</t>
  </si>
  <si>
    <t>Shenzhen, China</t>
  </si>
  <si>
    <t>Mumbai Metropolitan Region, India</t>
  </si>
  <si>
    <t>Greater Brighton and Hove Area, United Kingdom</t>
  </si>
  <si>
    <t>Singapore</t>
  </si>
  <si>
    <t>Shanghai, China</t>
  </si>
  <si>
    <t>Cairo, Egypt</t>
  </si>
  <si>
    <t>Beijing, China</t>
  </si>
  <si>
    <t>Hong Kong SAR, China</t>
  </si>
  <si>
    <t>Bogotá D.C. Metropolitan Area, Colombia</t>
  </si>
  <si>
    <t>Greater Buenos Aires, Argentina</t>
  </si>
  <si>
    <t>Mexico City Metropolitan Area, Mexico</t>
  </si>
  <si>
    <t>Greater Rio de Janeiro, Brazil</t>
  </si>
  <si>
    <t>Lisbon Metropolitan Area, Portugal</t>
  </si>
  <si>
    <t>Nairobi County, Kenya</t>
  </si>
  <si>
    <t>Gdansk Metropolitan Area, Poland</t>
  </si>
  <si>
    <t>Jakarta Metropolitan Area, Indonesia</t>
  </si>
  <si>
    <t>Daegu Metropolitan Area, South Korea</t>
  </si>
  <si>
    <t>Greater Istanbul, Türkiye</t>
  </si>
  <si>
    <t>Greater Campinas, Brazil</t>
  </si>
  <si>
    <t>Santiago Metropolitan Area, Chile</t>
  </si>
  <si>
    <t>Greater Lucknow Area, India</t>
  </si>
  <si>
    <t>Greater Kuala Lumpur, Malaysia</t>
  </si>
  <si>
    <t>Guangzhou-Foshan Metropolitan Area, China</t>
  </si>
  <si>
    <t>Greater Curitiba, Brazil</t>
  </si>
  <si>
    <t>Greater Jaipur Area, India</t>
  </si>
  <si>
    <t>Greater Porto Alegre, Brazil</t>
  </si>
  <si>
    <t>Greater Belo Horizonte, Brazil</t>
  </si>
  <si>
    <t>Busan, South Korea</t>
  </si>
  <si>
    <t>Greater Rome Metropolitan Area, Italy</t>
  </si>
  <si>
    <t>Berlin Metropolitan Area, Germany</t>
  </si>
  <si>
    <t>Greater Sydney Area, Australia</t>
  </si>
  <si>
    <t>Lima Metropolitan Area, Peru</t>
  </si>
  <si>
    <t>Greater Vadodara Area, India</t>
  </si>
  <si>
    <t>Johannesburg Metropolitan Area, South Africa</t>
  </si>
  <si>
    <t>Greater Nagpur Area, India</t>
  </si>
  <si>
    <t>Dongguan, China</t>
  </si>
  <si>
    <t>Greater Montreal Metropolitan Area, Canada</t>
  </si>
  <si>
    <t>Greater Patna Area, India</t>
  </si>
  <si>
    <t>Greater Melbourne Area, Australia</t>
  </si>
  <si>
    <t>Start Date (in UTC)</t>
  </si>
  <si>
    <t>Account Name</t>
  </si>
  <si>
    <t>Currency</t>
  </si>
  <si>
    <t>Campaign Group ID</t>
  </si>
  <si>
    <t>Campaign Group Name</t>
  </si>
  <si>
    <t>Campaign Group Status</t>
  </si>
  <si>
    <t>Campaign Group Start Date</t>
  </si>
  <si>
    <t>Campaign Group End Date</t>
  </si>
  <si>
    <t>Campaign Group Objective Type</t>
  </si>
  <si>
    <t>Campaign ID</t>
  </si>
  <si>
    <t>Campaign Name</t>
  </si>
  <si>
    <t>Campaign Objective</t>
  </si>
  <si>
    <t>Campaign Type</t>
  </si>
  <si>
    <t>Campaign Status</t>
  </si>
  <si>
    <t>Cost Type</t>
  </si>
  <si>
    <t>Total Budget</t>
  </si>
  <si>
    <t>Campaign Start Date</t>
  </si>
  <si>
    <t>Campaign End Date</t>
  </si>
  <si>
    <t>Total Spent</t>
  </si>
  <si>
    <t>Click Through Rate</t>
  </si>
  <si>
    <t>Average CPM</t>
  </si>
  <si>
    <t>Average CPC</t>
  </si>
  <si>
    <t>Reactions</t>
  </si>
  <si>
    <t>Shares</t>
  </si>
  <si>
    <t>Other Clicks</t>
  </si>
  <si>
    <t>Total Social Actions</t>
  </si>
  <si>
    <t>Total Engagements</t>
  </si>
  <si>
    <t>Engagement Rate</t>
  </si>
  <si>
    <t>Conversions</t>
  </si>
  <si>
    <t>Post-Click Conversions</t>
  </si>
  <si>
    <t>View-Through Conversions</t>
  </si>
  <si>
    <t>Conversion Rate</t>
  </si>
  <si>
    <t>Cost per Conversion</t>
  </si>
  <si>
    <t>Total Conversion Value</t>
  </si>
  <si>
    <t>Return on Ad Spend</t>
  </si>
  <si>
    <t>Reach</t>
  </si>
  <si>
    <t>Average Frequency</t>
  </si>
  <si>
    <t>Cost per 1,000 People Reached</t>
  </si>
  <si>
    <t>Event Registrations</t>
  </si>
  <si>
    <t>Click Event Registrations</t>
  </si>
  <si>
    <t>View Event Registrations</t>
  </si>
  <si>
    <t>Viral Event Registrations</t>
  </si>
  <si>
    <t>Viral Click Event Registrations</t>
  </si>
  <si>
    <t>Viral View Event Registrations</t>
  </si>
  <si>
    <t>Average Daily Spend</t>
  </si>
  <si>
    <t>Clicks to Landing Page</t>
  </si>
  <si>
    <t>Clicks to LinkedIn Page</t>
  </si>
  <si>
    <t>Member Follows</t>
  </si>
  <si>
    <t>Completed</t>
  </si>
  <si>
    <t>Total Spent</t>
    <phoneticPr fontId="2" type="noConversion"/>
  </si>
  <si>
    <t>Impressions</t>
    <phoneticPr fontId="2" type="noConversion"/>
  </si>
  <si>
    <t>Clicks</t>
    <phoneticPr fontId="2" type="noConversion"/>
  </si>
  <si>
    <t>Follows</t>
    <phoneticPr fontId="2" type="noConversion"/>
  </si>
  <si>
    <t>Average CPM</t>
    <phoneticPr fontId="2" type="noConversion"/>
  </si>
  <si>
    <t>Average CPC</t>
    <phoneticPr fontId="2" type="noConversion"/>
  </si>
  <si>
    <t>트윗 ID</t>
  </si>
  <si>
    <t>트윗 고유 주소</t>
  </si>
  <si>
    <t>트윗 문구</t>
  </si>
  <si>
    <t>시간</t>
  </si>
  <si>
    <t>노출수</t>
  </si>
  <si>
    <t>참여</t>
  </si>
  <si>
    <t>참여율</t>
  </si>
  <si>
    <t>리트윗</t>
  </si>
  <si>
    <t>답글</t>
  </si>
  <si>
    <t>마음</t>
  </si>
  <si>
    <t>사용자 프로필 클릭수</t>
  </si>
  <si>
    <t>URL 클릭 수</t>
  </si>
  <si>
    <t>해시태그 클릭수</t>
  </si>
  <si>
    <t xml:space="preserve">상세 정보 조회 수 </t>
  </si>
  <si>
    <t>고유 주소 클릭 수</t>
  </si>
  <si>
    <t>앱 열기</t>
  </si>
  <si>
    <t>앱 설치 수</t>
  </si>
  <si>
    <t>팔로우</t>
  </si>
  <si>
    <t>트윗을 이메일로 전송</t>
  </si>
  <si>
    <t>전화 걸기</t>
  </si>
  <si>
    <t>미디어 조회수</t>
  </si>
  <si>
    <t>미디어 참여</t>
  </si>
  <si>
    <t>노출수 프로모션</t>
  </si>
  <si>
    <t>참여 프로모션</t>
  </si>
  <si>
    <t>참여율 프로모션</t>
  </si>
  <si>
    <t>리트윗 프로모션</t>
  </si>
  <si>
    <t>답글 프로모션</t>
  </si>
  <si>
    <t>마음 프로모션</t>
  </si>
  <si>
    <t>사용자 프로필 클릭수 프로모션</t>
  </si>
  <si>
    <t>URL 클릭 수 프로모션</t>
  </si>
  <si>
    <t>해시태그 클릭수 프로모션</t>
  </si>
  <si>
    <t>상세 정보 조회 수  프로모션</t>
  </si>
  <si>
    <t>고유 주소 클릭 수 프로모션</t>
  </si>
  <si>
    <t>앱 열기 프로모션</t>
  </si>
  <si>
    <t>앱 설치 수 프로모션</t>
  </si>
  <si>
    <t>팔로우 프로모션</t>
  </si>
  <si>
    <t>트윗을 이메일로 전송 프로모션</t>
  </si>
  <si>
    <t>전화 걸기 프로모션</t>
  </si>
  <si>
    <t>미디어 조회수 프로모션</t>
  </si>
  <si>
    <t>미디어 참여 프로모션</t>
  </si>
  <si>
    <t>https://twitter.com/SKhynix/status/1774028811060875750</t>
  </si>
  <si>
    <t>You need someone to safeguard your valuable data even in unforeseen circumstances!
@SKhynix stands with you as your shield, protecting your data.🛡️
#SKhynix #data #backup #PC https://t.co/E3XPrKMfCM</t>
  </si>
  <si>
    <t>-</t>
  </si>
  <si>
    <t>https://twitter.com/SKhynix/status/1773673962699972741</t>
  </si>
  <si>
    <t>Discover the latest advancements in #CXL 3.1, which offers significant improvements in memory performance and server architecture.
For in-depth insights, hear from Thomas Won Ha Choi, a leading expert at @SKhynix.
More: https://t.co/itqsct8IvS
#SKhynix #CMM #AI #Server #DevCon https://t.co/7MHYnhCc9q</t>
  </si>
  <si>
    <t>https://twitter.com/SKhynix/status/1773595280576803094</t>
  </si>
  <si>
    <t>Don't say you SHOULD HAVE followed!
You CAN still follow @SKhynix NOW.👀
#SKhynix https://t.co/BFhzzE2bGf</t>
  </si>
  <si>
    <t>36581.0</t>
  </si>
  <si>
    <t>501.0</t>
  </si>
  <si>
    <t>0.013695634345698586</t>
  </si>
  <si>
    <t>0.0</t>
  </si>
  <si>
    <t>24.0</t>
  </si>
  <si>
    <t>115.0</t>
  </si>
  <si>
    <t>8.0</t>
  </si>
  <si>
    <t>198.0</t>
  </si>
  <si>
    <t>0</t>
  </si>
  <si>
    <t>12</t>
  </si>
  <si>
    <t>144</t>
  </si>
  <si>
    <t>https://twitter.com/SKhynix/status/1773267711197425845</t>
  </si>
  <si>
    <t>@SKhynix is proud to introduce our new #VicePresident Unoh Kwon, who will complete the technology roadmap of HBM.
Check out his vision for next-generation #HBM technology development and his strategy for the #AI era through our newsroom📰
https://t.co/5QI2s3SiPl
#SKhynix #Leader</t>
  </si>
  <si>
    <t>https://twitter.com/SKhynix/status/1772949185798533495</t>
  </si>
  <si>
    <t>@SKhynix solidifies its position as a forefront leader in the #HBM industry with HBM3E.
Explore #HBM3E by 'Total AI Memory Provider,’ @SKhynix!
#SKhynix #AI https://t.co/8L8I71Enp2</t>
  </si>
  <si>
    <t>https://twitter.com/SKhynix/status/1772597262570369304</t>
  </si>
  <si>
    <t>AI just leveled up at #GTC2024!
@SKhynix wows again with groundbreaking #AI tech.
Curious about their latest innovations? Dive in now!
#SKhynix #GTC24 #NVIDIA https://t.co/5MYzDhwMp8</t>
  </si>
  <si>
    <t>https://twitter.com/SKhynix/status/1772224409887289831</t>
  </si>
  <si>
    <t>Ready to witness the revolution of #AI era with memory packaging technology?🌟
@SKhynix's cutting-edge #HBM3E shines at the center of the technological competition.
Curious about how we've dominated the #HBM market? Check it out now!
#SKhynix #Memory #TSV #MR #MUF #AI #LLM https://t.co/1xcum24vpT</t>
  </si>
  <si>
    <t>https://twitter.com/SKhynix/status/1771111856876466222</t>
  </si>
  <si>
    <t>Celebrate World Water Day and take a moment to reflect on the importance of water.💧
And explore @SKhynix's sustainable water usage for better water management!
#SKhynix #WorldWaterDay #ESG #Water https://t.co/lYyBDXt4LX</t>
  </si>
  <si>
    <t>https://twitter.com/SKhynix/status/1770782412298977474</t>
  </si>
  <si>
    <t>Just successfully showcased our cutting-edge #AI memory tech at #GTC2024! From the 12-layer #HBM3E to #CXL and the future of graphics with #GDDR7, we're pushing AI boundaries.
To infinity, and beyond!🚀
Dive into the details ➡️ https://t.co/1U72VYqkAT
#SKhynix</t>
  </si>
  <si>
    <t>https://twitter.com/SKhynix/status/1770417922391089243</t>
  </si>
  <si>
    <t>#GTC2024 spotlights on #AI memory market leader @SKhynix, focusing on the future of HBM! Listen to the hot insights from HBM expert Seoyeong Jeong.
Find out now how the future of HBM memory unfolds amidst the rapid advancement of AI technology!
#SKhynix #GTC #GTC24 #HBM #HBM3E https://t.co/maJkPfC1rl</t>
  </si>
  <si>
    <t>https://twitter.com/SKhynix/status/1770384199411023897</t>
  </si>
  <si>
    <t>@SKhynix unveiled '#PCB01', a PCIe 5th generation SSD, at #GTC2024, reinforcing its lead as the top AI memory provider for on-device AI PCs.
For more details, check out the news below!
https://t.co/pIgkXIUiWa
#SKhynix #SSD #GTC24 #AI #PC #PCLe #5th</t>
  </si>
  <si>
    <t>https://twitter.com/SKhynix/status/1770050082811032058</t>
  </si>
  <si>
    <t>#GTC2024 is underway! 🌟
World-class AI experts and @SKhynix's tech geniuses are waiting for you.
Drop by our booth #1029 and dive into the incredible world of memory that will change the future of #AI!
#SKhynix #GTC #GTC2024 https://t.co/m9LBATaZgV</t>
  </si>
  <si>
    <t>https://twitter.com/SKhynix/status/1769984453252956280</t>
  </si>
  <si>
    <t>Just seven months after the announcement of HBM3E development, @SKhynix has become the world’s first to mass-produce the newest #AI memory product, HBM3E, with ultra-high performance, and will start producing from late March.
https://t.co/dUj2emoI8b
#HBM3E https://t.co/mg2wJghFg0</t>
  </si>
  <si>
    <t>https://twitter.com/SKhynix/status/1769712475145183661</t>
  </si>
  <si>
    <t>What are you most looking forward to at #GTC24 this year? Cast your vote now and let us know the most exciting item for you!
#SKhynix #GTC #GTC24 #AI
Q. What are you most looking forward to at GTC this year?</t>
  </si>
  <si>
    <t>https://twitter.com/SKhynix/status/1769687695180120499</t>
  </si>
  <si>
    <t>Pay close attention to @SKhynix’s booth #1029 at #GTC24, which will be a turning point in #AI.
Come experience the future of AI created by SK hynix.
#SKhynix #GTC24 https://t.co/dSanPPJ86N</t>
  </si>
  <si>
    <t>https://twitter.com/SKhynix/status/1768600532137214423</t>
  </si>
  <si>
    <t>Have you ever heard of #HBM3E?
Check out @SKhynix’s diverse portfolio filled with technologies that welcome you.
#SKhynix #GTC24 #HBM https://t.co/nTR10mdtzA</t>
  </si>
  <si>
    <t>https://twitter.com/SKhynix/status/1768238143512490431</t>
  </si>
  <si>
    <t>Introducing @SKhynix 3D booth graphics that will present innovative memory technology to everyone at #GTC24!
#SKhynix #NVIDIA #GTC2024 https://t.co/Osfav8Gp4Z</t>
  </si>
  <si>
    <t>https://twitter.com/SKhynix/status/1768162282075496748</t>
  </si>
  <si>
    <t>At this year’s @NVIDIA #GTC24, the booth will be number #1029.
We look forward to meeting you!
#SKhynix #GTC24 #HBM3E https://t.co/PJEogSPzfx</t>
  </si>
  <si>
    <t>https://twitter.com/SKhynix/status/1767905957496160724</t>
  </si>
  <si>
    <t>Curious about DRAM in the era of #AI?
GDDR7 is by your side anytime, anywhere, with improved performance than before.
#SKhynix #GTC24 #DRAM https://t.co/99jq1txBMc</t>
  </si>
  <si>
    <t>https://twitter.com/SKhynix/status/1767898958154858887</t>
  </si>
  <si>
    <t>Meet @SKhynix's Head of Material Development Deokshin Kil, a leading expert in #material innovation.
Ready to discover his journey? Learn about his leadership in domesticating EUV PR at @SKhynix in 2023. Click the link below!
https://t.co/sVVpdCXf93
#Leader #News #Semiconductor</t>
  </si>
  <si>
    <t>https://twitter.com/SKhynix/status/1767810596060155942</t>
  </si>
  <si>
    <t>The countdown to #GTC2024 has begun! 
At GTC 2024, @SKhynix, a leader in the HBM market, will showcase its expertise through a session conducted by SK hynix's expert Seoyeong Jeong on innovative HBM technology.
Don't miss this opportunity to gain the expert's insights!
#HBM #AI https://t.co/Yp4WBbsGrt</t>
  </si>
  <si>
    <t>https://twitter.com/SKhynix/status/1767158538839658903</t>
  </si>
  <si>
    <t>Get ready for @SKhynix’s automotive product lineup that leads the future of auto experiences!
Check out @SKhynix’s diverse portfolio filled with technologies.🚗
#SKhynix #GTC24 #Automotive https://t.co/2PNMEIRXHM</t>
  </si>
  <si>
    <t>https://twitter.com/SKhynix/status/1767110541036929527</t>
  </si>
  <si>
    <t>Explore @SKhynix’s diverse automotive product lineup at #GTC24 and envision the new future of automobiles in the era of AI!
#SKhynix #GTC24 #Automotive https://t.co/l3BgObVrp4</t>
  </si>
  <si>
    <t>https://twitter.com/SKhynix/status/1766063815651729503</t>
  </si>
  <si>
    <t>In a special interview to mark IWD 2024 on March 8, @SKhynix asked six women from striving for the highest standards to spreading positive energy, discover the beliefs that have taken the interviewees to the next level👑
https://t.co/pXYKKkqHz7
#IWD24 #interview #ESG</t>
  </si>
  <si>
    <t>https://twitter.com/SKhynix/status/1766033620588998700</t>
  </si>
  <si>
    <t>Get ready for GTC, the biggest AI conference, to start soon! Don't miss out on booth #1029 at GTC 2024 from March 18-21. SK hynix, a leader in #AI memory, will reveal mind-blowing tech at #GTC2024. Excited to see SK hynix shake up the GPU market? Stay tuned for updates!
#SKhynix https://t.co/iRopgtkyNF</t>
  </si>
  <si>
    <t>https://twitter.com/SKhynix/status/1765671231960109128</t>
  </si>
  <si>
    <t>SK hynix commemorates International Women's Day by introducing 'Grace Murray Hopper'.
She entered programming at a late age but was more talented than anyone else and was instrumental in creating the most common business programming language, #COBOL.
Explore her achievements! https://t.co/mtTuihvILA</t>
  </si>
  <si>
    <t>https://twitter.com/SKhynix/status/1764946455188648273</t>
  </si>
  <si>
    <t>SK hynix's MCRDIMM breaks away from the traditional DDR5 concept by adding a customized module to individual #DRAM units to boost speed.
Meet MCRDIMM, the high-capacity server module, ready for the era of AI servers!
#SKhynix #semiconductor #MCRDIMM #DDR5 #module #technology https://t.co/cbQwrduFu4</t>
  </si>
  <si>
    <t>https://twitter.com/SKhynix/status/1764584067163660727</t>
  </si>
  <si>
    <t>New Standard in AI Memory? @SK hynix's HBM3E.
Memory, the Power of #AI
https://t.co/x8meAdvjOS
#SKhynix #HBM3E https://t.co/yN8KE61Mkh</t>
  </si>
  <si>
    <t>68826.0</t>
  </si>
  <si>
    <t>789.0</t>
  </si>
  <si>
    <t>0.011463691046988057</t>
  </si>
  <si>
    <t>4.0</t>
  </si>
  <si>
    <t>72.0</t>
  </si>
  <si>
    <t>61.0</t>
  </si>
  <si>
    <t>6.0</t>
  </si>
  <si>
    <t>320.0</t>
  </si>
  <si>
    <t>17</t>
  </si>
  <si>
    <t>24209</t>
  </si>
  <si>
    <t>237</t>
  </si>
  <si>
    <t>날짜추출</t>
    <phoneticPr fontId="2" type="noConversion"/>
  </si>
  <si>
    <t>참여순위</t>
    <phoneticPr fontId="2" type="noConversion"/>
  </si>
  <si>
    <t>최종순위</t>
  </si>
  <si>
    <t>자동생성열</t>
  </si>
  <si>
    <t>간단한 제목</t>
  </si>
  <si>
    <t>카테고리</t>
  </si>
  <si>
    <t xml:space="preserve">    Date</t>
  </si>
  <si>
    <r>
      <t>　</t>
    </r>
    <r>
      <rPr>
        <b/>
        <sz val="10"/>
        <color rgb="FF000000"/>
        <rFont val="나눔바른고딕"/>
        <family val="3"/>
        <charset val="129"/>
      </rPr>
      <t>Contents</t>
    </r>
  </si>
  <si>
    <t>콘텐츠 형태</t>
    <phoneticPr fontId="2" type="noConversion"/>
  </si>
  <si>
    <t>노출수</t>
    <phoneticPr fontId="2" type="noConversion"/>
  </si>
  <si>
    <t>마음</t>
    <phoneticPr fontId="2" type="noConversion"/>
  </si>
  <si>
    <t>참여</t>
    <phoneticPr fontId="2" type="noConversion"/>
  </si>
  <si>
    <t>싱글이미지</t>
  </si>
  <si>
    <t>멀티이미지　</t>
  </si>
  <si>
    <t>영상</t>
  </si>
  <si>
    <t>HBM3E 신규 영상 게재</t>
  </si>
  <si>
    <t>싱글이미지　</t>
  </si>
  <si>
    <t>트위터 팔로우 유도 이미지</t>
  </si>
  <si>
    <t>뉴스룸</t>
  </si>
  <si>
    <t>카드뉴스</t>
  </si>
  <si>
    <t>멀티이미지</t>
  </si>
  <si>
    <t>카드뉴스　</t>
  </si>
  <si>
    <t xml:space="preserve">GTC24 3D 부스 이미지 </t>
  </si>
  <si>
    <t xml:space="preserve">Events </t>
  </si>
  <si>
    <t>미러링(링크)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</si>
</sst>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1" formatCode="_-* #,##0_-;\-* #,##0_-;_-* &quot;-&quot;_-;_-@_-"/>
    <numFmt numFmtId="176" formatCode="mm&quot;월&quot;\ dd&quot;일&quot;"/>
    <numFmt numFmtId="177" formatCode="\'yy\ mm"/>
    <numFmt numFmtId="178" formatCode="#,##0_ "/>
    <numFmt numFmtId="179" formatCode="d"/>
    <numFmt numFmtId="180" formatCode="m&quot;/&quot;d;@"/>
    <numFmt numFmtId="181" formatCode="0.0"/>
    <numFmt numFmtId="182" formatCode="aaa"/>
    <numFmt numFmtId="183" formatCode="0.0%"/>
    <numFmt numFmtId="184" formatCode="yy&quot;년&quot;\ m&quot;월&quot;"/>
    <numFmt numFmtId="185" formatCode="#,##0_);[Red]\(#,##0\)"/>
    <numFmt numFmtId="186" formatCode="&quot;₩&quot;#,##0.00"/>
    <numFmt numFmtId="187" formatCode="0_);[Red]\(0\)"/>
    <numFmt numFmtId="188" formatCode="\$#,##0.00"/>
  </numFmts>
  <fonts count="70">
    <font>
      <sz val="11"/>
      <color theme="1"/>
      <name val="맑은 고딕"/>
      <family val="2"/>
      <charset val="129"/>
      <scheme val="minor"/>
    </font>
    <font>
      <sz val="11"/>
      <color rgb="FFFF0000"/>
      <name val="맑은 고딕"/>
      <family val="2"/>
      <charset val="129"/>
      <scheme val="minor"/>
    </font>
    <font>
      <sz val="8"/>
      <name val="맑은 고딕"/>
      <family val="2"/>
      <charset val="129"/>
      <scheme val="minor"/>
    </font>
    <font>
      <sz val="11"/>
      <name val="맑은 고딕"/>
      <family val="2"/>
      <charset val="129"/>
      <scheme val="minor"/>
    </font>
    <font>
      <b/>
      <sz val="9"/>
      <color rgb="FF000000"/>
      <name val="맑은 고딕"/>
      <family val="3"/>
      <charset val="129"/>
    </font>
    <font>
      <b/>
      <sz val="11"/>
      <color theme="1"/>
      <name val="맑은 고딕"/>
      <family val="3"/>
      <charset val="129"/>
      <scheme val="minor"/>
    </font>
    <font>
      <b/>
      <sz val="14"/>
      <color rgb="FF7030A0"/>
      <name val="맑은 고딕"/>
      <family val="3"/>
      <charset val="129"/>
      <scheme val="minor"/>
    </font>
    <font>
      <sz val="11"/>
      <color theme="6"/>
      <name val="맑은 고딕"/>
      <family val="2"/>
      <charset val="129"/>
      <scheme val="minor"/>
    </font>
    <font>
      <sz val="11"/>
      <color theme="6"/>
      <name val="맑은 고딕"/>
      <family val="3"/>
      <charset val="129"/>
      <scheme val="minor"/>
    </font>
    <font>
      <sz val="11"/>
      <color rgb="FFFF0000"/>
      <name val="맑은 고딕"/>
      <family val="3"/>
      <charset val="129"/>
      <scheme val="minor"/>
    </font>
    <font>
      <b/>
      <sz val="12"/>
      <color rgb="FF000000"/>
      <name val="나눔바른고딕"/>
      <family val="3"/>
      <charset val="129"/>
    </font>
    <font>
      <sz val="10"/>
      <color rgb="FF000000"/>
      <name val="나눔바른고딕"/>
      <family val="3"/>
      <charset val="129"/>
    </font>
    <font>
      <sz val="7"/>
      <color rgb="FF000000"/>
      <name val="나눔바른고딕"/>
      <family val="3"/>
      <charset val="129"/>
    </font>
    <font>
      <b/>
      <sz val="12"/>
      <color theme="1"/>
      <name val="나눔바른고딕"/>
      <family val="3"/>
      <charset val="129"/>
    </font>
    <font>
      <sz val="8"/>
      <color rgb="FF767171"/>
      <name val="나눔바른고딕"/>
      <family val="3"/>
      <charset val="129"/>
    </font>
    <font>
      <b/>
      <sz val="8.5"/>
      <color rgb="FF000000"/>
      <name val="나눔바른고딕"/>
      <family val="3"/>
      <charset val="129"/>
    </font>
    <font>
      <sz val="8.5"/>
      <color rgb="FF000000"/>
      <name val="나눔바른고딕"/>
      <family val="3"/>
      <charset val="129"/>
    </font>
    <font>
      <b/>
      <sz val="8.5"/>
      <color rgb="FFEA002C"/>
      <name val="나눔바른고딕"/>
      <family val="3"/>
      <charset val="129"/>
    </font>
    <font>
      <b/>
      <sz val="8"/>
      <color rgb="FF000000"/>
      <name val="나눔바른고딕"/>
      <family val="3"/>
      <charset val="129"/>
    </font>
    <font>
      <b/>
      <sz val="7"/>
      <color rgb="FF000000"/>
      <name val="나눔바른고딕"/>
      <family val="3"/>
      <charset val="129"/>
    </font>
    <font>
      <b/>
      <sz val="8"/>
      <color rgb="FFFFFFFF"/>
      <name val="나눔바른고딕"/>
      <family val="3"/>
      <charset val="129"/>
    </font>
    <font>
      <b/>
      <sz val="7"/>
      <color rgb="FFFFFFFF"/>
      <name val="나눔바른고딕"/>
      <family val="3"/>
      <charset val="129"/>
    </font>
    <font>
      <sz val="10"/>
      <color rgb="FFFF0000"/>
      <name val="나눔바른고딕"/>
      <family val="3"/>
      <charset val="129"/>
    </font>
    <font>
      <sz val="8.5"/>
      <name val="나눔바른고딕"/>
      <family val="3"/>
      <charset val="129"/>
    </font>
    <font>
      <sz val="11"/>
      <color theme="1"/>
      <name val="맑은 고딕"/>
      <family val="3"/>
      <charset val="129"/>
    </font>
    <font>
      <sz val="8.5"/>
      <color rgb="FFFF0000"/>
      <name val="나눔바른고딕"/>
      <family val="3"/>
      <charset val="129"/>
    </font>
    <font>
      <b/>
      <sz val="8"/>
      <color rgb="FFFF0000"/>
      <name val="나눔바른고딕"/>
      <family val="3"/>
      <charset val="129"/>
    </font>
    <font>
      <sz val="11"/>
      <name val="맑은 고딕"/>
      <family val="3"/>
      <charset val="129"/>
      <scheme val="minor"/>
    </font>
    <font>
      <b/>
      <sz val="10"/>
      <color rgb="FF000000"/>
      <name val="나눔바른고딕"/>
      <family val="3"/>
      <charset val="129"/>
    </font>
    <font>
      <u/>
      <sz val="11"/>
      <color theme="10"/>
      <name val="맑은 고딕"/>
      <family val="2"/>
      <charset val="129"/>
      <scheme val="minor"/>
    </font>
    <font>
      <sz val="10"/>
      <name val="Arial"/>
      <family val="2"/>
    </font>
    <font>
      <sz val="10"/>
      <name val="Arial"/>
      <family val="2"/>
    </font>
    <font>
      <sz val="11"/>
      <color theme="1"/>
      <name val="맑은 고딕"/>
      <family val="2"/>
      <charset val="129"/>
      <scheme val="minor"/>
    </font>
    <font>
      <sz val="10"/>
      <name val="돋움"/>
      <family val="3"/>
      <charset val="129"/>
    </font>
    <font>
      <sz val="11"/>
      <color rgb="FF000000"/>
      <name val="맑은 고딕"/>
      <family val="3"/>
      <charset val="129"/>
    </font>
    <font>
      <b/>
      <sz val="10"/>
      <name val="Arial"/>
      <family val="2"/>
    </font>
    <font>
      <sz val="9"/>
      <color theme="1"/>
      <name val="맑은 고딕"/>
      <family val="3"/>
      <charset val="129"/>
      <scheme val="minor"/>
    </font>
    <font>
      <b/>
      <sz val="9"/>
      <color theme="1"/>
      <name val="맑은 고딕"/>
      <family val="3"/>
      <charset val="129"/>
      <scheme val="minor"/>
    </font>
    <font>
      <sz val="9"/>
      <color theme="1"/>
      <name val="맑은 고딕"/>
      <family val="2"/>
      <charset val="129"/>
      <scheme val="minor"/>
    </font>
    <font>
      <sz val="10"/>
      <color rgb="FF000000"/>
      <name val="Pretendard"/>
    </font>
    <font>
      <sz val="10"/>
      <color rgb="FF000000"/>
      <name val="Pretendard"/>
      <family val="2"/>
    </font>
    <font>
      <sz val="10"/>
      <color rgb="FFEA002C"/>
      <name val="Pretendard"/>
      <family val="2"/>
    </font>
    <font>
      <b/>
      <sz val="10"/>
      <color rgb="FF000000"/>
      <name val="Pretendard"/>
      <family val="2"/>
    </font>
    <font>
      <b/>
      <sz val="10"/>
      <color rgb="FF000000"/>
      <name val="Arial Unicode MS"/>
      <family val="3"/>
      <charset val="129"/>
    </font>
    <font>
      <b/>
      <sz val="12"/>
      <name val="나눔고딕"/>
      <family val="3"/>
      <charset val="129"/>
    </font>
    <font>
      <sz val="10"/>
      <name val="나눔고딕"/>
      <family val="3"/>
      <charset val="129"/>
    </font>
    <font>
      <sz val="10"/>
      <color theme="1"/>
      <name val="나눔고딕"/>
      <family val="3"/>
      <charset val="129"/>
    </font>
    <font>
      <sz val="12"/>
      <color theme="1"/>
      <name val="Wingdings"/>
      <charset val="2"/>
    </font>
    <font>
      <b/>
      <sz val="11"/>
      <color rgb="FF000000"/>
      <name val="나눔바른고딕"/>
      <family val="3"/>
      <charset val="129"/>
    </font>
    <font>
      <b/>
      <sz val="11"/>
      <color rgb="FF000000"/>
      <name val="맑은 고딕"/>
      <family val="3"/>
      <charset val="129"/>
    </font>
    <font>
      <sz val="10"/>
      <color theme="1"/>
      <name val="맑은 고딕"/>
      <family val="2"/>
      <charset val="129"/>
      <scheme val="minor"/>
    </font>
    <font>
      <sz val="8"/>
      <color theme="1"/>
      <name val="나눔고딕"/>
      <family val="3"/>
      <charset val="129"/>
    </font>
    <font>
      <sz val="8"/>
      <color rgb="FFFF0000"/>
      <name val="나눔고딕"/>
      <family val="3"/>
      <charset val="129"/>
    </font>
    <font>
      <b/>
      <sz val="8"/>
      <color theme="1"/>
      <name val="나눔고딕"/>
      <family val="3"/>
      <charset val="129"/>
    </font>
    <font>
      <b/>
      <sz val="10"/>
      <color rgb="FF000000"/>
      <name val="맑은 고딕"/>
      <family val="3"/>
      <charset val="129"/>
    </font>
    <font>
      <b/>
      <sz val="10"/>
      <color rgb="FF000000"/>
      <name val="Noto Sans CJK KR Light"/>
      <family val="2"/>
      <charset val="128"/>
    </font>
    <font>
      <sz val="10.5"/>
      <color rgb="FF595959"/>
      <name val="맑은 고딕"/>
      <family val="3"/>
      <charset val="129"/>
    </font>
    <font>
      <b/>
      <sz val="12"/>
      <color rgb="FF000000"/>
      <name val="맑은 고딕"/>
      <family val="3"/>
      <charset val="129"/>
    </font>
    <font>
      <sz val="10"/>
      <color rgb="FF000000"/>
      <name val="맑은 고딕"/>
      <family val="3"/>
      <charset val="129"/>
    </font>
    <font>
      <sz val="8"/>
      <color rgb="FF000000"/>
      <name val="맑은 고딕"/>
      <family val="3"/>
      <charset val="129"/>
    </font>
    <font>
      <sz val="9"/>
      <color rgb="FF000000"/>
      <name val="맑은 고딕"/>
      <family val="3"/>
      <charset val="129"/>
    </font>
    <font>
      <sz val="18"/>
      <name val="Arial"/>
      <family val="2"/>
    </font>
    <font>
      <b/>
      <sz val="12"/>
      <color rgb="FF000000"/>
      <name val="맑은 고딕"/>
      <family val="3"/>
      <charset val="129"/>
      <scheme val="minor"/>
    </font>
    <font>
      <b/>
      <sz val="17"/>
      <color rgb="FF000000"/>
      <name val="맑은 고딕"/>
      <family val="3"/>
      <charset val="129"/>
      <scheme val="minor"/>
    </font>
    <font>
      <b/>
      <sz val="11"/>
      <color rgb="FFFF0000"/>
      <name val="맑은 고딕"/>
      <family val="3"/>
      <charset val="129"/>
      <scheme val="minor"/>
    </font>
    <font>
      <b/>
      <sz val="10"/>
      <color rgb="FFFF0000"/>
      <name val="나눔바른고딕"/>
      <family val="3"/>
      <charset val="129"/>
    </font>
    <font>
      <b/>
      <sz val="9"/>
      <color rgb="FF000000"/>
      <name val="나눔바른고딕"/>
      <family val="3"/>
      <charset val="129"/>
    </font>
    <font>
      <b/>
      <sz val="10"/>
      <color rgb="FFFFFFFF"/>
      <name val="나눔바른고딕"/>
      <family val="3"/>
      <charset val="129"/>
    </font>
    <font>
      <sz val="9"/>
      <color rgb="FF000000"/>
      <name val="나눔바른고딕"/>
      <family val="3"/>
      <charset val="129"/>
    </font>
    <font>
      <sz val="8"/>
      <name val="나눔바른고딕"/>
      <family val="3"/>
      <charset val="129"/>
    </font>
  </fonts>
  <fills count="17">
    <fill>
      <patternFill patternType="none"/>
    </fill>
    <fill>
      <patternFill patternType="gray125"/>
    </fill>
    <fill>
      <patternFill patternType="solid">
        <fgColor theme="7"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3F3F3"/>
        <bgColor indexed="64"/>
      </patternFill>
    </fill>
    <fill>
      <patternFill patternType="solid">
        <fgColor rgb="FFE41937"/>
        <bgColor indexed="64"/>
      </patternFill>
    </fill>
    <fill>
      <patternFill patternType="solid">
        <fgColor rgb="FFFFFFCC"/>
        <bgColor indexed="64"/>
      </patternFill>
    </fill>
    <fill>
      <patternFill patternType="solid">
        <fgColor theme="0"/>
        <bgColor indexed="64"/>
      </patternFill>
    </fill>
    <fill>
      <patternFill patternType="solid">
        <fgColor rgb="FFFFFFFF"/>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6"/>
        <bgColor indexed="64"/>
      </patternFill>
    </fill>
    <fill>
      <patternFill patternType="solid">
        <fgColor rgb="FFF2F2F2"/>
        <bgColor indexed="64"/>
      </patternFill>
    </fill>
    <fill>
      <patternFill patternType="solid">
        <fgColor rgb="FFD9D9D9"/>
        <bgColor indexed="64"/>
      </patternFill>
    </fill>
  </fills>
  <borders count="87">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rgb="FFA6A6A6"/>
      </left>
      <right style="thin">
        <color rgb="FFA6A6A6"/>
      </right>
      <top style="thin">
        <color rgb="FFA6A6A6"/>
      </top>
      <bottom style="thin">
        <color rgb="FFA6A6A6"/>
      </bottom>
      <diagonal/>
    </border>
    <border>
      <left/>
      <right style="thin">
        <color rgb="FFA6A6A6"/>
      </right>
      <top style="thick">
        <color rgb="FF404040"/>
      </top>
      <bottom/>
      <diagonal/>
    </border>
    <border>
      <left style="thin">
        <color rgb="FFA6A6A6"/>
      </left>
      <right/>
      <top style="thick">
        <color rgb="FF404040"/>
      </top>
      <bottom/>
      <diagonal/>
    </border>
    <border>
      <left style="thin">
        <color rgb="FFA6A6A6"/>
      </left>
      <right style="thin">
        <color rgb="FFA6A6A6"/>
      </right>
      <top style="thick">
        <color rgb="FF404040"/>
      </top>
      <bottom/>
      <diagonal/>
    </border>
    <border>
      <left/>
      <right style="thin">
        <color rgb="FFA6A6A6"/>
      </right>
      <top style="thin">
        <color rgb="FFA6A6A6"/>
      </top>
      <bottom style="thin">
        <color rgb="FFA6A6A6"/>
      </bottom>
      <diagonal/>
    </border>
    <border>
      <left/>
      <right style="thin">
        <color rgb="FFA6A6A6"/>
      </right>
      <top style="thin">
        <color rgb="FFA6A6A6"/>
      </top>
      <bottom/>
      <diagonal/>
    </border>
    <border>
      <left style="medium">
        <color theme="2" tint="-0.249977111117893"/>
      </left>
      <right style="thin">
        <color indexed="64"/>
      </right>
      <top style="medium">
        <color theme="2" tint="-0.249977111117893"/>
      </top>
      <bottom/>
      <diagonal/>
    </border>
    <border>
      <left style="thin">
        <color indexed="64"/>
      </left>
      <right style="thin">
        <color indexed="64"/>
      </right>
      <top style="medium">
        <color theme="2" tint="-0.249977111117893"/>
      </top>
      <bottom/>
      <diagonal/>
    </border>
    <border>
      <left style="thin">
        <color indexed="64"/>
      </left>
      <right style="medium">
        <color theme="2" tint="-0.249977111117893"/>
      </right>
      <top style="medium">
        <color theme="2" tint="-0.249977111117893"/>
      </top>
      <bottom/>
      <diagonal/>
    </border>
    <border>
      <left style="medium">
        <color theme="2" tint="-0.249977111117893"/>
      </left>
      <right style="thin">
        <color indexed="64"/>
      </right>
      <top style="thin">
        <color indexed="64"/>
      </top>
      <bottom style="thin">
        <color indexed="64"/>
      </bottom>
      <diagonal/>
    </border>
    <border>
      <left style="thin">
        <color indexed="64"/>
      </left>
      <right style="medium">
        <color theme="2" tint="-0.249977111117893"/>
      </right>
      <top style="thin">
        <color indexed="64"/>
      </top>
      <bottom style="thin">
        <color indexed="64"/>
      </bottom>
      <diagonal/>
    </border>
    <border>
      <left style="medium">
        <color theme="2" tint="-0.249977111117893"/>
      </left>
      <right style="thin">
        <color indexed="64"/>
      </right>
      <top style="thin">
        <color indexed="64"/>
      </top>
      <bottom style="medium">
        <color theme="2" tint="-0.249977111117893"/>
      </bottom>
      <diagonal/>
    </border>
    <border>
      <left style="thin">
        <color indexed="64"/>
      </left>
      <right style="thin">
        <color indexed="64"/>
      </right>
      <top style="thin">
        <color indexed="64"/>
      </top>
      <bottom style="medium">
        <color theme="2" tint="-0.249977111117893"/>
      </bottom>
      <diagonal/>
    </border>
    <border>
      <left style="thin">
        <color indexed="64"/>
      </left>
      <right style="medium">
        <color theme="2" tint="-0.249977111117893"/>
      </right>
      <top style="thin">
        <color indexed="64"/>
      </top>
      <bottom style="medium">
        <color theme="2" tint="-0.249977111117893"/>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n">
        <color indexed="64"/>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style="dashed">
        <color rgb="FFBFBFBF"/>
      </left>
      <right style="dashed">
        <color rgb="FFBFBFBF"/>
      </right>
      <top style="dashed">
        <color rgb="FFBFBFBF"/>
      </top>
      <bottom style="dashed">
        <color rgb="FFBFBFBF"/>
      </bottom>
      <diagonal/>
    </border>
    <border>
      <left style="medium">
        <color indexed="64"/>
      </left>
      <right/>
      <top style="medium">
        <color indexed="64"/>
      </top>
      <bottom style="dashed">
        <color rgb="FFBFBFBF"/>
      </bottom>
      <diagonal/>
    </border>
    <border>
      <left/>
      <right/>
      <top style="medium">
        <color indexed="64"/>
      </top>
      <bottom style="dashed">
        <color rgb="FFBFBFBF"/>
      </bottom>
      <diagonal/>
    </border>
    <border>
      <left/>
      <right style="medium">
        <color indexed="64"/>
      </right>
      <top style="medium">
        <color indexed="64"/>
      </top>
      <bottom style="dashed">
        <color rgb="FFBFBFBF"/>
      </bottom>
      <diagonal/>
    </border>
    <border>
      <left style="medium">
        <color indexed="64"/>
      </left>
      <right style="dashed">
        <color rgb="FFBFBFBF"/>
      </right>
      <top style="dashed">
        <color rgb="FFBFBFBF"/>
      </top>
      <bottom style="dashed">
        <color rgb="FFBFBFBF"/>
      </bottom>
      <diagonal/>
    </border>
    <border>
      <left style="dashed">
        <color rgb="FFBFBFBF"/>
      </left>
      <right style="medium">
        <color indexed="64"/>
      </right>
      <top style="dashed">
        <color rgb="FFBFBFBF"/>
      </top>
      <bottom style="dashed">
        <color rgb="FFBFBFBF"/>
      </bottom>
      <diagonal/>
    </border>
    <border>
      <left style="medium">
        <color indexed="64"/>
      </left>
      <right style="dashed">
        <color rgb="FFA6A6A6"/>
      </right>
      <top style="dashed">
        <color rgb="FFBFBFBF"/>
      </top>
      <bottom style="medium">
        <color indexed="64"/>
      </bottom>
      <diagonal/>
    </border>
    <border>
      <left style="dashed">
        <color rgb="FFBFBFBF"/>
      </left>
      <right style="dashed">
        <color rgb="FFBFBFBF"/>
      </right>
      <top style="dashed">
        <color rgb="FFBFBFBF"/>
      </top>
      <bottom style="medium">
        <color indexed="64"/>
      </bottom>
      <diagonal/>
    </border>
    <border>
      <left style="dashed">
        <color rgb="FFBFBFBF"/>
      </left>
      <right style="medium">
        <color indexed="64"/>
      </right>
      <top style="dashed">
        <color rgb="FFBFBFBF"/>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dashed">
        <color rgb="FFBFBFBF"/>
      </right>
      <top style="medium">
        <color rgb="FF000000"/>
      </top>
      <bottom/>
      <diagonal/>
    </border>
    <border>
      <left style="dashed">
        <color rgb="FFBFBFBF"/>
      </left>
      <right style="dashed">
        <color rgb="FFBFBFBF"/>
      </right>
      <top style="medium">
        <color rgb="FF000000"/>
      </top>
      <bottom/>
      <diagonal/>
    </border>
    <border>
      <left style="dashed">
        <color rgb="FFBFBFBF"/>
      </left>
      <right style="dashed">
        <color rgb="FFBFBFBF"/>
      </right>
      <top style="medium">
        <color rgb="FF000000"/>
      </top>
      <bottom style="dashed">
        <color rgb="FFBFBFBF"/>
      </bottom>
      <diagonal/>
    </border>
    <border>
      <left style="dashed">
        <color rgb="FFBFBFBF"/>
      </left>
      <right/>
      <top style="medium">
        <color rgb="FF000000"/>
      </top>
      <bottom style="dashed">
        <color rgb="FFBFBFBF"/>
      </bottom>
      <diagonal/>
    </border>
    <border>
      <left/>
      <right style="dashed">
        <color rgb="FFBFBFBF"/>
      </right>
      <top style="medium">
        <color rgb="FF000000"/>
      </top>
      <bottom style="dashed">
        <color rgb="FFBFBFBF"/>
      </bottom>
      <diagonal/>
    </border>
    <border>
      <left style="dashed">
        <color rgb="FFBFBFBF"/>
      </left>
      <right/>
      <top style="medium">
        <color rgb="FF000000"/>
      </top>
      <bottom/>
      <diagonal/>
    </border>
    <border>
      <left/>
      <right style="dashed">
        <color rgb="FFBFBFBF"/>
      </right>
      <top/>
      <bottom style="dashed">
        <color rgb="FFBFBFBF"/>
      </bottom>
      <diagonal/>
    </border>
    <border>
      <left style="dashed">
        <color rgb="FFBFBFBF"/>
      </left>
      <right style="dashed">
        <color rgb="FFBFBFBF"/>
      </right>
      <top/>
      <bottom style="dashed">
        <color rgb="FFBFBFBF"/>
      </bottom>
      <diagonal/>
    </border>
    <border>
      <left style="dashed">
        <color rgb="FFBFBFBF"/>
      </left>
      <right/>
      <top/>
      <bottom style="dashed">
        <color rgb="FFBFBFBF"/>
      </bottom>
      <diagonal/>
    </border>
    <border>
      <left/>
      <right style="dashed">
        <color rgb="FFBFBFBF"/>
      </right>
      <top style="dashed">
        <color rgb="FFBFBFBF"/>
      </top>
      <bottom style="dashed">
        <color rgb="FFBFBFBF"/>
      </bottom>
      <diagonal/>
    </border>
    <border>
      <left style="dashed">
        <color rgb="FFBFBFBF"/>
      </left>
      <right style="dashed">
        <color rgb="FFBFBFBF"/>
      </right>
      <top style="dashed">
        <color rgb="FFBFBFBF"/>
      </top>
      <bottom/>
      <diagonal/>
    </border>
    <border>
      <left/>
      <right style="dashed">
        <color rgb="FFBFBFBF"/>
      </right>
      <top style="dashed">
        <color rgb="FFBFBFBF"/>
      </top>
      <bottom/>
      <diagonal/>
    </border>
    <border>
      <left/>
      <right/>
      <top style="dashed">
        <color rgb="FFBFBFBF"/>
      </top>
      <bottom style="medium">
        <color rgb="FF000000"/>
      </bottom>
      <diagonal/>
    </border>
    <border>
      <left/>
      <right style="dashed">
        <color rgb="FFBFBFBF"/>
      </right>
      <top style="dashed">
        <color rgb="FFBFBFBF"/>
      </top>
      <bottom style="medium">
        <color rgb="FF000000"/>
      </bottom>
      <diagonal/>
    </border>
    <border>
      <left style="dashed">
        <color rgb="FFBFBFBF"/>
      </left>
      <right style="dashed">
        <color rgb="FFBFBFBF"/>
      </right>
      <top style="dashed">
        <color rgb="FFBFBFBF"/>
      </top>
      <bottom style="medium">
        <color rgb="FF000000"/>
      </bottom>
      <diagonal/>
    </border>
    <border>
      <left style="dashed">
        <color rgb="FFBFBFBF"/>
      </left>
      <right/>
      <top style="dashed">
        <color rgb="FFBFBFBF"/>
      </top>
      <bottom style="medium">
        <color rgb="FF000000"/>
      </bottom>
      <diagonal/>
    </border>
  </borders>
  <cellStyleXfs count="7">
    <xf numFmtId="0" fontId="0" fillId="0" borderId="0">
      <alignment vertical="center"/>
    </xf>
    <xf numFmtId="0" fontId="29" fillId="0" borderId="0" applyNumberFormat="0" applyFill="0" applyBorder="0" applyAlignment="0" applyProtection="0">
      <alignment vertical="center"/>
    </xf>
    <xf numFmtId="0" fontId="30" fillId="0" borderId="0"/>
    <xf numFmtId="0" fontId="31" fillId="0" borderId="0"/>
    <xf numFmtId="0" fontId="30" fillId="0" borderId="0"/>
    <xf numFmtId="0" fontId="30" fillId="0" borderId="0"/>
    <xf numFmtId="41" fontId="32" fillId="0" borderId="0" applyFont="0" applyFill="0" applyBorder="0" applyAlignment="0" applyProtection="0">
      <alignment vertical="center"/>
    </xf>
  </cellStyleXfs>
  <cellXfs count="387">
    <xf numFmtId="0" fontId="0" fillId="0" borderId="0" xfId="0">
      <alignment vertical="center"/>
    </xf>
    <xf numFmtId="177" fontId="0" fillId="0" borderId="0" xfId="0" quotePrefix="1" applyNumberFormat="1">
      <alignment vertical="center"/>
    </xf>
    <xf numFmtId="177" fontId="0" fillId="0" borderId="0" xfId="0" applyNumberFormat="1">
      <alignment vertical="center"/>
    </xf>
    <xf numFmtId="0" fontId="3" fillId="2" borderId="0" xfId="0" applyFont="1" applyFill="1">
      <alignment vertical="center"/>
    </xf>
    <xf numFmtId="0" fontId="0" fillId="2" borderId="0" xfId="0" applyFill="1">
      <alignment vertical="center"/>
    </xf>
    <xf numFmtId="0" fontId="4" fillId="3" borderId="7" xfId="0" applyFont="1" applyFill="1" applyBorder="1" applyAlignment="1">
      <alignment horizontal="center" vertical="center" wrapText="1" readingOrder="1"/>
    </xf>
    <xf numFmtId="14" fontId="0" fillId="0" borderId="0" xfId="0" applyNumberFormat="1">
      <alignment vertical="center"/>
    </xf>
    <xf numFmtId="178" fontId="0" fillId="0" borderId="0" xfId="0" applyNumberFormat="1">
      <alignment vertical="center"/>
    </xf>
    <xf numFmtId="0" fontId="0" fillId="0" borderId="11" xfId="0" applyBorder="1" applyAlignment="1">
      <alignment horizontal="center" vertical="center"/>
    </xf>
    <xf numFmtId="0" fontId="0" fillId="0" borderId="4" xfId="0" applyBorder="1" applyAlignment="1">
      <alignment horizontal="center" vertical="center"/>
    </xf>
    <xf numFmtId="0" fontId="4" fillId="3" borderId="11" xfId="0" applyFont="1" applyFill="1" applyBorder="1" applyAlignment="1">
      <alignment horizontal="center" vertical="center" wrapText="1" readingOrder="1"/>
    </xf>
    <xf numFmtId="0" fontId="4" fillId="3" borderId="12" xfId="0" applyFont="1" applyFill="1" applyBorder="1" applyAlignment="1">
      <alignment horizontal="center" vertical="center" wrapText="1" readingOrder="1"/>
    </xf>
    <xf numFmtId="0" fontId="6" fillId="0" borderId="0" xfId="0" applyFont="1">
      <alignment vertical="center"/>
    </xf>
    <xf numFmtId="0" fontId="0" fillId="4" borderId="15" xfId="0" applyFill="1" applyBorder="1" applyAlignment="1">
      <alignment horizontal="center" vertical="center"/>
    </xf>
    <xf numFmtId="0" fontId="0" fillId="4" borderId="16" xfId="0" applyFill="1" applyBorder="1" applyAlignment="1">
      <alignment horizontal="center" vertical="center"/>
    </xf>
    <xf numFmtId="0" fontId="0" fillId="4" borderId="18" xfId="0" applyFill="1" applyBorder="1" applyAlignment="1">
      <alignment horizontal="center" vertical="center"/>
    </xf>
    <xf numFmtId="177" fontId="5" fillId="4" borderId="7" xfId="0" applyNumberFormat="1" applyFont="1" applyFill="1" applyBorder="1" applyAlignment="1">
      <alignment horizontal="center" vertical="center"/>
    </xf>
    <xf numFmtId="178" fontId="5" fillId="4" borderId="7" xfId="0" applyNumberFormat="1" applyFont="1" applyFill="1" applyBorder="1" applyAlignment="1">
      <alignment horizontal="center" vertical="center"/>
    </xf>
    <xf numFmtId="0" fontId="0" fillId="5" borderId="0" xfId="0" applyFill="1">
      <alignment vertical="center"/>
    </xf>
    <xf numFmtId="177" fontId="0" fillId="5" borderId="4" xfId="0" applyNumberFormat="1" applyFill="1" applyBorder="1" applyAlignment="1">
      <alignment horizontal="center" vertical="center"/>
    </xf>
    <xf numFmtId="178" fontId="0" fillId="5" borderId="5" xfId="0" applyNumberFormat="1" applyFill="1" applyBorder="1" applyAlignment="1">
      <alignment horizontal="center"/>
    </xf>
    <xf numFmtId="0" fontId="7" fillId="5" borderId="0" xfId="0" applyFont="1" applyFill="1">
      <alignment vertical="center"/>
    </xf>
    <xf numFmtId="0" fontId="8" fillId="5" borderId="0" xfId="0" applyFont="1" applyFill="1">
      <alignment vertical="center"/>
    </xf>
    <xf numFmtId="178" fontId="0" fillId="5" borderId="5" xfId="0" applyNumberFormat="1" applyFill="1" applyBorder="1" applyAlignment="1">
      <alignment horizontal="center" vertical="center"/>
    </xf>
    <xf numFmtId="178" fontId="0" fillId="5" borderId="6" xfId="0" applyNumberFormat="1" applyFill="1" applyBorder="1" applyAlignment="1">
      <alignment horizontal="center" vertical="center"/>
    </xf>
    <xf numFmtId="0" fontId="1" fillId="0" borderId="0" xfId="0" applyFont="1">
      <alignment vertical="center"/>
    </xf>
    <xf numFmtId="0" fontId="9" fillId="0" borderId="0" xfId="0" applyFont="1">
      <alignment vertical="center"/>
    </xf>
    <xf numFmtId="0" fontId="10" fillId="5" borderId="0" xfId="0" applyFont="1" applyFill="1">
      <alignment vertical="center"/>
    </xf>
    <xf numFmtId="0" fontId="12" fillId="0" borderId="0" xfId="0" applyFont="1" applyAlignment="1">
      <alignment horizontal="left" vertical="center" indent="1" readingOrder="1"/>
    </xf>
    <xf numFmtId="0" fontId="12" fillId="5" borderId="0" xfId="0" applyFont="1" applyFill="1" applyAlignment="1">
      <alignment vertical="center" readingOrder="1"/>
    </xf>
    <xf numFmtId="0" fontId="13" fillId="5" borderId="0" xfId="0" applyFont="1" applyFill="1" applyAlignment="1">
      <alignment vertical="center" readingOrder="1"/>
    </xf>
    <xf numFmtId="0" fontId="11" fillId="5" borderId="0" xfId="0" applyFont="1" applyFill="1" applyAlignment="1">
      <alignment horizontal="left" vertical="center" readingOrder="1"/>
    </xf>
    <xf numFmtId="0" fontId="13" fillId="0" borderId="0" xfId="0" applyFont="1" applyAlignment="1">
      <alignment vertical="center" readingOrder="1"/>
    </xf>
    <xf numFmtId="0" fontId="13" fillId="5" borderId="0" xfId="0" applyFont="1" applyFill="1" applyAlignment="1">
      <alignment horizontal="left" vertical="center" readingOrder="1"/>
    </xf>
    <xf numFmtId="0" fontId="14" fillId="5" borderId="0" xfId="0" applyFont="1" applyFill="1" applyAlignment="1">
      <alignment horizontal="right" vertical="center"/>
    </xf>
    <xf numFmtId="178" fontId="0" fillId="6" borderId="6" xfId="0" applyNumberFormat="1" applyFill="1" applyBorder="1" applyAlignment="1">
      <alignment horizontal="center" vertical="center"/>
    </xf>
    <xf numFmtId="0" fontId="0" fillId="4" borderId="21" xfId="0" applyFill="1" applyBorder="1" applyAlignment="1">
      <alignment horizontal="center" vertical="center"/>
    </xf>
    <xf numFmtId="178" fontId="0" fillId="5" borderId="7" xfId="0" applyNumberFormat="1" applyFill="1" applyBorder="1" applyAlignment="1">
      <alignment horizontal="center" vertical="center"/>
    </xf>
    <xf numFmtId="178" fontId="0" fillId="6" borderId="12" xfId="0" applyNumberFormat="1" applyFill="1" applyBorder="1" applyAlignment="1">
      <alignment horizontal="center" vertical="center"/>
    </xf>
    <xf numFmtId="0" fontId="16" fillId="0" borderId="28" xfId="0" applyFont="1" applyBorder="1" applyAlignment="1">
      <alignment horizontal="center" vertical="center" wrapText="1" readingOrder="1"/>
    </xf>
    <xf numFmtId="0" fontId="16" fillId="0" borderId="24" xfId="0" applyFont="1" applyBorder="1" applyAlignment="1">
      <alignment horizontal="center" vertical="center" wrapText="1" readingOrder="1"/>
    </xf>
    <xf numFmtId="0" fontId="18" fillId="7" borderId="27" xfId="0" applyFont="1" applyFill="1" applyBorder="1" applyAlignment="1">
      <alignment horizontal="center" vertical="center" wrapText="1" readingOrder="1"/>
    </xf>
    <xf numFmtId="0" fontId="21" fillId="8" borderId="27" xfId="0" applyFont="1" applyFill="1" applyBorder="1" applyAlignment="1">
      <alignment horizontal="center" vertical="center" wrapText="1" readingOrder="1"/>
    </xf>
    <xf numFmtId="0" fontId="18" fillId="7" borderId="25" xfId="0" applyFont="1" applyFill="1" applyBorder="1" applyAlignment="1">
      <alignment horizontal="center" vertical="center" wrapText="1" readingOrder="1"/>
    </xf>
    <xf numFmtId="0" fontId="18" fillId="7" borderId="26" xfId="0" applyFont="1" applyFill="1" applyBorder="1" applyAlignment="1">
      <alignment horizontal="center" vertical="center" wrapText="1" readingOrder="1"/>
    </xf>
    <xf numFmtId="0" fontId="19" fillId="7" borderId="27" xfId="0" applyFont="1" applyFill="1" applyBorder="1" applyAlignment="1">
      <alignment horizontal="center" vertical="center" wrapText="1" readingOrder="1"/>
    </xf>
    <xf numFmtId="0" fontId="20" fillId="8" borderId="27" xfId="0" applyFont="1" applyFill="1" applyBorder="1" applyAlignment="1">
      <alignment horizontal="center" vertical="center" wrapText="1" readingOrder="1"/>
    </xf>
    <xf numFmtId="0" fontId="22" fillId="0" borderId="0" xfId="0" applyFont="1" applyAlignment="1">
      <alignment horizontal="left" vertical="center" readingOrder="1"/>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14" fontId="0" fillId="5" borderId="0" xfId="0" applyNumberFormat="1" applyFill="1">
      <alignment vertical="center"/>
    </xf>
    <xf numFmtId="179" fontId="0" fillId="5" borderId="0" xfId="0" applyNumberFormat="1" applyFill="1">
      <alignment vertical="center"/>
    </xf>
    <xf numFmtId="0" fontId="14" fillId="0" borderId="0" xfId="0" applyFont="1" applyAlignment="1">
      <alignment horizontal="right" vertical="center" readingOrder="1"/>
    </xf>
    <xf numFmtId="0" fontId="14" fillId="5" borderId="0" xfId="0" applyFont="1" applyFill="1" applyAlignment="1">
      <alignment horizontal="right" vertical="center" readingOrder="1"/>
    </xf>
    <xf numFmtId="176" fontId="16" fillId="0" borderId="24" xfId="0" applyNumberFormat="1" applyFont="1" applyBorder="1" applyAlignment="1">
      <alignment horizontal="center" vertical="center" wrapText="1" readingOrder="1"/>
    </xf>
    <xf numFmtId="10" fontId="16" fillId="0" borderId="24" xfId="0" applyNumberFormat="1" applyFont="1" applyBorder="1" applyAlignment="1">
      <alignment horizontal="center" vertical="center" wrapText="1" readingOrder="1"/>
    </xf>
    <xf numFmtId="0" fontId="16" fillId="9" borderId="24" xfId="0" applyFont="1" applyFill="1" applyBorder="1" applyAlignment="1">
      <alignment horizontal="center" vertical="center" wrapText="1" readingOrder="1"/>
    </xf>
    <xf numFmtId="10" fontId="17" fillId="9" borderId="24" xfId="0" applyNumberFormat="1" applyFont="1" applyFill="1" applyBorder="1" applyAlignment="1">
      <alignment horizontal="center" vertical="center" wrapText="1" readingOrder="1"/>
    </xf>
    <xf numFmtId="0" fontId="16" fillId="0" borderId="29" xfId="0" applyFont="1" applyBorder="1" applyAlignment="1">
      <alignment horizontal="center" vertical="center" wrapText="1" readingOrder="1"/>
    </xf>
    <xf numFmtId="0" fontId="10" fillId="5" borderId="0" xfId="0" applyFont="1" applyFill="1" applyAlignment="1">
      <alignment vertical="center" readingOrder="1"/>
    </xf>
    <xf numFmtId="0" fontId="24" fillId="0" borderId="0" xfId="0" applyFont="1">
      <alignment vertical="center"/>
    </xf>
    <xf numFmtId="0" fontId="25" fillId="0" borderId="24" xfId="0" applyFont="1" applyBorder="1" applyAlignment="1">
      <alignment horizontal="center" vertical="center" wrapText="1" readingOrder="1"/>
    </xf>
    <xf numFmtId="0" fontId="26" fillId="7" borderId="27" xfId="0" applyFont="1" applyFill="1" applyBorder="1" applyAlignment="1">
      <alignment horizontal="center" vertical="center" wrapText="1" readingOrder="1"/>
    </xf>
    <xf numFmtId="178" fontId="5" fillId="4" borderId="7" xfId="0" quotePrefix="1" applyNumberFormat="1" applyFont="1" applyFill="1" applyBorder="1" applyAlignment="1">
      <alignment horizontal="center" vertical="center"/>
    </xf>
    <xf numFmtId="0" fontId="27" fillId="5" borderId="0" xfId="0" applyFont="1" applyFill="1">
      <alignment vertical="center"/>
    </xf>
    <xf numFmtId="0" fontId="3" fillId="0" borderId="0" xfId="0" applyFont="1">
      <alignment vertical="center"/>
    </xf>
    <xf numFmtId="0" fontId="0" fillId="4" borderId="30" xfId="0" applyFill="1" applyBorder="1" applyAlignment="1">
      <alignment horizontal="center" vertical="center"/>
    </xf>
    <xf numFmtId="0" fontId="0" fillId="0" borderId="33" xfId="0" applyBorder="1" applyAlignment="1">
      <alignment horizontal="center" vertical="center"/>
    </xf>
    <xf numFmtId="178" fontId="0" fillId="6" borderId="34" xfId="0" applyNumberFormat="1" applyFill="1" applyBorder="1" applyAlignment="1">
      <alignment horizontal="center" vertical="center"/>
    </xf>
    <xf numFmtId="0" fontId="0" fillId="0" borderId="35" xfId="0" applyBorder="1" applyAlignment="1">
      <alignment horizontal="center" vertical="center"/>
    </xf>
    <xf numFmtId="178" fontId="0" fillId="5" borderId="36" xfId="0" applyNumberFormat="1" applyFill="1" applyBorder="1" applyAlignment="1">
      <alignment horizontal="center" vertical="center"/>
    </xf>
    <xf numFmtId="178" fontId="0" fillId="6" borderId="37" xfId="0" applyNumberFormat="1" applyFill="1" applyBorder="1" applyAlignment="1">
      <alignment horizontal="center" vertical="center"/>
    </xf>
    <xf numFmtId="0" fontId="23" fillId="0" borderId="0" xfId="0" applyFont="1" applyAlignment="1">
      <alignment horizontal="center" vertical="center" wrapText="1" readingOrder="1"/>
    </xf>
    <xf numFmtId="179" fontId="0" fillId="5" borderId="19" xfId="0" applyNumberFormat="1" applyFill="1" applyBorder="1" applyAlignment="1">
      <alignment horizontal="center" vertical="center"/>
    </xf>
    <xf numFmtId="0" fontId="0" fillId="5" borderId="20" xfId="0" applyFill="1" applyBorder="1" applyAlignment="1">
      <alignment horizontal="center" vertical="center"/>
    </xf>
    <xf numFmtId="177" fontId="0" fillId="6" borderId="7" xfId="0" applyNumberFormat="1" applyFill="1" applyBorder="1" applyAlignment="1">
      <alignment horizontal="center" vertical="center"/>
    </xf>
    <xf numFmtId="178" fontId="0" fillId="6" borderId="7" xfId="0" applyNumberFormat="1" applyFill="1" applyBorder="1" applyAlignment="1">
      <alignment horizontal="center" vertical="center"/>
    </xf>
    <xf numFmtId="177" fontId="0" fillId="6" borderId="7" xfId="0" quotePrefix="1" applyNumberFormat="1" applyFill="1" applyBorder="1" applyAlignment="1">
      <alignment horizontal="center" vertical="center"/>
    </xf>
    <xf numFmtId="178" fontId="0" fillId="6" borderId="5" xfId="0" applyNumberFormat="1" applyFill="1" applyBorder="1" applyAlignment="1">
      <alignment horizontal="center"/>
    </xf>
    <xf numFmtId="178" fontId="0" fillId="0" borderId="0" xfId="0" applyNumberFormat="1" applyAlignment="1">
      <alignment horizontal="center"/>
    </xf>
    <xf numFmtId="0" fontId="0" fillId="2" borderId="0" xfId="0" applyFill="1" applyAlignment="1">
      <alignment vertical="center" wrapText="1"/>
    </xf>
    <xf numFmtId="0" fontId="0" fillId="2" borderId="39" xfId="0" applyFill="1" applyBorder="1" applyAlignment="1">
      <alignment vertical="center" wrapText="1"/>
    </xf>
    <xf numFmtId="0" fontId="0" fillId="2" borderId="40" xfId="0" applyFill="1" applyBorder="1">
      <alignment vertical="center"/>
    </xf>
    <xf numFmtId="0" fontId="0" fillId="0" borderId="40" xfId="0" applyBorder="1">
      <alignment vertical="center"/>
    </xf>
    <xf numFmtId="0" fontId="0" fillId="2" borderId="7" xfId="0" applyFill="1" applyBorder="1" applyAlignment="1">
      <alignment vertical="center" wrapText="1"/>
    </xf>
    <xf numFmtId="0" fontId="0" fillId="6" borderId="7" xfId="0" applyFill="1" applyBorder="1">
      <alignment vertical="center"/>
    </xf>
    <xf numFmtId="0" fontId="0" fillId="2" borderId="7" xfId="0" applyFill="1" applyBorder="1">
      <alignment vertical="center"/>
    </xf>
    <xf numFmtId="180" fontId="16" fillId="0" borderId="24" xfId="0" applyNumberFormat="1" applyFont="1" applyBorder="1" applyAlignment="1">
      <alignment horizontal="center" vertical="center" wrapText="1" readingOrder="1"/>
    </xf>
    <xf numFmtId="180" fontId="16" fillId="10" borderId="24" xfId="0" applyNumberFormat="1" applyFont="1" applyFill="1" applyBorder="1" applyAlignment="1">
      <alignment horizontal="center" vertical="center" wrapText="1" readingOrder="1"/>
    </xf>
    <xf numFmtId="0" fontId="1" fillId="2" borderId="0" xfId="0" applyFont="1" applyFill="1">
      <alignment vertical="center"/>
    </xf>
    <xf numFmtId="0" fontId="3" fillId="2" borderId="0" xfId="0" quotePrefix="1" applyFont="1" applyFill="1">
      <alignment vertical="center"/>
    </xf>
    <xf numFmtId="176" fontId="0" fillId="0" borderId="0" xfId="0" applyNumberFormat="1">
      <alignment vertical="center"/>
    </xf>
    <xf numFmtId="181" fontId="0" fillId="0" borderId="0" xfId="0" applyNumberFormat="1">
      <alignment vertical="center"/>
    </xf>
    <xf numFmtId="0" fontId="22" fillId="5" borderId="0" xfId="0" applyFont="1" applyFill="1" applyAlignment="1">
      <alignment horizontal="left" vertical="center" readingOrder="1"/>
    </xf>
    <xf numFmtId="0" fontId="0" fillId="0" borderId="0" xfId="0" applyAlignment="1">
      <alignment horizontal="center" vertical="center"/>
    </xf>
    <xf numFmtId="14" fontId="0" fillId="6" borderId="8" xfId="0" applyNumberFormat="1" applyFill="1" applyBorder="1">
      <alignment vertical="center"/>
    </xf>
    <xf numFmtId="0" fontId="0" fillId="6" borderId="10" xfId="0" applyFill="1" applyBorder="1" applyAlignment="1">
      <alignment horizontal="center" vertical="center"/>
    </xf>
    <xf numFmtId="14" fontId="0" fillId="6" borderId="11" xfId="0" applyNumberFormat="1" applyFill="1" applyBorder="1">
      <alignment vertical="center"/>
    </xf>
    <xf numFmtId="0" fontId="0" fillId="6" borderId="12" xfId="0" applyFill="1" applyBorder="1" applyAlignment="1">
      <alignment horizontal="center" vertical="center"/>
    </xf>
    <xf numFmtId="14" fontId="0" fillId="6" borderId="4" xfId="0" applyNumberFormat="1" applyFill="1" applyBorder="1">
      <alignment vertical="center"/>
    </xf>
    <xf numFmtId="0" fontId="0" fillId="6" borderId="6" xfId="0" applyFill="1" applyBorder="1" applyAlignment="1">
      <alignment horizontal="center" vertical="center"/>
    </xf>
    <xf numFmtId="0" fontId="0" fillId="6" borderId="5" xfId="0" applyFill="1" applyBorder="1" applyAlignment="1">
      <alignment horizontal="center" vertical="center"/>
    </xf>
    <xf numFmtId="14" fontId="0" fillId="6" borderId="19" xfId="0" applyNumberFormat="1" applyFill="1" applyBorder="1">
      <alignment vertical="center"/>
    </xf>
    <xf numFmtId="0" fontId="0" fillId="6" borderId="43" xfId="0" applyFill="1" applyBorder="1" applyAlignment="1">
      <alignment horizontal="center" vertical="center"/>
    </xf>
    <xf numFmtId="182" fontId="0" fillId="6" borderId="20" xfId="0" applyNumberFormat="1" applyFill="1" applyBorder="1" applyAlignment="1">
      <alignment horizontal="center" vertical="center"/>
    </xf>
    <xf numFmtId="182" fontId="0" fillId="6" borderId="7" xfId="0" applyNumberFormat="1" applyFill="1" applyBorder="1" applyAlignment="1">
      <alignment horizontal="center" vertical="center"/>
    </xf>
    <xf numFmtId="182" fontId="0" fillId="6" borderId="5" xfId="0" applyNumberFormat="1" applyFill="1" applyBorder="1" applyAlignment="1">
      <alignment horizontal="center" vertical="center"/>
    </xf>
    <xf numFmtId="0" fontId="0" fillId="0" borderId="46" xfId="0" applyBorder="1" applyAlignment="1">
      <alignment horizontal="center" vertical="center"/>
    </xf>
    <xf numFmtId="0" fontId="0" fillId="0" borderId="47" xfId="0" applyBorder="1" applyAlignment="1">
      <alignment horizontal="center" vertical="center"/>
    </xf>
    <xf numFmtId="0" fontId="0" fillId="0" borderId="48" xfId="0" applyBorder="1" applyAlignment="1">
      <alignment horizontal="center" vertical="center"/>
    </xf>
    <xf numFmtId="0" fontId="0" fillId="0" borderId="50" xfId="0" applyBorder="1" applyAlignment="1">
      <alignment horizontal="center" vertical="center"/>
    </xf>
    <xf numFmtId="0" fontId="0" fillId="0" borderId="51" xfId="0" applyBorder="1" applyAlignment="1">
      <alignment horizontal="center" vertical="center"/>
    </xf>
    <xf numFmtId="14" fontId="0" fillId="6" borderId="52" xfId="0" applyNumberFormat="1" applyFill="1" applyBorder="1">
      <alignment vertical="center"/>
    </xf>
    <xf numFmtId="182" fontId="0" fillId="6" borderId="41" xfId="0" applyNumberFormat="1" applyFill="1" applyBorder="1" applyAlignment="1">
      <alignment horizontal="center" vertical="center"/>
    </xf>
    <xf numFmtId="0" fontId="0" fillId="6" borderId="53" xfId="0" applyFill="1" applyBorder="1" applyAlignment="1">
      <alignment horizontal="center" vertical="center"/>
    </xf>
    <xf numFmtId="0" fontId="0" fillId="0" borderId="45" xfId="0" applyBorder="1" applyAlignment="1">
      <alignment horizontal="center" vertical="center"/>
    </xf>
    <xf numFmtId="182" fontId="0" fillId="6" borderId="9" xfId="0" applyNumberFormat="1" applyFill="1" applyBorder="1" applyAlignment="1">
      <alignment horizontal="center" vertical="center"/>
    </xf>
    <xf numFmtId="182" fontId="0" fillId="0" borderId="0" xfId="0" applyNumberFormat="1">
      <alignment vertical="center"/>
    </xf>
    <xf numFmtId="0" fontId="0" fillId="6" borderId="4" xfId="0" applyFill="1" applyBorder="1" applyAlignment="1">
      <alignment horizontal="center" vertical="center"/>
    </xf>
    <xf numFmtId="0" fontId="0" fillId="6" borderId="57" xfId="0" applyFill="1" applyBorder="1" applyAlignment="1">
      <alignment horizontal="center" vertical="center"/>
    </xf>
    <xf numFmtId="0" fontId="0" fillId="0" borderId="55" xfId="0" applyBorder="1" applyAlignment="1">
      <alignment horizontal="center" vertical="center"/>
    </xf>
    <xf numFmtId="0" fontId="0" fillId="0" borderId="38" xfId="0" applyBorder="1" applyAlignment="1">
      <alignment horizontal="center" vertical="center"/>
    </xf>
    <xf numFmtId="0" fontId="0" fillId="0" borderId="42" xfId="0" applyBorder="1" applyAlignment="1">
      <alignment horizontal="center" vertical="center"/>
    </xf>
    <xf numFmtId="182" fontId="0" fillId="0" borderId="0" xfId="0" applyNumberFormat="1" applyAlignment="1">
      <alignment horizontal="center" vertical="center"/>
    </xf>
    <xf numFmtId="0" fontId="0" fillId="0" borderId="0" xfId="0" applyAlignment="1">
      <alignment horizontal="left" vertical="center"/>
    </xf>
    <xf numFmtId="0" fontId="0" fillId="5" borderId="22" xfId="0" applyFill="1" applyBorder="1" applyAlignment="1">
      <alignment horizontal="center" vertical="center"/>
    </xf>
    <xf numFmtId="0" fontId="0" fillId="5" borderId="23" xfId="0" applyFill="1" applyBorder="1" applyAlignment="1">
      <alignment horizontal="center" vertical="center"/>
    </xf>
    <xf numFmtId="14" fontId="0" fillId="5" borderId="13" xfId="0" applyNumberFormat="1" applyFill="1" applyBorder="1" applyAlignment="1">
      <alignment horizontal="center" vertical="center"/>
    </xf>
    <xf numFmtId="14" fontId="0" fillId="5" borderId="17" xfId="0" applyNumberFormat="1" applyFill="1" applyBorder="1" applyAlignment="1">
      <alignment horizontal="center" vertical="center"/>
    </xf>
    <xf numFmtId="14" fontId="0" fillId="5" borderId="14" xfId="0" applyNumberFormat="1" applyFill="1" applyBorder="1" applyAlignment="1">
      <alignment horizontal="center" vertical="center"/>
    </xf>
    <xf numFmtId="0" fontId="0" fillId="5" borderId="31" xfId="0" applyFill="1" applyBorder="1" applyAlignment="1">
      <alignment horizontal="center" vertical="center"/>
    </xf>
    <xf numFmtId="0" fontId="0" fillId="5" borderId="32" xfId="0" applyFill="1" applyBorder="1" applyAlignment="1">
      <alignment horizontal="center" vertical="center"/>
    </xf>
    <xf numFmtId="0" fontId="0" fillId="0" borderId="8"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3" fontId="34" fillId="5" borderId="5" xfId="0" applyNumberFormat="1" applyFont="1" applyFill="1" applyBorder="1" applyAlignment="1">
      <alignment horizontal="center" vertical="center" wrapText="1" readingOrder="1"/>
    </xf>
    <xf numFmtId="0" fontId="0" fillId="5" borderId="8" xfId="0" applyFill="1" applyBorder="1" applyAlignment="1">
      <alignment horizontal="center" vertical="center"/>
    </xf>
    <xf numFmtId="0" fontId="30" fillId="5" borderId="9" xfId="2" applyFill="1" applyBorder="1" applyAlignment="1">
      <alignment horizontal="center"/>
    </xf>
    <xf numFmtId="0" fontId="30" fillId="5" borderId="10" xfId="2" applyFill="1" applyBorder="1" applyAlignment="1">
      <alignment horizontal="center"/>
    </xf>
    <xf numFmtId="0" fontId="0" fillId="5" borderId="11" xfId="0" applyFill="1" applyBorder="1" applyAlignment="1">
      <alignment horizontal="center" vertical="center"/>
    </xf>
    <xf numFmtId="0" fontId="0" fillId="5" borderId="4" xfId="0" applyFill="1" applyBorder="1" applyAlignment="1">
      <alignment horizontal="center" vertical="center"/>
    </xf>
    <xf numFmtId="0" fontId="0" fillId="5" borderId="5" xfId="0" applyFill="1" applyBorder="1" applyAlignment="1">
      <alignment horizontal="center" vertical="center"/>
    </xf>
    <xf numFmtId="0" fontId="30" fillId="0" borderId="0" xfId="2" applyAlignment="1">
      <alignment horizontal="center"/>
    </xf>
    <xf numFmtId="3" fontId="34" fillId="0" borderId="0" xfId="0" applyNumberFormat="1" applyFont="1" applyAlignment="1">
      <alignment horizontal="center" vertical="center" wrapText="1" readingOrder="1"/>
    </xf>
    <xf numFmtId="0" fontId="0" fillId="12" borderId="9" xfId="0" applyFill="1" applyBorder="1" applyAlignment="1">
      <alignment horizontal="center" vertical="center"/>
    </xf>
    <xf numFmtId="0" fontId="0" fillId="12" borderId="10" xfId="0" applyFill="1" applyBorder="1" applyAlignment="1">
      <alignment horizontal="center" vertical="center"/>
    </xf>
    <xf numFmtId="0" fontId="30" fillId="6" borderId="11" xfId="2" applyFill="1" applyBorder="1" applyAlignment="1">
      <alignment horizontal="center"/>
    </xf>
    <xf numFmtId="3" fontId="34" fillId="6" borderId="7" xfId="0" applyNumberFormat="1" applyFont="1" applyFill="1" applyBorder="1" applyAlignment="1">
      <alignment horizontal="center" vertical="center" wrapText="1" readingOrder="1"/>
    </xf>
    <xf numFmtId="0" fontId="0" fillId="6" borderId="11" xfId="0" applyFill="1" applyBorder="1" applyAlignment="1">
      <alignment horizontal="center" vertical="center"/>
    </xf>
    <xf numFmtId="0" fontId="0" fillId="6" borderId="7" xfId="0" applyFill="1" applyBorder="1" applyAlignment="1">
      <alignment horizontal="center" vertical="center"/>
    </xf>
    <xf numFmtId="0" fontId="0" fillId="6" borderId="4" xfId="0" applyFill="1" applyBorder="1">
      <alignment vertical="center"/>
    </xf>
    <xf numFmtId="0" fontId="0" fillId="6" borderId="5" xfId="0" applyFill="1" applyBorder="1">
      <alignment vertical="center"/>
    </xf>
    <xf numFmtId="0" fontId="0" fillId="6" borderId="6" xfId="0" applyFill="1" applyBorder="1">
      <alignment vertical="center"/>
    </xf>
    <xf numFmtId="3" fontId="34" fillId="5" borderId="6" xfId="0" applyNumberFormat="1" applyFont="1" applyFill="1" applyBorder="1" applyAlignment="1">
      <alignment horizontal="center" vertical="center" wrapText="1" readingOrder="1"/>
    </xf>
    <xf numFmtId="3" fontId="34" fillId="5" borderId="4" xfId="0" applyNumberFormat="1" applyFont="1" applyFill="1" applyBorder="1" applyAlignment="1">
      <alignment horizontal="center" vertical="center" wrapText="1" readingOrder="1"/>
    </xf>
    <xf numFmtId="0" fontId="0" fillId="12" borderId="8" xfId="0" applyFill="1" applyBorder="1" applyAlignment="1">
      <alignment horizontal="center" vertical="center"/>
    </xf>
    <xf numFmtId="0" fontId="0" fillId="5" borderId="7" xfId="0" applyFill="1" applyBorder="1" applyAlignment="1">
      <alignment horizontal="center" vertical="center"/>
    </xf>
    <xf numFmtId="0" fontId="30" fillId="5" borderId="7" xfId="2" applyFill="1" applyBorder="1" applyAlignment="1">
      <alignment horizontal="center"/>
    </xf>
    <xf numFmtId="0" fontId="30" fillId="5" borderId="12" xfId="2" applyFill="1" applyBorder="1" applyAlignment="1">
      <alignment horizontal="center"/>
    </xf>
    <xf numFmtId="0" fontId="30" fillId="5" borderId="5" xfId="2" applyFill="1" applyBorder="1" applyAlignment="1">
      <alignment horizontal="center"/>
    </xf>
    <xf numFmtId="0" fontId="30" fillId="5" borderId="6" xfId="2" applyFill="1" applyBorder="1" applyAlignment="1">
      <alignment horizontal="center"/>
    </xf>
    <xf numFmtId="177" fontId="0" fillId="6" borderId="11" xfId="0" applyNumberFormat="1" applyFill="1" applyBorder="1" applyAlignment="1">
      <alignment horizontal="center" vertical="center"/>
    </xf>
    <xf numFmtId="177" fontId="0" fillId="6" borderId="4" xfId="0" applyNumberFormat="1" applyFill="1" applyBorder="1" applyAlignment="1">
      <alignment horizontal="center" vertical="center"/>
    </xf>
    <xf numFmtId="177" fontId="0" fillId="5" borderId="11" xfId="0" applyNumberFormat="1" applyFill="1" applyBorder="1" applyAlignment="1">
      <alignment horizontal="center" vertical="center"/>
    </xf>
    <xf numFmtId="0" fontId="0" fillId="5" borderId="12" xfId="0" applyFill="1" applyBorder="1" applyAlignment="1">
      <alignment horizontal="center" vertical="center"/>
    </xf>
    <xf numFmtId="177" fontId="5" fillId="13" borderId="8" xfId="0" applyNumberFormat="1" applyFont="1" applyFill="1" applyBorder="1" applyAlignment="1">
      <alignment horizontal="center" vertical="center"/>
    </xf>
    <xf numFmtId="178" fontId="5" fillId="13" borderId="9" xfId="0" applyNumberFormat="1" applyFont="1" applyFill="1" applyBorder="1" applyAlignment="1">
      <alignment horizontal="center" vertical="center"/>
    </xf>
    <xf numFmtId="178" fontId="5" fillId="13" borderId="10" xfId="0" quotePrefix="1" applyNumberFormat="1" applyFont="1" applyFill="1" applyBorder="1" applyAlignment="1">
      <alignment horizontal="center" vertical="center"/>
    </xf>
    <xf numFmtId="178" fontId="0" fillId="5" borderId="12" xfId="0" applyNumberFormat="1" applyFill="1" applyBorder="1" applyAlignment="1">
      <alignment horizontal="center" vertical="center"/>
    </xf>
    <xf numFmtId="0" fontId="5" fillId="14" borderId="8" xfId="0" applyFont="1" applyFill="1" applyBorder="1" applyAlignment="1">
      <alignment horizontal="center" vertical="center"/>
    </xf>
    <xf numFmtId="0" fontId="5" fillId="14" borderId="9" xfId="0" applyFont="1" applyFill="1" applyBorder="1" applyAlignment="1">
      <alignment horizontal="center" vertical="center"/>
    </xf>
    <xf numFmtId="0" fontId="5" fillId="14" borderId="10" xfId="0" applyFont="1" applyFill="1" applyBorder="1" applyAlignment="1">
      <alignment horizontal="center" vertical="center"/>
    </xf>
    <xf numFmtId="178" fontId="0" fillId="6" borderId="7" xfId="6" applyNumberFormat="1" applyFont="1" applyFill="1" applyBorder="1" applyAlignment="1">
      <alignment horizontal="center"/>
    </xf>
    <xf numFmtId="178" fontId="0" fillId="6" borderId="12" xfId="6" applyNumberFormat="1" applyFont="1" applyFill="1" applyBorder="1" applyAlignment="1">
      <alignment horizontal="center"/>
    </xf>
    <xf numFmtId="178" fontId="0" fillId="6" borderId="5" xfId="6" applyNumberFormat="1" applyFont="1" applyFill="1" applyBorder="1" applyAlignment="1">
      <alignment horizontal="center"/>
    </xf>
    <xf numFmtId="178" fontId="0" fillId="6" borderId="6" xfId="6" applyNumberFormat="1" applyFont="1" applyFill="1" applyBorder="1" applyAlignment="1">
      <alignment horizontal="center"/>
    </xf>
    <xf numFmtId="178" fontId="0" fillId="5" borderId="7" xfId="6" applyNumberFormat="1" applyFont="1" applyFill="1" applyBorder="1" applyAlignment="1">
      <alignment horizontal="center"/>
    </xf>
    <xf numFmtId="178" fontId="0" fillId="5" borderId="12" xfId="6" applyNumberFormat="1" applyFont="1" applyFill="1" applyBorder="1" applyAlignment="1">
      <alignment horizontal="center"/>
    </xf>
    <xf numFmtId="178" fontId="0" fillId="5" borderId="5" xfId="6" applyNumberFormat="1" applyFont="1" applyFill="1" applyBorder="1" applyAlignment="1">
      <alignment horizontal="center"/>
    </xf>
    <xf numFmtId="178" fontId="0" fillId="5" borderId="6" xfId="6" applyNumberFormat="1" applyFont="1" applyFill="1" applyBorder="1" applyAlignment="1">
      <alignment horizontal="center"/>
    </xf>
    <xf numFmtId="0" fontId="0" fillId="6" borderId="12" xfId="0" applyFill="1" applyBorder="1">
      <alignment vertical="center"/>
    </xf>
    <xf numFmtId="0" fontId="35" fillId="2" borderId="8" xfId="0" applyFont="1" applyFill="1" applyBorder="1" applyAlignment="1">
      <alignment horizontal="center"/>
    </xf>
    <xf numFmtId="0" fontId="35" fillId="2" borderId="10" xfId="0" applyFont="1" applyFill="1" applyBorder="1" applyAlignment="1">
      <alignment horizontal="center"/>
    </xf>
    <xf numFmtId="0" fontId="0" fillId="2" borderId="11" xfId="0" applyFill="1" applyBorder="1" applyAlignment="1">
      <alignment horizontal="center"/>
    </xf>
    <xf numFmtId="0" fontId="0" fillId="2" borderId="12" xfId="0" applyFill="1" applyBorder="1" applyAlignment="1">
      <alignment horizont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2" borderId="4" xfId="0" applyFill="1" applyBorder="1" applyAlignment="1">
      <alignment horizontal="center" vertical="center"/>
    </xf>
    <xf numFmtId="0" fontId="0" fillId="2" borderId="6" xfId="0" applyFill="1" applyBorder="1" applyAlignment="1">
      <alignment horizontal="center" vertical="center"/>
    </xf>
    <xf numFmtId="0" fontId="5" fillId="0" borderId="0" xfId="0" applyFont="1">
      <alignment vertical="center"/>
    </xf>
    <xf numFmtId="0" fontId="5" fillId="13" borderId="8" xfId="0" applyFont="1" applyFill="1" applyBorder="1" applyAlignment="1">
      <alignment horizontal="center" vertical="center"/>
    </xf>
    <xf numFmtId="0" fontId="5" fillId="13" borderId="9" xfId="0" applyFont="1" applyFill="1" applyBorder="1" applyAlignment="1">
      <alignment horizontal="center" vertical="center"/>
    </xf>
    <xf numFmtId="0" fontId="5" fillId="13" borderId="10" xfId="0" applyFont="1" applyFill="1" applyBorder="1" applyAlignment="1">
      <alignment horizontal="center" vertical="center"/>
    </xf>
    <xf numFmtId="183" fontId="0" fillId="5" borderId="12" xfId="0" applyNumberFormat="1" applyFill="1" applyBorder="1" applyAlignment="1">
      <alignment horizontal="center" vertical="center"/>
    </xf>
    <xf numFmtId="183" fontId="0" fillId="5" borderId="6" xfId="0" applyNumberFormat="1" applyFill="1" applyBorder="1" applyAlignment="1">
      <alignment horizontal="center" vertical="center"/>
    </xf>
    <xf numFmtId="0" fontId="5" fillId="0" borderId="12" xfId="0" applyFont="1" applyBorder="1" applyAlignment="1">
      <alignment horizontal="center" vertical="center"/>
    </xf>
    <xf numFmtId="0" fontId="5" fillId="0" borderId="6" xfId="0" applyFont="1" applyBorder="1" applyAlignment="1">
      <alignment horizontal="center" vertical="center"/>
    </xf>
    <xf numFmtId="10" fontId="0" fillId="0" borderId="0" xfId="0" applyNumberFormat="1">
      <alignment vertical="center"/>
    </xf>
    <xf numFmtId="0" fontId="36" fillId="6" borderId="11" xfId="0" applyFont="1" applyFill="1" applyBorder="1" applyAlignment="1">
      <alignment horizontal="center" vertical="center"/>
    </xf>
    <xf numFmtId="0" fontId="36" fillId="6" borderId="7" xfId="0" applyFont="1" applyFill="1" applyBorder="1" applyAlignment="1">
      <alignment horizontal="center" vertical="center"/>
    </xf>
    <xf numFmtId="178" fontId="36" fillId="6" borderId="7" xfId="0" applyNumberFormat="1" applyFont="1" applyFill="1" applyBorder="1" applyAlignment="1">
      <alignment horizontal="center" vertical="center"/>
    </xf>
    <xf numFmtId="178" fontId="36" fillId="6" borderId="12" xfId="0" applyNumberFormat="1" applyFont="1" applyFill="1" applyBorder="1" applyAlignment="1">
      <alignment horizontal="center" vertical="center"/>
    </xf>
    <xf numFmtId="0" fontId="36" fillId="6" borderId="4" xfId="0" applyFont="1" applyFill="1" applyBorder="1" applyAlignment="1">
      <alignment horizontal="center" vertical="center"/>
    </xf>
    <xf numFmtId="0" fontId="36" fillId="6" borderId="5" xfId="0" applyFont="1" applyFill="1" applyBorder="1" applyAlignment="1">
      <alignment horizontal="center" vertical="center"/>
    </xf>
    <xf numFmtId="178" fontId="36" fillId="6" borderId="5" xfId="0" applyNumberFormat="1" applyFont="1" applyFill="1" applyBorder="1" applyAlignment="1">
      <alignment horizontal="center" vertical="center"/>
    </xf>
    <xf numFmtId="178" fontId="36" fillId="6" borderId="6" xfId="0" applyNumberFormat="1" applyFont="1" applyFill="1" applyBorder="1" applyAlignment="1">
      <alignment horizontal="center" vertical="center"/>
    </xf>
    <xf numFmtId="0" fontId="38" fillId="0" borderId="0" xfId="0" applyFont="1" applyAlignment="1">
      <alignment horizontal="center" vertical="center"/>
    </xf>
    <xf numFmtId="0" fontId="29" fillId="2" borderId="7" xfId="1" applyFill="1" applyBorder="1">
      <alignment vertical="center"/>
    </xf>
    <xf numFmtId="0" fontId="29" fillId="2" borderId="7" xfId="1" applyFill="1" applyBorder="1" applyAlignment="1">
      <alignment vertical="center" wrapText="1"/>
    </xf>
    <xf numFmtId="0" fontId="0" fillId="5" borderId="7" xfId="0" applyFill="1" applyBorder="1" applyAlignment="1"/>
    <xf numFmtId="0" fontId="0" fillId="0" borderId="8" xfId="0" applyBorder="1">
      <alignment vertical="center"/>
    </xf>
    <xf numFmtId="0" fontId="15" fillId="0" borderId="24" xfId="0" applyFont="1" applyBorder="1" applyAlignment="1">
      <alignment vertical="center" wrapText="1" readingOrder="1"/>
    </xf>
    <xf numFmtId="0" fontId="0" fillId="5" borderId="7" xfId="0" applyFill="1" applyBorder="1">
      <alignment vertical="center"/>
    </xf>
    <xf numFmtId="14" fontId="0" fillId="5" borderId="7" xfId="0" applyNumberFormat="1" applyFill="1" applyBorder="1">
      <alignment vertical="center"/>
    </xf>
    <xf numFmtId="10" fontId="0" fillId="5" borderId="7" xfId="0" applyNumberFormat="1" applyFill="1" applyBorder="1">
      <alignment vertical="center"/>
    </xf>
    <xf numFmtId="0" fontId="36" fillId="6" borderId="19" xfId="0" applyFont="1" applyFill="1" applyBorder="1" applyAlignment="1">
      <alignment horizontal="center" vertical="center"/>
    </xf>
    <xf numFmtId="0" fontId="36" fillId="6" borderId="20" xfId="0" applyFont="1" applyFill="1" applyBorder="1" applyAlignment="1">
      <alignment horizontal="center" vertical="center"/>
    </xf>
    <xf numFmtId="178" fontId="36" fillId="6" borderId="20" xfId="0" applyNumberFormat="1" applyFont="1" applyFill="1" applyBorder="1" applyAlignment="1">
      <alignment horizontal="center" vertical="center"/>
    </xf>
    <xf numFmtId="178" fontId="36" fillId="6" borderId="43" xfId="0" applyNumberFormat="1" applyFont="1" applyFill="1" applyBorder="1" applyAlignment="1">
      <alignment horizontal="center" vertical="center"/>
    </xf>
    <xf numFmtId="0" fontId="37" fillId="6" borderId="1" xfId="0" applyFont="1" applyFill="1" applyBorder="1" applyAlignment="1">
      <alignment horizontal="center" vertical="center"/>
    </xf>
    <xf numFmtId="0" fontId="37" fillId="6" borderId="2" xfId="0" applyFont="1" applyFill="1" applyBorder="1" applyAlignment="1">
      <alignment horizontal="center" vertical="center"/>
    </xf>
    <xf numFmtId="0" fontId="37" fillId="6" borderId="3" xfId="0" applyFont="1" applyFill="1" applyBorder="1" applyAlignment="1">
      <alignment horizontal="center" vertical="center"/>
    </xf>
    <xf numFmtId="0" fontId="4" fillId="3" borderId="0" xfId="0" applyFont="1" applyFill="1" applyAlignment="1">
      <alignment horizontal="center" vertical="center" wrapText="1" readingOrder="1"/>
    </xf>
    <xf numFmtId="0" fontId="4" fillId="0" borderId="0" xfId="0" applyFont="1" applyAlignment="1">
      <alignment horizontal="center" vertical="center" wrapText="1" readingOrder="1"/>
    </xf>
    <xf numFmtId="0" fontId="0" fillId="5" borderId="10" xfId="0" applyFill="1" applyBorder="1" applyAlignment="1">
      <alignment horizontal="center" vertical="center"/>
    </xf>
    <xf numFmtId="0" fontId="0" fillId="5" borderId="6" xfId="0" applyFill="1" applyBorder="1" applyAlignment="1">
      <alignment horizontal="center" vertical="center"/>
    </xf>
    <xf numFmtId="14" fontId="0" fillId="5" borderId="19" xfId="0" applyNumberFormat="1" applyFill="1" applyBorder="1">
      <alignment vertical="center"/>
    </xf>
    <xf numFmtId="182" fontId="0" fillId="5" borderId="20" xfId="0" applyNumberFormat="1" applyFill="1" applyBorder="1" applyAlignment="1">
      <alignment horizontal="center" vertical="center"/>
    </xf>
    <xf numFmtId="0" fontId="0" fillId="5" borderId="43" xfId="0" applyFill="1" applyBorder="1" applyAlignment="1">
      <alignment horizontal="center" vertical="center"/>
    </xf>
    <xf numFmtId="14" fontId="0" fillId="5" borderId="52" xfId="0" applyNumberFormat="1" applyFill="1" applyBorder="1">
      <alignment vertical="center"/>
    </xf>
    <xf numFmtId="182" fontId="0" fillId="5" borderId="41" xfId="0" applyNumberFormat="1" applyFill="1" applyBorder="1" applyAlignment="1">
      <alignment horizontal="center" vertical="center"/>
    </xf>
    <xf numFmtId="0" fontId="0" fillId="5" borderId="53" xfId="0" applyFill="1" applyBorder="1" applyAlignment="1">
      <alignment horizontal="center" vertical="center"/>
    </xf>
    <xf numFmtId="14" fontId="0" fillId="5" borderId="8" xfId="0" applyNumberFormat="1" applyFill="1" applyBorder="1">
      <alignment vertical="center"/>
    </xf>
    <xf numFmtId="182" fontId="0" fillId="5" borderId="9" xfId="0" applyNumberFormat="1" applyFill="1" applyBorder="1" applyAlignment="1">
      <alignment horizontal="center" vertical="center"/>
    </xf>
    <xf numFmtId="14" fontId="0" fillId="5" borderId="11" xfId="0" applyNumberFormat="1" applyFill="1" applyBorder="1">
      <alignment vertical="center"/>
    </xf>
    <xf numFmtId="182" fontId="0" fillId="5" borderId="7" xfId="0" applyNumberFormat="1" applyFill="1" applyBorder="1" applyAlignment="1">
      <alignment horizontal="center" vertical="center"/>
    </xf>
    <xf numFmtId="14" fontId="0" fillId="5" borderId="4" xfId="0" applyNumberFormat="1" applyFill="1" applyBorder="1">
      <alignment vertical="center"/>
    </xf>
    <xf numFmtId="182" fontId="0" fillId="5" borderId="5" xfId="0" applyNumberFormat="1" applyFill="1" applyBorder="1" applyAlignment="1">
      <alignment horizontal="center" vertical="center"/>
    </xf>
    <xf numFmtId="0" fontId="0" fillId="2" borderId="11" xfId="0" applyFill="1" applyBorder="1">
      <alignment vertical="center"/>
    </xf>
    <xf numFmtId="0" fontId="0" fillId="2" borderId="12" xfId="0" applyFill="1" applyBorder="1">
      <alignment vertical="center"/>
    </xf>
    <xf numFmtId="0" fontId="0" fillId="2" borderId="4" xfId="0" applyFill="1" applyBorder="1">
      <alignment vertical="center"/>
    </xf>
    <xf numFmtId="0" fontId="0" fillId="2" borderId="6" xfId="0" applyFill="1" applyBorder="1">
      <alignment vertical="center"/>
    </xf>
    <xf numFmtId="0" fontId="28" fillId="15" borderId="8" xfId="0" applyFont="1" applyFill="1" applyBorder="1" applyAlignment="1">
      <alignment horizontal="center" vertical="center" wrapText="1" readingOrder="1"/>
    </xf>
    <xf numFmtId="0" fontId="28" fillId="15" borderId="9" xfId="0" applyFont="1" applyFill="1" applyBorder="1" applyAlignment="1">
      <alignment horizontal="center" vertical="center" wrapText="1" readingOrder="1"/>
    </xf>
    <xf numFmtId="0" fontId="40" fillId="0" borderId="11" xfId="0" applyFont="1" applyBorder="1" applyAlignment="1">
      <alignment horizontal="center" vertical="center" wrapText="1" readingOrder="1"/>
    </xf>
    <xf numFmtId="0" fontId="40" fillId="11" borderId="11" xfId="0" applyFont="1" applyFill="1" applyBorder="1" applyAlignment="1">
      <alignment horizontal="center" vertical="center" wrapText="1" readingOrder="1"/>
    </xf>
    <xf numFmtId="0" fontId="43" fillId="15" borderId="9" xfId="0" applyFont="1" applyFill="1" applyBorder="1" applyAlignment="1">
      <alignment horizontal="center" vertical="center" wrapText="1" readingOrder="1"/>
    </xf>
    <xf numFmtId="0" fontId="40" fillId="5" borderId="7" xfId="0" applyFont="1" applyFill="1" applyBorder="1" applyAlignment="1">
      <alignment horizontal="center" vertical="center" wrapText="1" readingOrder="1"/>
    </xf>
    <xf numFmtId="3" fontId="41" fillId="5" borderId="12" xfId="0" applyNumberFormat="1" applyFont="1" applyFill="1" applyBorder="1" applyAlignment="1">
      <alignment horizontal="center" vertical="center" wrapText="1" readingOrder="1"/>
    </xf>
    <xf numFmtId="0" fontId="40" fillId="5" borderId="6" xfId="0" applyFont="1" applyFill="1" applyBorder="1" applyAlignment="1">
      <alignment horizontal="center" vertical="center" wrapText="1" readingOrder="1"/>
    </xf>
    <xf numFmtId="0" fontId="0" fillId="0" borderId="18" xfId="0" applyBorder="1">
      <alignment vertical="center"/>
    </xf>
    <xf numFmtId="0" fontId="0" fillId="0" borderId="16" xfId="0" applyBorder="1">
      <alignment vertical="center"/>
    </xf>
    <xf numFmtId="0" fontId="5" fillId="2" borderId="0" xfId="0" applyFont="1" applyFill="1" applyAlignment="1">
      <alignment horizontal="center" vertical="center"/>
    </xf>
    <xf numFmtId="0" fontId="0" fillId="2" borderId="0" xfId="0" applyFill="1" applyAlignment="1">
      <alignment horizontal="center" vertical="center"/>
    </xf>
    <xf numFmtId="0" fontId="5" fillId="0" borderId="0" xfId="0" applyFont="1" applyAlignment="1">
      <alignment horizontal="center" vertical="center"/>
    </xf>
    <xf numFmtId="0" fontId="0" fillId="0" borderId="15" xfId="0" applyBorder="1" applyAlignment="1">
      <alignment horizontal="center" vertical="center"/>
    </xf>
    <xf numFmtId="0" fontId="39" fillId="0" borderId="11" xfId="0" applyFont="1" applyBorder="1" applyAlignment="1">
      <alignment horizontal="center" vertical="center" wrapText="1" readingOrder="1"/>
    </xf>
    <xf numFmtId="0" fontId="39" fillId="5" borderId="7" xfId="0" applyFont="1" applyFill="1" applyBorder="1" applyAlignment="1">
      <alignment horizontal="center" vertical="center" wrapText="1" readingOrder="1"/>
    </xf>
    <xf numFmtId="0" fontId="45" fillId="5" borderId="7" xfId="0" applyFont="1" applyFill="1" applyBorder="1">
      <alignment vertical="center"/>
    </xf>
    <xf numFmtId="0" fontId="46" fillId="0" borderId="7" xfId="0" applyFont="1" applyBorder="1">
      <alignment vertical="center"/>
    </xf>
    <xf numFmtId="0" fontId="47" fillId="0" borderId="0" xfId="0" applyFont="1" applyAlignment="1">
      <alignment horizontal="left" vertical="center" indent="1" readingOrder="1"/>
    </xf>
    <xf numFmtId="0" fontId="11" fillId="0" borderId="0" xfId="0" applyFont="1" applyAlignment="1">
      <alignment horizontal="left" vertical="center" readingOrder="1"/>
    </xf>
    <xf numFmtId="0" fontId="48" fillId="15" borderId="60" xfId="0" applyFont="1" applyFill="1" applyBorder="1" applyAlignment="1">
      <alignment horizontal="center" vertical="center" wrapText="1" readingOrder="1"/>
    </xf>
    <xf numFmtId="0" fontId="48" fillId="15" borderId="64" xfId="0" applyFont="1" applyFill="1" applyBorder="1" applyAlignment="1">
      <alignment horizontal="center" vertical="center" wrapText="1" readingOrder="1"/>
    </xf>
    <xf numFmtId="0" fontId="40" fillId="0" borderId="64" xfId="0" applyFont="1" applyBorder="1" applyAlignment="1">
      <alignment horizontal="center" vertical="center" wrapText="1" readingOrder="1"/>
    </xf>
    <xf numFmtId="0" fontId="40" fillId="11" borderId="64" xfId="0" applyFont="1" applyFill="1" applyBorder="1" applyAlignment="1">
      <alignment horizontal="center" vertical="center" wrapText="1" readingOrder="1"/>
    </xf>
    <xf numFmtId="0" fontId="40" fillId="11" borderId="66" xfId="0" applyFont="1" applyFill="1" applyBorder="1" applyAlignment="1">
      <alignment horizontal="center" vertical="center" wrapText="1" readingOrder="1"/>
    </xf>
    <xf numFmtId="0" fontId="40" fillId="5" borderId="60" xfId="0" applyFont="1" applyFill="1" applyBorder="1" applyAlignment="1">
      <alignment horizontal="center" vertical="center" wrapText="1" readingOrder="1"/>
    </xf>
    <xf numFmtId="3" fontId="40" fillId="5" borderId="65" xfId="0" applyNumberFormat="1" applyFont="1" applyFill="1" applyBorder="1" applyAlignment="1">
      <alignment horizontal="center" vertical="center" wrapText="1" readingOrder="1"/>
    </xf>
    <xf numFmtId="0" fontId="40" fillId="5" borderId="67" xfId="0" applyFont="1" applyFill="1" applyBorder="1" applyAlignment="1">
      <alignment horizontal="center" vertical="center" wrapText="1" readingOrder="1"/>
    </xf>
    <xf numFmtId="3" fontId="40" fillId="5" borderId="68" xfId="0" applyNumberFormat="1" applyFont="1" applyFill="1" applyBorder="1" applyAlignment="1">
      <alignment horizontal="center" vertical="center" wrapText="1" readingOrder="1"/>
    </xf>
    <xf numFmtId="0" fontId="48" fillId="6" borderId="65" xfId="0" applyFont="1" applyFill="1" applyBorder="1" applyAlignment="1">
      <alignment horizontal="center" vertical="center" wrapText="1" readingOrder="1"/>
    </xf>
    <xf numFmtId="178" fontId="50" fillId="5" borderId="12" xfId="0" applyNumberFormat="1" applyFont="1" applyFill="1" applyBorder="1" applyAlignment="1">
      <alignment horizontal="center" vertical="center"/>
    </xf>
    <xf numFmtId="0" fontId="51" fillId="0" borderId="11" xfId="0" applyFont="1" applyBorder="1" applyAlignment="1">
      <alignment horizontal="center" vertical="center"/>
    </xf>
    <xf numFmtId="0" fontId="51" fillId="5" borderId="7" xfId="0" applyFont="1" applyFill="1" applyBorder="1" applyAlignment="1">
      <alignment horizontal="center" vertical="center"/>
    </xf>
    <xf numFmtId="0" fontId="51" fillId="5" borderId="12" xfId="0" applyFont="1" applyFill="1" applyBorder="1" applyAlignment="1">
      <alignment horizontal="center" vertical="center"/>
    </xf>
    <xf numFmtId="0" fontId="51" fillId="0" borderId="7" xfId="0" applyFont="1" applyBorder="1" applyAlignment="1">
      <alignment horizontal="center" vertical="center"/>
    </xf>
    <xf numFmtId="0" fontId="51" fillId="0" borderId="12" xfId="0" applyFont="1" applyBorder="1" applyAlignment="1">
      <alignment horizontal="center" vertical="center"/>
    </xf>
    <xf numFmtId="0" fontId="52" fillId="5" borderId="7" xfId="0" applyFont="1" applyFill="1" applyBorder="1" applyAlignment="1">
      <alignment horizontal="center" vertical="center"/>
    </xf>
    <xf numFmtId="0" fontId="51" fillId="0" borderId="4" xfId="0" applyFont="1" applyBorder="1" applyAlignment="1">
      <alignment horizontal="center" vertical="center"/>
    </xf>
    <xf numFmtId="0" fontId="51" fillId="0" borderId="5" xfId="0" applyFont="1" applyBorder="1" applyAlignment="1">
      <alignment horizontal="center" vertical="center"/>
    </xf>
    <xf numFmtId="0" fontId="51" fillId="0" borderId="6" xfId="0" applyFont="1" applyBorder="1" applyAlignment="1">
      <alignment horizontal="center" vertical="center"/>
    </xf>
    <xf numFmtId="0" fontId="53" fillId="0" borderId="7" xfId="0" applyFont="1" applyBorder="1" applyAlignment="1">
      <alignment horizontal="center" vertical="center"/>
    </xf>
    <xf numFmtId="0" fontId="0" fillId="6" borderId="8" xfId="0" applyFill="1" applyBorder="1" applyAlignment="1">
      <alignment horizontal="center" vertical="center"/>
    </xf>
    <xf numFmtId="3" fontId="34" fillId="6" borderId="12" xfId="0" applyNumberFormat="1" applyFont="1" applyFill="1" applyBorder="1" applyAlignment="1">
      <alignment horizontal="center" vertical="center" wrapText="1" readingOrder="1"/>
    </xf>
    <xf numFmtId="184" fontId="28" fillId="5" borderId="10" xfId="0" applyNumberFormat="1" applyFont="1" applyFill="1" applyBorder="1" applyAlignment="1">
      <alignment horizontal="center" vertical="center" wrapText="1" readingOrder="1"/>
    </xf>
    <xf numFmtId="0" fontId="0" fillId="6" borderId="0" xfId="0" applyFill="1">
      <alignment vertical="center"/>
    </xf>
    <xf numFmtId="0" fontId="54" fillId="16" borderId="73" xfId="0" applyFont="1" applyFill="1" applyBorder="1" applyAlignment="1">
      <alignment horizontal="center" vertical="center" wrapText="1" readingOrder="1"/>
    </xf>
    <xf numFmtId="0" fontId="56" fillId="0" borderId="7" xfId="0" applyFont="1" applyBorder="1" applyAlignment="1">
      <alignment horizontal="center" vertical="center" wrapText="1" readingOrder="1"/>
    </xf>
    <xf numFmtId="0" fontId="54" fillId="16" borderId="60" xfId="0" applyFont="1" applyFill="1" applyBorder="1" applyAlignment="1">
      <alignment horizontal="center" vertical="center" wrapText="1" readingOrder="1"/>
    </xf>
    <xf numFmtId="185" fontId="57" fillId="5" borderId="7" xfId="0" applyNumberFormat="1" applyFont="1" applyFill="1" applyBorder="1" applyAlignment="1">
      <alignment horizontal="center" vertical="center" wrapText="1" readingOrder="1"/>
    </xf>
    <xf numFmtId="9" fontId="57" fillId="5" borderId="7" xfId="0" applyNumberFormat="1" applyFont="1" applyFill="1" applyBorder="1" applyAlignment="1">
      <alignment horizontal="center" vertical="center" wrapText="1" readingOrder="1"/>
    </xf>
    <xf numFmtId="0" fontId="58" fillId="0" borderId="80" xfId="0" applyFont="1" applyBorder="1" applyAlignment="1">
      <alignment horizontal="center" vertical="center" wrapText="1" readingOrder="1"/>
    </xf>
    <xf numFmtId="0" fontId="58" fillId="6" borderId="60" xfId="0" applyFont="1" applyFill="1" applyBorder="1" applyAlignment="1">
      <alignment horizontal="center" vertical="center" wrapText="1" readingOrder="1"/>
    </xf>
    <xf numFmtId="0" fontId="59" fillId="6" borderId="60" xfId="0" applyFont="1" applyFill="1" applyBorder="1" applyAlignment="1">
      <alignment horizontal="left" vertical="center" wrapText="1" readingOrder="1"/>
    </xf>
    <xf numFmtId="0" fontId="60" fillId="5" borderId="81" xfId="0" applyFont="1" applyFill="1" applyBorder="1" applyAlignment="1">
      <alignment horizontal="center" vertical="center" wrapText="1" readingOrder="1"/>
    </xf>
    <xf numFmtId="178" fontId="60" fillId="5" borderId="60" xfId="0" applyNumberFormat="1" applyFont="1" applyFill="1" applyBorder="1" applyAlignment="1">
      <alignment horizontal="center" vertical="center" wrapText="1" readingOrder="1"/>
    </xf>
    <xf numFmtId="185" fontId="60" fillId="5" borderId="60" xfId="0" applyNumberFormat="1" applyFont="1" applyFill="1" applyBorder="1" applyAlignment="1">
      <alignment horizontal="center" vertical="center" wrapText="1" readingOrder="1"/>
    </xf>
    <xf numFmtId="10" fontId="60" fillId="5" borderId="60" xfId="0" applyNumberFormat="1" applyFont="1" applyFill="1" applyBorder="1" applyAlignment="1">
      <alignment horizontal="center" vertical="center" wrapText="1" readingOrder="1"/>
    </xf>
    <xf numFmtId="0" fontId="58" fillId="6" borderId="82" xfId="0" applyFont="1" applyFill="1" applyBorder="1" applyAlignment="1">
      <alignment horizontal="center" vertical="center" wrapText="1" readingOrder="1"/>
    </xf>
    <xf numFmtId="0" fontId="59" fillId="6" borderId="81" xfId="0" applyFont="1" applyFill="1" applyBorder="1" applyAlignment="1">
      <alignment horizontal="left" vertical="center" wrapText="1" readingOrder="1"/>
    </xf>
    <xf numFmtId="0" fontId="61" fillId="15" borderId="85" xfId="0" applyFont="1" applyFill="1" applyBorder="1" applyAlignment="1">
      <alignment vertical="center" wrapText="1"/>
    </xf>
    <xf numFmtId="0" fontId="54" fillId="15" borderId="85" xfId="0" applyFont="1" applyFill="1" applyBorder="1" applyAlignment="1">
      <alignment horizontal="left" vertical="center" wrapText="1" readingOrder="1"/>
    </xf>
    <xf numFmtId="178" fontId="54" fillId="5" borderId="85" xfId="0" applyNumberFormat="1" applyFont="1" applyFill="1" applyBorder="1" applyAlignment="1">
      <alignment horizontal="center" vertical="center" wrapText="1" readingOrder="1"/>
    </xf>
    <xf numFmtId="3" fontId="54" fillId="5" borderId="85" xfId="0" applyNumberFormat="1" applyFont="1" applyFill="1" applyBorder="1" applyAlignment="1">
      <alignment horizontal="center" vertical="center" wrapText="1" readingOrder="1"/>
    </xf>
    <xf numFmtId="185" fontId="54" fillId="5" borderId="85" xfId="0" applyNumberFormat="1" applyFont="1" applyFill="1" applyBorder="1" applyAlignment="1">
      <alignment horizontal="center" vertical="center" wrapText="1" readingOrder="1"/>
    </xf>
    <xf numFmtId="10" fontId="54" fillId="5" borderId="85" xfId="0" applyNumberFormat="1" applyFont="1" applyFill="1" applyBorder="1" applyAlignment="1">
      <alignment horizontal="center" vertical="center" wrapText="1" readingOrder="1"/>
    </xf>
    <xf numFmtId="0" fontId="62" fillId="5" borderId="0" xfId="0" applyFont="1" applyFill="1">
      <alignment vertical="center"/>
    </xf>
    <xf numFmtId="0" fontId="63" fillId="0" borderId="0" xfId="0" applyFont="1">
      <alignment vertical="center"/>
    </xf>
    <xf numFmtId="0" fontId="58" fillId="5" borderId="60" xfId="0" applyFont="1" applyFill="1" applyBorder="1" applyAlignment="1">
      <alignment horizontal="center" vertical="center" wrapText="1" readingOrder="1"/>
    </xf>
    <xf numFmtId="0" fontId="59" fillId="5" borderId="60" xfId="0" applyFont="1" applyFill="1" applyBorder="1" applyAlignment="1">
      <alignment horizontal="left" vertical="center" wrapText="1" readingOrder="1"/>
    </xf>
    <xf numFmtId="0" fontId="64" fillId="0" borderId="0" xfId="0" applyFont="1">
      <alignment vertical="center"/>
    </xf>
    <xf numFmtId="10" fontId="0" fillId="2" borderId="0" xfId="0" applyNumberFormat="1" applyFill="1">
      <alignment vertical="center"/>
    </xf>
    <xf numFmtId="9" fontId="0" fillId="2" borderId="0" xfId="0" applyNumberFormat="1" applyFill="1">
      <alignment vertical="center"/>
    </xf>
    <xf numFmtId="187" fontId="0" fillId="0" borderId="0" xfId="0" applyNumberFormat="1">
      <alignment vertical="center"/>
    </xf>
    <xf numFmtId="188" fontId="58" fillId="5" borderId="60" xfId="0" applyNumberFormat="1" applyFont="1" applyFill="1" applyBorder="1" applyAlignment="1">
      <alignment horizontal="center" vertical="center" wrapText="1" readingOrder="1"/>
    </xf>
    <xf numFmtId="188" fontId="54" fillId="5" borderId="85" xfId="0" applyNumberFormat="1" applyFont="1" applyFill="1" applyBorder="1" applyAlignment="1">
      <alignment horizontal="center" vertical="center" wrapText="1" readingOrder="1"/>
    </xf>
    <xf numFmtId="188" fontId="60" fillId="5" borderId="60" xfId="0" applyNumberFormat="1" applyFont="1" applyFill="1" applyBorder="1" applyAlignment="1">
      <alignment horizontal="center" vertical="center" wrapText="1" readingOrder="1"/>
    </xf>
    <xf numFmtId="188" fontId="54" fillId="5" borderId="86" xfId="0" applyNumberFormat="1" applyFont="1" applyFill="1" applyBorder="1" applyAlignment="1">
      <alignment horizontal="center" vertical="center" wrapText="1" readingOrder="1"/>
    </xf>
    <xf numFmtId="188" fontId="57" fillId="5" borderId="7" xfId="0" applyNumberFormat="1" applyFont="1" applyFill="1" applyBorder="1" applyAlignment="1">
      <alignment horizontal="center" vertical="center" wrapText="1" readingOrder="1"/>
    </xf>
    <xf numFmtId="22" fontId="0" fillId="0" borderId="0" xfId="0" applyNumberFormat="1">
      <alignment vertical="center"/>
    </xf>
    <xf numFmtId="186" fontId="0" fillId="0" borderId="0" xfId="0" applyNumberFormat="1" applyAlignment="1">
      <alignment horizontal="center" vertical="center"/>
    </xf>
    <xf numFmtId="0" fontId="0" fillId="5" borderId="5" xfId="0" applyFill="1" applyBorder="1" applyAlignment="1"/>
    <xf numFmtId="20" fontId="0" fillId="0" borderId="0" xfId="0" applyNumberFormat="1">
      <alignment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0" fillId="5" borderId="5" xfId="0" applyFill="1" applyBorder="1">
      <alignment vertical="center"/>
    </xf>
    <xf numFmtId="0" fontId="28" fillId="7" borderId="8" xfId="0" applyFont="1" applyFill="1" applyBorder="1" applyAlignment="1">
      <alignment horizontal="center" vertical="center" wrapText="1" readingOrder="1"/>
    </xf>
    <xf numFmtId="0" fontId="28" fillId="7" borderId="9" xfId="0" applyFont="1" applyFill="1" applyBorder="1" applyAlignment="1">
      <alignment horizontal="center" vertical="center" wrapText="1" readingOrder="1"/>
    </xf>
    <xf numFmtId="0" fontId="66" fillId="7" borderId="9" xfId="0" applyFont="1" applyFill="1" applyBorder="1" applyAlignment="1">
      <alignment horizontal="center" vertical="center" wrapText="1" readingOrder="1"/>
    </xf>
    <xf numFmtId="0" fontId="67" fillId="8" borderId="10" xfId="0" applyFont="1" applyFill="1" applyBorder="1" applyAlignment="1">
      <alignment horizontal="center" vertical="center" wrapText="1" readingOrder="1"/>
    </xf>
    <xf numFmtId="0" fontId="12" fillId="11" borderId="11" xfId="0" applyFont="1" applyFill="1" applyBorder="1" applyAlignment="1">
      <alignment horizontal="center" vertical="center" wrapText="1" readingOrder="1"/>
    </xf>
    <xf numFmtId="0" fontId="12" fillId="0" borderId="11" xfId="0" applyFont="1" applyBorder="1" applyAlignment="1">
      <alignment horizontal="center" vertical="center" wrapText="1" readingOrder="1"/>
    </xf>
    <xf numFmtId="0" fontId="12" fillId="5" borderId="7" xfId="0" applyFont="1" applyFill="1" applyBorder="1" applyAlignment="1">
      <alignment horizontal="center" vertical="center" wrapText="1" readingOrder="1"/>
    </xf>
    <xf numFmtId="0" fontId="15" fillId="5" borderId="7" xfId="0" applyFont="1" applyFill="1" applyBorder="1" applyAlignment="1">
      <alignment horizontal="left" vertical="center" wrapText="1" readingOrder="1"/>
    </xf>
    <xf numFmtId="0" fontId="16" fillId="5" borderId="7" xfId="0" applyFont="1" applyFill="1" applyBorder="1" applyAlignment="1">
      <alignment horizontal="center" vertical="center" wrapText="1" readingOrder="1"/>
    </xf>
    <xf numFmtId="3" fontId="68" fillId="5" borderId="7" xfId="0" applyNumberFormat="1" applyFont="1" applyFill="1" applyBorder="1" applyAlignment="1">
      <alignment horizontal="center" vertical="center" wrapText="1" readingOrder="1"/>
    </xf>
    <xf numFmtId="0" fontId="68" fillId="5" borderId="7" xfId="0" applyFont="1" applyFill="1" applyBorder="1" applyAlignment="1">
      <alignment horizontal="center" vertical="center" wrapText="1" readingOrder="1"/>
    </xf>
    <xf numFmtId="0" fontId="68" fillId="5" borderId="12" xfId="0" applyFont="1" applyFill="1" applyBorder="1" applyAlignment="1">
      <alignment horizontal="center" vertical="center" wrapText="1" readingOrder="1"/>
    </xf>
    <xf numFmtId="0" fontId="69" fillId="5" borderId="7" xfId="0" applyFont="1" applyFill="1" applyBorder="1" applyAlignment="1">
      <alignment horizontal="center" vertical="center" wrapText="1" readingOrder="1"/>
    </xf>
    <xf numFmtId="176" fontId="12" fillId="5" borderId="7" xfId="0" applyNumberFormat="1" applyFont="1" applyFill="1" applyBorder="1" applyAlignment="1">
      <alignment horizontal="center" vertical="center" wrapText="1" readingOrder="1"/>
    </xf>
    <xf numFmtId="182" fontId="12" fillId="5" borderId="7" xfId="0" applyNumberFormat="1" applyFont="1" applyFill="1" applyBorder="1" applyAlignment="1">
      <alignment horizontal="center" vertical="center" wrapText="1" readingOrder="1"/>
    </xf>
    <xf numFmtId="0" fontId="4" fillId="3" borderId="59" xfId="0" applyFont="1" applyFill="1" applyBorder="1" applyAlignment="1">
      <alignment horizontal="center" vertical="center" wrapText="1" readingOrder="1"/>
    </xf>
    <xf numFmtId="0" fontId="4" fillId="3" borderId="45" xfId="0" applyFont="1" applyFill="1" applyBorder="1" applyAlignment="1">
      <alignment horizontal="center" vertical="center" wrapText="1" readingOrder="1"/>
    </xf>
    <xf numFmtId="0" fontId="4" fillId="3" borderId="13" xfId="0" applyFont="1" applyFill="1" applyBorder="1" applyAlignment="1">
      <alignment horizontal="center" vertical="center" wrapText="1" readingOrder="1"/>
    </xf>
    <xf numFmtId="0" fontId="44" fillId="5" borderId="7" xfId="0" applyFont="1" applyFill="1" applyBorder="1" applyAlignment="1">
      <alignment horizontal="left" vertical="center"/>
    </xf>
    <xf numFmtId="0" fontId="0" fillId="5" borderId="8" xfId="0" applyFill="1" applyBorder="1" applyAlignment="1">
      <alignment horizontal="center" vertical="center"/>
    </xf>
    <xf numFmtId="0" fontId="0" fillId="5" borderId="9" xfId="0" applyFill="1" applyBorder="1" applyAlignment="1">
      <alignment horizontal="center" vertical="center"/>
    </xf>
    <xf numFmtId="0" fontId="0" fillId="5" borderId="10" xfId="0" applyFill="1" applyBorder="1" applyAlignment="1">
      <alignment horizontal="center" vertical="center"/>
    </xf>
    <xf numFmtId="0" fontId="0" fillId="0" borderId="54"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0" fillId="6" borderId="44" xfId="0" applyFill="1" applyBorder="1" applyAlignment="1">
      <alignment horizontal="center" vertical="center"/>
    </xf>
    <xf numFmtId="0" fontId="0" fillId="6" borderId="9" xfId="0" applyFill="1" applyBorder="1" applyAlignment="1">
      <alignment horizontal="center" vertical="center"/>
    </xf>
    <xf numFmtId="0" fontId="0" fillId="6" borderId="56" xfId="0" applyFill="1" applyBorder="1" applyAlignment="1">
      <alignment horizontal="center" vertical="center"/>
    </xf>
    <xf numFmtId="0" fontId="0" fillId="6" borderId="8" xfId="0" applyFill="1" applyBorder="1" applyAlignment="1">
      <alignment horizontal="center" vertical="center"/>
    </xf>
    <xf numFmtId="0" fontId="0" fillId="6" borderId="10" xfId="0" applyFill="1" applyBorder="1" applyAlignment="1">
      <alignment horizontal="center" vertical="center"/>
    </xf>
    <xf numFmtId="0" fontId="42" fillId="15" borderId="4" xfId="0" applyFont="1" applyFill="1" applyBorder="1" applyAlignment="1">
      <alignment horizontal="center" vertical="center" wrapText="1" readingOrder="1"/>
    </xf>
    <xf numFmtId="0" fontId="42" fillId="15" borderId="5" xfId="0" applyFont="1" applyFill="1" applyBorder="1" applyAlignment="1">
      <alignment horizontal="center" vertical="center" wrapText="1" readingOrder="1"/>
    </xf>
    <xf numFmtId="0" fontId="5" fillId="13" borderId="69" xfId="0" applyFont="1" applyFill="1" applyBorder="1" applyAlignment="1">
      <alignment horizontal="center" vertical="center"/>
    </xf>
    <xf numFmtId="0" fontId="5" fillId="13" borderId="70" xfId="0" applyFont="1" applyFill="1" applyBorder="1" applyAlignment="1">
      <alignment horizontal="center" vertical="center"/>
    </xf>
    <xf numFmtId="0" fontId="5" fillId="13" borderId="38" xfId="0" applyFont="1" applyFill="1" applyBorder="1" applyAlignment="1">
      <alignment horizontal="center" vertical="center"/>
    </xf>
    <xf numFmtId="0" fontId="10" fillId="15" borderId="61" xfId="0" applyFont="1" applyFill="1" applyBorder="1" applyAlignment="1">
      <alignment horizontal="center" vertical="center" wrapText="1" readingOrder="1"/>
    </xf>
    <xf numFmtId="0" fontId="10" fillId="15" borderId="62" xfId="0" applyFont="1" applyFill="1" applyBorder="1" applyAlignment="1">
      <alignment horizontal="center" vertical="center" wrapText="1" readingOrder="1"/>
    </xf>
    <xf numFmtId="0" fontId="10" fillId="15" borderId="63" xfId="0" applyFont="1" applyFill="1" applyBorder="1" applyAlignment="1">
      <alignment horizontal="center" vertical="center" wrapText="1" readingOrder="1"/>
    </xf>
    <xf numFmtId="0" fontId="0" fillId="0" borderId="58" xfId="0" applyBorder="1" applyAlignment="1">
      <alignment horizontal="left" vertical="center"/>
    </xf>
    <xf numFmtId="0" fontId="0" fillId="0" borderId="17" xfId="0" applyBorder="1" applyAlignment="1">
      <alignment horizontal="left" vertical="center"/>
    </xf>
    <xf numFmtId="0" fontId="0" fillId="0" borderId="59" xfId="0" applyBorder="1" applyAlignment="1">
      <alignment horizontal="left" vertical="center"/>
    </xf>
    <xf numFmtId="0" fontId="0" fillId="0" borderId="13" xfId="0" applyBorder="1" applyAlignment="1">
      <alignment horizontal="left" vertical="center"/>
    </xf>
    <xf numFmtId="0" fontId="0" fillId="0" borderId="58" xfId="0" applyBorder="1" applyAlignment="1">
      <alignment horizontal="center" vertical="center"/>
    </xf>
    <xf numFmtId="0" fontId="0" fillId="0" borderId="17" xfId="0" applyBorder="1" applyAlignment="1">
      <alignment horizontal="center" vertical="center"/>
    </xf>
    <xf numFmtId="0" fontId="29" fillId="0" borderId="58" xfId="1" applyBorder="1" applyAlignment="1">
      <alignment horizontal="left" vertical="center"/>
    </xf>
    <xf numFmtId="0" fontId="54" fillId="16" borderId="72" xfId="0" applyFont="1" applyFill="1" applyBorder="1" applyAlignment="1">
      <alignment horizontal="center" vertical="center" wrapText="1" readingOrder="1"/>
    </xf>
    <xf numFmtId="0" fontId="54" fillId="16" borderId="78" xfId="0" applyFont="1" applyFill="1" applyBorder="1" applyAlignment="1">
      <alignment horizontal="center" vertical="center" wrapText="1" readingOrder="1"/>
    </xf>
    <xf numFmtId="0" fontId="54" fillId="16" borderId="76" xfId="0" applyFont="1" applyFill="1" applyBorder="1" applyAlignment="1">
      <alignment horizontal="center" vertical="center" wrapText="1" readingOrder="1"/>
    </xf>
    <xf numFmtId="0" fontId="54" fillId="16" borderId="79" xfId="0" applyFont="1" applyFill="1" applyBorder="1" applyAlignment="1">
      <alignment horizontal="center" vertical="center" wrapText="1" readingOrder="1"/>
    </xf>
    <xf numFmtId="0" fontId="54" fillId="15" borderId="83" xfId="0" applyFont="1" applyFill="1" applyBorder="1" applyAlignment="1">
      <alignment horizontal="center" vertical="center" wrapText="1" readingOrder="1"/>
    </xf>
    <xf numFmtId="0" fontId="54" fillId="15" borderId="84" xfId="0" applyFont="1" applyFill="1" applyBorder="1" applyAlignment="1">
      <alignment horizontal="center" vertical="center" wrapText="1" readingOrder="1"/>
    </xf>
    <xf numFmtId="0" fontId="54" fillId="16" borderId="71" xfId="0" applyFont="1" applyFill="1" applyBorder="1" applyAlignment="1">
      <alignment horizontal="center" vertical="center" wrapText="1" readingOrder="1"/>
    </xf>
    <xf numFmtId="0" fontId="54" fillId="16" borderId="77" xfId="0" applyFont="1" applyFill="1" applyBorder="1" applyAlignment="1">
      <alignment horizontal="center" vertical="center" wrapText="1" readingOrder="1"/>
    </xf>
    <xf numFmtId="0" fontId="55" fillId="16" borderId="74" xfId="0" applyFont="1" applyFill="1" applyBorder="1" applyAlignment="1">
      <alignment horizontal="center" vertical="center" wrapText="1" readingOrder="1"/>
    </xf>
    <xf numFmtId="0" fontId="55" fillId="16" borderId="75" xfId="0" applyFont="1" applyFill="1" applyBorder="1" applyAlignment="1">
      <alignment horizontal="center" vertical="center" wrapText="1" readingOrder="1"/>
    </xf>
    <xf numFmtId="0" fontId="65" fillId="7" borderId="9" xfId="0" applyFont="1" applyFill="1" applyBorder="1" applyAlignment="1">
      <alignment horizontal="center" vertical="center" wrapText="1" readingOrder="1"/>
    </xf>
    <xf numFmtId="0" fontId="28" fillId="7" borderId="9" xfId="0" applyFont="1" applyFill="1" applyBorder="1" applyAlignment="1">
      <alignment horizontal="center" vertical="center" wrapText="1" readingOrder="1"/>
    </xf>
  </cellXfs>
  <cellStyles count="7">
    <cellStyle name="쉼표 [0] 2" xfId="6" xr:uid="{E8B1B18E-5817-4499-AB2E-9CBA2B571C13}"/>
    <cellStyle name="표준" xfId="0" builtinId="0"/>
    <cellStyle name="표준 2" xfId="2" xr:uid="{00000000-0005-0000-0000-000001000000}"/>
    <cellStyle name="표준 2 2" xfId="3" xr:uid="{00000000-0005-0000-0000-000002000000}"/>
    <cellStyle name="표준 2 2 2" xfId="4" xr:uid="{FBBEA372-BCAD-4585-9467-9B5E386C6AEC}"/>
    <cellStyle name="표준 3" xfId="5" xr:uid="{4331234A-8BCF-4CFA-A54A-80A68E5F63D2}"/>
    <cellStyle name="하이퍼링크" xfId="1" builtinId="8"/>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openxmlformats.org/officeDocument/2006/relationships/chartUserShapes" Target="../drawings/drawing3.xml"/><Relationship Id="rId1" Type="http://schemas.openxmlformats.org/officeDocument/2006/relationships/image" Target="../media/image1.png"/></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ln>
                  <a:solidFill>
                    <a:schemeClr val="bg1">
                      <a:alpha val="10000"/>
                    </a:schemeClr>
                  </a:solidFill>
                </a:ln>
                <a:solidFill>
                  <a:schemeClr val="tx1">
                    <a:lumMod val="65000"/>
                    <a:lumOff val="35000"/>
                  </a:schemeClr>
                </a:solidFill>
                <a:latin typeface="+mn-lt"/>
                <a:ea typeface="+mn-ea"/>
                <a:cs typeface="+mn-cs"/>
              </a:defRPr>
            </a:pPr>
            <a:r>
              <a:rPr lang="ko-KR" sz="1400" b="1" dirty="0" err="1">
                <a:ln>
                  <a:solidFill>
                    <a:schemeClr val="bg1">
                      <a:alpha val="10000"/>
                    </a:schemeClr>
                  </a:solidFill>
                </a:ln>
                <a:latin typeface="나눔바른고딕" panose="020B0603020101020101" pitchFamily="50" charset="-127"/>
                <a:ea typeface="나눔바른고딕" panose="020B0603020101020101" pitchFamily="50" charset="-127"/>
              </a:rPr>
              <a:t>링크드인</a:t>
            </a:r>
            <a:r>
              <a:rPr lang="ko-KR" sz="1400" b="1" dirty="0">
                <a:ln>
                  <a:solidFill>
                    <a:schemeClr val="bg1">
                      <a:alpha val="10000"/>
                    </a:schemeClr>
                  </a:solidFill>
                </a:ln>
                <a:latin typeface="나눔바른고딕" panose="020B0603020101020101" pitchFamily="50" charset="-127"/>
                <a:ea typeface="나눔바른고딕" panose="020B0603020101020101" pitchFamily="50" charset="-127"/>
              </a:rPr>
              <a:t> </a:t>
            </a:r>
            <a:r>
              <a:rPr lang="ko-KR" altLang="en-US" sz="1400" b="1" dirty="0">
                <a:ln>
                  <a:solidFill>
                    <a:schemeClr val="bg1">
                      <a:alpha val="10000"/>
                    </a:schemeClr>
                  </a:solidFill>
                </a:ln>
                <a:latin typeface="나눔바른고딕" panose="020B0603020101020101" pitchFamily="50" charset="-127"/>
                <a:ea typeface="나눔바른고딕" panose="020B0603020101020101" pitchFamily="50" charset="-127"/>
              </a:rPr>
              <a:t>페이지</a:t>
            </a:r>
            <a:r>
              <a:rPr lang="en-US" altLang="ko-KR" sz="1400" b="1" dirty="0">
                <a:ln>
                  <a:solidFill>
                    <a:schemeClr val="bg1">
                      <a:alpha val="10000"/>
                    </a:schemeClr>
                  </a:solidFill>
                </a:ln>
                <a:latin typeface="나눔바른고딕" panose="020B0603020101020101" pitchFamily="50" charset="-127"/>
                <a:ea typeface="나눔바른고딕" panose="020B0603020101020101" pitchFamily="50" charset="-127"/>
              </a:rPr>
              <a:t> </a:t>
            </a:r>
            <a:r>
              <a:rPr lang="ko-KR" altLang="en-US" sz="1400" b="1" dirty="0">
                <a:ln>
                  <a:solidFill>
                    <a:schemeClr val="bg1">
                      <a:alpha val="10000"/>
                    </a:schemeClr>
                  </a:solidFill>
                </a:ln>
                <a:latin typeface="나눔바른고딕" panose="020B0603020101020101" pitchFamily="50" charset="-127"/>
                <a:ea typeface="나눔바른고딕" panose="020B0603020101020101" pitchFamily="50" charset="-127"/>
              </a:rPr>
              <a:t>월</a:t>
            </a:r>
            <a:r>
              <a:rPr lang="ko-KR" altLang="en-US" sz="1400" b="1" baseline="0" dirty="0">
                <a:ln>
                  <a:solidFill>
                    <a:schemeClr val="bg1">
                      <a:alpha val="10000"/>
                    </a:schemeClr>
                  </a:solidFill>
                </a:ln>
                <a:latin typeface="나눔바른고딕" panose="020B0603020101020101" pitchFamily="50" charset="-127"/>
                <a:ea typeface="나눔바른고딕" panose="020B0603020101020101" pitchFamily="50" charset="-127"/>
              </a:rPr>
              <a:t> </a:t>
            </a:r>
            <a:r>
              <a:rPr lang="ko-KR" altLang="en-US" sz="1400" b="1" baseline="0" dirty="0" err="1">
                <a:ln>
                  <a:solidFill>
                    <a:schemeClr val="bg1">
                      <a:alpha val="10000"/>
                    </a:schemeClr>
                  </a:solidFill>
                </a:ln>
                <a:latin typeface="나눔바른고딕" panose="020B0603020101020101" pitchFamily="50" charset="-127"/>
                <a:ea typeface="나눔바른고딕" panose="020B0603020101020101" pitchFamily="50" charset="-127"/>
              </a:rPr>
              <a:t>팔로워</a:t>
            </a:r>
            <a:r>
              <a:rPr lang="ko-KR" altLang="en-US" sz="1400" b="1" baseline="0" dirty="0">
                <a:ln>
                  <a:solidFill>
                    <a:schemeClr val="bg1">
                      <a:alpha val="10000"/>
                    </a:schemeClr>
                  </a:solidFill>
                </a:ln>
                <a:latin typeface="나눔바른고딕" panose="020B0603020101020101" pitchFamily="50" charset="-127"/>
                <a:ea typeface="나눔바른고딕" panose="020B0603020101020101" pitchFamily="50" charset="-127"/>
              </a:rPr>
              <a:t> 현황</a:t>
            </a:r>
            <a:endParaRPr lang="ko-KR" sz="1400" b="1" dirty="0">
              <a:ln>
                <a:solidFill>
                  <a:schemeClr val="bg1">
                    <a:alpha val="10000"/>
                  </a:schemeClr>
                </a:solidFill>
              </a:ln>
              <a:latin typeface="나눔바른고딕" panose="020B0603020101020101" pitchFamily="50" charset="-127"/>
              <a:ea typeface="나눔바른고딕" panose="020B0603020101020101" pitchFamily="50" charset="-127"/>
            </a:endParaRPr>
          </a:p>
        </c:rich>
      </c:tx>
      <c:layout>
        <c:manualLayout>
          <c:xMode val="edge"/>
          <c:yMode val="edge"/>
          <c:x val="0.38480592647432504"/>
          <c:y val="1.0134098114560345E-2"/>
        </c:manualLayout>
      </c:layout>
      <c:overlay val="0"/>
      <c:spPr>
        <a:noFill/>
        <a:ln>
          <a:noFill/>
        </a:ln>
        <a:effectLst/>
      </c:spPr>
      <c:txPr>
        <a:bodyPr rot="0" spcFirstLastPara="1" vertOverflow="ellipsis" vert="horz" wrap="square" anchor="ctr" anchorCtr="1"/>
        <a:lstStyle/>
        <a:p>
          <a:pPr>
            <a:defRPr sz="1200" b="0" i="0" u="none" strike="noStrike" kern="1200" spc="0" baseline="0">
              <a:ln>
                <a:solidFill>
                  <a:schemeClr val="bg1">
                    <a:alpha val="10000"/>
                  </a:schemeClr>
                </a:solidFill>
              </a:ln>
              <a:solidFill>
                <a:schemeClr val="tx1">
                  <a:lumMod val="65000"/>
                  <a:lumOff val="35000"/>
                </a:schemeClr>
              </a:solidFill>
              <a:latin typeface="+mn-lt"/>
              <a:ea typeface="+mn-ea"/>
              <a:cs typeface="+mn-cs"/>
            </a:defRPr>
          </a:pPr>
          <a:endParaRPr lang="ko-KR"/>
        </a:p>
      </c:txPr>
    </c:title>
    <c:autoTitleDeleted val="0"/>
    <c:plotArea>
      <c:layout>
        <c:manualLayout>
          <c:layoutTarget val="inner"/>
          <c:xMode val="edge"/>
          <c:yMode val="edge"/>
          <c:x val="3.7337769372594337E-2"/>
          <c:y val="0.22462550122332187"/>
          <c:w val="0.92113375171443201"/>
          <c:h val="0.65788943004200606"/>
        </c:manualLayout>
      </c:layout>
      <c:lineChart>
        <c:grouping val="standard"/>
        <c:varyColors val="0"/>
        <c:ser>
          <c:idx val="1"/>
          <c:order val="1"/>
          <c:tx>
            <c:strRef>
              <c:f>'3p'!$I$36</c:f>
              <c:strCache>
                <c:ptCount val="1"/>
                <c:pt idx="0">
                  <c:v>오가닉</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rgbClr val="0070C0"/>
                    </a:solidFill>
                    <a:latin typeface="+mn-lt"/>
                    <a:ea typeface="+mn-ea"/>
                    <a:cs typeface="+mn-cs"/>
                  </a:defRPr>
                </a:pPr>
                <a:endParaRPr lang="ko-KR"/>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'3p'!$G$37:$G$49</c:f>
              <c:numCache>
                <c:formatCode>\'yy\ mm</c:formatCode>
                <c:ptCount val="13"/>
                <c:pt idx="0">
                  <c:v>44986</c:v>
                </c:pt>
                <c:pt idx="1">
                  <c:v>45017</c:v>
                </c:pt>
                <c:pt idx="2">
                  <c:v>45047</c:v>
                </c:pt>
                <c:pt idx="3">
                  <c:v>45078</c:v>
                </c:pt>
                <c:pt idx="4">
                  <c:v>45108</c:v>
                </c:pt>
                <c:pt idx="5">
                  <c:v>45139</c:v>
                </c:pt>
                <c:pt idx="6">
                  <c:v>45170</c:v>
                </c:pt>
                <c:pt idx="7">
                  <c:v>45200</c:v>
                </c:pt>
                <c:pt idx="8">
                  <c:v>45231</c:v>
                </c:pt>
                <c:pt idx="9">
                  <c:v>45261</c:v>
                </c:pt>
                <c:pt idx="10">
                  <c:v>45292</c:v>
                </c:pt>
                <c:pt idx="11">
                  <c:v>45323</c:v>
                </c:pt>
                <c:pt idx="12">
                  <c:v>45352</c:v>
                </c:pt>
              </c:numCache>
            </c:numRef>
          </c:cat>
          <c:val>
            <c:numRef>
              <c:f>'3p'!$I$37:$I$49</c:f>
              <c:numCache>
                <c:formatCode>#,##0_ </c:formatCode>
                <c:ptCount val="13"/>
                <c:pt idx="0">
                  <c:v>75272</c:v>
                </c:pt>
                <c:pt idx="1">
                  <c:v>76294</c:v>
                </c:pt>
                <c:pt idx="2">
                  <c:v>77280</c:v>
                </c:pt>
                <c:pt idx="3">
                  <c:v>78433</c:v>
                </c:pt>
                <c:pt idx="4">
                  <c:v>79382</c:v>
                </c:pt>
                <c:pt idx="5">
                  <c:v>80463</c:v>
                </c:pt>
                <c:pt idx="6">
                  <c:v>81510</c:v>
                </c:pt>
                <c:pt idx="7">
                  <c:v>82805</c:v>
                </c:pt>
                <c:pt idx="8">
                  <c:v>84407</c:v>
                </c:pt>
                <c:pt idx="9">
                  <c:v>85319</c:v>
                </c:pt>
                <c:pt idx="10">
                  <c:v>86458</c:v>
                </c:pt>
                <c:pt idx="11">
                  <c:v>87626</c:v>
                </c:pt>
                <c:pt idx="12">
                  <c:v>88905</c:v>
                </c:pt>
              </c:numCache>
            </c:numRef>
          </c:val>
          <c:smooth val="0"/>
          <c:extLst>
            <c:ext xmlns:c16="http://schemas.microsoft.com/office/drawing/2014/chart" uri="{C3380CC4-5D6E-409C-BE32-E72D297353CC}">
              <c16:uniqueId val="{00000003-1FFC-4175-A0DB-98B7D9BE4EB9}"/>
            </c:ext>
          </c:extLst>
        </c:ser>
        <c:dLbls>
          <c:showLegendKey val="0"/>
          <c:showVal val="0"/>
          <c:showCatName val="0"/>
          <c:showSerName val="0"/>
          <c:showPercent val="0"/>
          <c:showBubbleSize val="0"/>
        </c:dLbls>
        <c:marker val="1"/>
        <c:smooth val="0"/>
        <c:axId val="-1754078448"/>
        <c:axId val="-1754073552"/>
      </c:lineChart>
      <c:lineChart>
        <c:grouping val="standard"/>
        <c:varyColors val="0"/>
        <c:ser>
          <c:idx val="0"/>
          <c:order val="0"/>
          <c:tx>
            <c:strRef>
              <c:f>'3p'!$H$36</c:f>
              <c:strCache>
                <c:ptCount val="1"/>
                <c:pt idx="0">
                  <c:v>총합계</c:v>
                </c:pt>
              </c:strCache>
            </c:strRef>
          </c:tx>
          <c:spPr>
            <a:ln w="28575" cap="rnd">
              <a:solidFill>
                <a:srgbClr val="FF0000"/>
              </a:solidFill>
              <a:round/>
            </a:ln>
            <a:effectLst/>
          </c:spPr>
          <c:marker>
            <c:symbol val="circle"/>
            <c:size val="5"/>
            <c:spPr>
              <a:solidFill>
                <a:srgbClr val="E41937"/>
              </a:solidFill>
              <a:ln w="25400">
                <a:solidFill>
                  <a:srgbClr val="E41937"/>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rgbClr val="FF0000"/>
                    </a:solidFill>
                    <a:latin typeface="+mn-lt"/>
                    <a:ea typeface="+mn-ea"/>
                    <a:cs typeface="+mn-cs"/>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'3p'!$G$37:$G$49</c:f>
              <c:numCache>
                <c:formatCode>\'yy\ mm</c:formatCode>
                <c:ptCount val="13"/>
                <c:pt idx="0">
                  <c:v>44986</c:v>
                </c:pt>
                <c:pt idx="1">
                  <c:v>45017</c:v>
                </c:pt>
                <c:pt idx="2">
                  <c:v>45047</c:v>
                </c:pt>
                <c:pt idx="3">
                  <c:v>45078</c:v>
                </c:pt>
                <c:pt idx="4">
                  <c:v>45108</c:v>
                </c:pt>
                <c:pt idx="5">
                  <c:v>45139</c:v>
                </c:pt>
                <c:pt idx="6">
                  <c:v>45170</c:v>
                </c:pt>
                <c:pt idx="7">
                  <c:v>45200</c:v>
                </c:pt>
                <c:pt idx="8">
                  <c:v>45231</c:v>
                </c:pt>
                <c:pt idx="9">
                  <c:v>45261</c:v>
                </c:pt>
                <c:pt idx="10">
                  <c:v>45292</c:v>
                </c:pt>
                <c:pt idx="11">
                  <c:v>45323</c:v>
                </c:pt>
                <c:pt idx="12">
                  <c:v>45352</c:v>
                </c:pt>
              </c:numCache>
            </c:numRef>
          </c:cat>
          <c:val>
            <c:numRef>
              <c:f>'3p'!$H$37:$H$49</c:f>
              <c:numCache>
                <c:formatCode>#,##0_ </c:formatCode>
                <c:ptCount val="13"/>
                <c:pt idx="0">
                  <c:v>79682</c:v>
                </c:pt>
                <c:pt idx="1">
                  <c:v>81070</c:v>
                </c:pt>
                <c:pt idx="2">
                  <c:v>82605</c:v>
                </c:pt>
                <c:pt idx="3">
                  <c:v>85127</c:v>
                </c:pt>
                <c:pt idx="4">
                  <c:v>86371</c:v>
                </c:pt>
                <c:pt idx="5">
                  <c:v>88176</c:v>
                </c:pt>
                <c:pt idx="6">
                  <c:v>86573</c:v>
                </c:pt>
                <c:pt idx="7">
                  <c:v>89234</c:v>
                </c:pt>
                <c:pt idx="8">
                  <c:v>91659</c:v>
                </c:pt>
                <c:pt idx="9">
                  <c:v>93101</c:v>
                </c:pt>
                <c:pt idx="10">
                  <c:v>94705</c:v>
                </c:pt>
                <c:pt idx="11">
                  <c:v>96767</c:v>
                </c:pt>
                <c:pt idx="12">
                  <c:v>98407</c:v>
                </c:pt>
              </c:numCache>
            </c:numRef>
          </c:val>
          <c:smooth val="0"/>
          <c:extLst>
            <c:ext xmlns:c16="http://schemas.microsoft.com/office/drawing/2014/chart" uri="{C3380CC4-5D6E-409C-BE32-E72D297353CC}">
              <c16:uniqueId val="{00000000-43F9-8643-AEB5-E6336B02A22B}"/>
            </c:ext>
          </c:extLst>
        </c:ser>
        <c:dLbls>
          <c:showLegendKey val="0"/>
          <c:showVal val="0"/>
          <c:showCatName val="0"/>
          <c:showSerName val="0"/>
          <c:showPercent val="0"/>
          <c:showBubbleSize val="0"/>
        </c:dLbls>
        <c:marker val="1"/>
        <c:smooth val="0"/>
        <c:axId val="733490672"/>
        <c:axId val="648619040"/>
      </c:lineChart>
      <c:dateAx>
        <c:axId val="-1754078448"/>
        <c:scaling>
          <c:orientation val="minMax"/>
        </c:scaling>
        <c:delete val="0"/>
        <c:axPos val="b"/>
        <c:numFmt formatCode="\'yy\ 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mn-lt"/>
                <a:ea typeface="+mn-ea"/>
                <a:cs typeface="+mn-cs"/>
              </a:defRPr>
            </a:pPr>
            <a:endParaRPr lang="ko-KR"/>
          </a:p>
        </c:txPr>
        <c:crossAx val="-1754073552"/>
        <c:crosses val="autoZero"/>
        <c:auto val="1"/>
        <c:lblOffset val="100"/>
        <c:baseTimeUnit val="months"/>
      </c:dateAx>
      <c:valAx>
        <c:axId val="-1754073552"/>
        <c:scaling>
          <c:orientation val="minMax"/>
        </c:scaling>
        <c:delete val="1"/>
        <c:axPos val="l"/>
        <c:numFmt formatCode="#,##0_ " sourceLinked="1"/>
        <c:majorTickMark val="out"/>
        <c:minorTickMark val="none"/>
        <c:tickLblPos val="nextTo"/>
        <c:crossAx val="-1754078448"/>
        <c:crosses val="autoZero"/>
        <c:crossBetween val="between"/>
      </c:valAx>
      <c:valAx>
        <c:axId val="648619040"/>
        <c:scaling>
          <c:orientation val="minMax"/>
          <c:min val="70000"/>
        </c:scaling>
        <c:delete val="0"/>
        <c:axPos val="r"/>
        <c:numFmt formatCode="#,##0_ " sourceLinked="1"/>
        <c:majorTickMark val="out"/>
        <c:minorTickMark val="none"/>
        <c:tickLblPos val="none"/>
        <c:spPr>
          <a:noFill/>
          <a:ln>
            <a:noFill/>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mn-lt"/>
                <a:ea typeface="+mn-ea"/>
                <a:cs typeface="+mn-cs"/>
              </a:defRPr>
            </a:pPr>
            <a:endParaRPr lang="ko-KR"/>
          </a:p>
        </c:txPr>
        <c:crossAx val="733490672"/>
        <c:crosses val="max"/>
        <c:crossBetween val="between"/>
      </c:valAx>
      <c:dateAx>
        <c:axId val="733490672"/>
        <c:scaling>
          <c:orientation val="minMax"/>
        </c:scaling>
        <c:delete val="1"/>
        <c:axPos val="b"/>
        <c:numFmt formatCode="\'yy\ mm" sourceLinked="1"/>
        <c:majorTickMark val="out"/>
        <c:minorTickMark val="none"/>
        <c:tickLblPos val="nextTo"/>
        <c:crossAx val="648619040"/>
        <c:crossesAt val="70000"/>
        <c:auto val="1"/>
        <c:lblOffset val="100"/>
        <c:baseTimeUnit val="months"/>
        <c:majorUnit val="1"/>
        <c:minorUnit val="1"/>
      </c:dateAx>
      <c:spPr>
        <a:noFill/>
        <a:ln>
          <a:noFill/>
        </a:ln>
        <a:effectLst/>
      </c:spPr>
    </c:plotArea>
    <c:legend>
      <c:legendPos val="l"/>
      <c:layout>
        <c:manualLayout>
          <c:xMode val="edge"/>
          <c:yMode val="edge"/>
          <c:x val="2.22974628193164E-2"/>
          <c:y val="0.11695040530786739"/>
          <c:w val="8.3157319059462373E-2"/>
          <c:h val="0.17428070115438532"/>
        </c:manualLayout>
      </c:layout>
      <c:overlay val="0"/>
      <c:spPr>
        <a:noFill/>
        <a:ln>
          <a:noFill/>
        </a:ln>
        <a:effectLst/>
      </c:spPr>
      <c:txPr>
        <a:bodyPr rot="0" spcFirstLastPara="1" vertOverflow="ellipsis" vert="horz" wrap="square" anchor="ctr" anchorCtr="1"/>
        <a:lstStyle/>
        <a:p>
          <a:pPr>
            <a:defRPr sz="1197" b="0" i="0" u="none" strike="noStrike" kern="1200" baseline="0">
              <a:solidFill>
                <a:schemeClr val="tx1">
                  <a:lumMod val="65000"/>
                  <a:lumOff val="35000"/>
                </a:schemeClr>
              </a:solidFill>
              <a:latin typeface="+mn-lt"/>
              <a:ea typeface="+mn-ea"/>
              <a:cs typeface="+mn-cs"/>
            </a:defRPr>
          </a:pPr>
          <a:endParaRPr lang="ko-KR"/>
        </a:p>
      </c:txPr>
    </c:legend>
    <c:plotVisOnly val="1"/>
    <c:dispBlanksAs val="gap"/>
    <c:showDLblsOverMax val="0"/>
  </c:chart>
  <c:spPr>
    <a:noFill/>
    <a:ln w="9525" cap="rnd" cmpd="sng" algn="ctr">
      <a:noFill/>
      <a:round/>
    </a:ln>
    <a:effectLst/>
  </c:spPr>
  <c:txPr>
    <a:bodyPr/>
    <a:lstStyle/>
    <a:p>
      <a:pPr>
        <a:defRPr/>
      </a:pPr>
      <a:endParaRPr lang="ko-K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ln>
                  <a:solidFill>
                    <a:schemeClr val="bg1">
                      <a:alpha val="10000"/>
                    </a:schemeClr>
                  </a:solidFill>
                </a:ln>
                <a:solidFill>
                  <a:schemeClr val="tx1">
                    <a:lumMod val="65000"/>
                    <a:lumOff val="35000"/>
                  </a:schemeClr>
                </a:solidFill>
                <a:latin typeface="+mn-lt"/>
                <a:ea typeface="+mn-ea"/>
                <a:cs typeface="+mn-cs"/>
              </a:defRPr>
            </a:pPr>
            <a:r>
              <a:rPr lang="en-US" altLang="ko-KR" sz="1400" b="1" dirty="0">
                <a:ln>
                  <a:solidFill>
                    <a:schemeClr val="bg1">
                      <a:alpha val="10000"/>
                    </a:schemeClr>
                  </a:solidFill>
                </a:ln>
                <a:latin typeface="나눔바른고딕" panose="020B0603020101020101" pitchFamily="50" charset="-127"/>
                <a:ea typeface="나눔바른고딕" panose="020B0603020101020101" pitchFamily="50" charset="-127"/>
              </a:rPr>
              <a:t>[</a:t>
            </a:r>
            <a:r>
              <a:rPr lang="ko-KR" altLang="en-US" sz="1400" b="1" dirty="0">
                <a:ln>
                  <a:solidFill>
                    <a:schemeClr val="bg1">
                      <a:alpha val="10000"/>
                    </a:schemeClr>
                  </a:solidFill>
                </a:ln>
                <a:latin typeface="나눔바른고딕" panose="020B0603020101020101" pitchFamily="50" charset="-127"/>
                <a:ea typeface="나눔바른고딕" panose="020B0603020101020101" pitchFamily="50" charset="-127"/>
              </a:rPr>
              <a:t> </a:t>
            </a:r>
            <a:r>
              <a:rPr lang="ko-KR" sz="1400" b="1" dirty="0" err="1">
                <a:ln>
                  <a:solidFill>
                    <a:schemeClr val="bg1">
                      <a:alpha val="10000"/>
                    </a:schemeClr>
                  </a:solidFill>
                </a:ln>
                <a:latin typeface="나눔바른고딕" panose="020B0603020101020101" pitchFamily="50" charset="-127"/>
                <a:ea typeface="나눔바른고딕" panose="020B0603020101020101" pitchFamily="50" charset="-127"/>
              </a:rPr>
              <a:t>링크드인</a:t>
            </a:r>
            <a:r>
              <a:rPr lang="ko-KR" sz="1400" b="1" dirty="0">
                <a:ln>
                  <a:solidFill>
                    <a:schemeClr val="bg1">
                      <a:alpha val="10000"/>
                    </a:schemeClr>
                  </a:solidFill>
                </a:ln>
                <a:latin typeface="나눔바른고딕" panose="020B0603020101020101" pitchFamily="50" charset="-127"/>
                <a:ea typeface="나눔바른고딕" panose="020B0603020101020101" pitchFamily="50" charset="-127"/>
              </a:rPr>
              <a:t> 신규 팔로워 일자별 유입 지수</a:t>
            </a:r>
            <a:r>
              <a:rPr lang="ko-KR" altLang="en-US" sz="1400" b="1" dirty="0">
                <a:ln>
                  <a:solidFill>
                    <a:schemeClr val="bg1">
                      <a:alpha val="10000"/>
                    </a:schemeClr>
                  </a:solidFill>
                </a:ln>
                <a:latin typeface="나눔바른고딕" panose="020B0603020101020101" pitchFamily="50" charset="-127"/>
                <a:ea typeface="나눔바른고딕" panose="020B0603020101020101" pitchFamily="50" charset="-127"/>
              </a:rPr>
              <a:t> </a:t>
            </a:r>
            <a:r>
              <a:rPr lang="en-US" altLang="ko-KR" sz="1400" b="1" dirty="0">
                <a:ln>
                  <a:solidFill>
                    <a:schemeClr val="bg1">
                      <a:alpha val="10000"/>
                    </a:schemeClr>
                  </a:solidFill>
                </a:ln>
                <a:latin typeface="나눔바른고딕" panose="020B0603020101020101" pitchFamily="50" charset="-127"/>
                <a:ea typeface="나눔바른고딕" panose="020B0603020101020101" pitchFamily="50" charset="-127"/>
              </a:rPr>
              <a:t>]</a:t>
            </a:r>
            <a:endParaRPr lang="ko-KR" sz="1400" b="1" dirty="0">
              <a:ln>
                <a:solidFill>
                  <a:schemeClr val="bg1">
                    <a:alpha val="10000"/>
                  </a:schemeClr>
                </a:solidFill>
              </a:ln>
              <a:latin typeface="나눔바른고딕" panose="020B0603020101020101" pitchFamily="50" charset="-127"/>
              <a:ea typeface="나눔바른고딕" panose="020B0603020101020101" pitchFamily="50" charset="-127"/>
            </a:endParaRPr>
          </a:p>
        </c:rich>
      </c:tx>
      <c:layout>
        <c:manualLayout>
          <c:xMode val="edge"/>
          <c:yMode val="edge"/>
          <c:x val="0.36529907166762771"/>
          <c:y val="1.6389591045840615E-2"/>
        </c:manualLayout>
      </c:layout>
      <c:overlay val="0"/>
      <c:spPr>
        <a:noFill/>
        <a:ln>
          <a:noFill/>
        </a:ln>
        <a:effectLst/>
      </c:spPr>
    </c:title>
    <c:autoTitleDeleted val="0"/>
    <c:plotArea>
      <c:layout>
        <c:manualLayout>
          <c:layoutTarget val="inner"/>
          <c:xMode val="edge"/>
          <c:yMode val="edge"/>
          <c:x val="4.2898856861828975E-2"/>
          <c:y val="0.18533118056280698"/>
          <c:w val="0.94369018045856656"/>
          <c:h val="0.65140657415926695"/>
        </c:manualLayout>
      </c:layout>
      <c:barChart>
        <c:barDir val="col"/>
        <c:grouping val="clustered"/>
        <c:varyColors val="0"/>
        <c:ser>
          <c:idx val="1"/>
          <c:order val="0"/>
          <c:tx>
            <c:strRef>
              <c:f>'5p'!$B$10</c:f>
              <c:strCache>
                <c:ptCount val="1"/>
                <c:pt idx="0">
                  <c:v>3월 신규 오가닉 팔로워 수</c:v>
                </c:pt>
              </c:strCache>
            </c:strRef>
          </c:tx>
          <c:spPr>
            <a:solidFill>
              <a:srgbClr val="0E306D"/>
            </a:solidFill>
            <a:ln>
              <a:noFill/>
            </a:ln>
            <a:effectLst/>
          </c:spPr>
          <c:invertIfNegative val="0"/>
          <c:cat>
            <c:strRef>
              <c:f>'5p'!$A$11:$A$41</c:f>
              <c:strCache>
                <c:ptCount val="31"/>
                <c:pt idx="0">
                  <c:v>1
금</c:v>
                </c:pt>
                <c:pt idx="1">
                  <c:v>2
토</c:v>
                </c:pt>
                <c:pt idx="2">
                  <c:v>3
일</c:v>
                </c:pt>
                <c:pt idx="3">
                  <c:v>4
월</c:v>
                </c:pt>
                <c:pt idx="4">
                  <c:v>5
화</c:v>
                </c:pt>
                <c:pt idx="5">
                  <c:v>6
수</c:v>
                </c:pt>
                <c:pt idx="6">
                  <c:v>7
목</c:v>
                </c:pt>
                <c:pt idx="7">
                  <c:v>8
금</c:v>
                </c:pt>
                <c:pt idx="8">
                  <c:v>9
토</c:v>
                </c:pt>
                <c:pt idx="9">
                  <c:v>10
일</c:v>
                </c:pt>
                <c:pt idx="10">
                  <c:v>11
월</c:v>
                </c:pt>
                <c:pt idx="11">
                  <c:v>12
화</c:v>
                </c:pt>
                <c:pt idx="12">
                  <c:v>13
수</c:v>
                </c:pt>
                <c:pt idx="13">
                  <c:v>14
목</c:v>
                </c:pt>
                <c:pt idx="14">
                  <c:v>15
금</c:v>
                </c:pt>
                <c:pt idx="15">
                  <c:v>16
토</c:v>
                </c:pt>
                <c:pt idx="16">
                  <c:v>17
일</c:v>
                </c:pt>
                <c:pt idx="17">
                  <c:v>18
월</c:v>
                </c:pt>
                <c:pt idx="18">
                  <c:v>19
화</c:v>
                </c:pt>
                <c:pt idx="19">
                  <c:v>20
수</c:v>
                </c:pt>
                <c:pt idx="20">
                  <c:v>21
목</c:v>
                </c:pt>
                <c:pt idx="21">
                  <c:v>22
금</c:v>
                </c:pt>
                <c:pt idx="22">
                  <c:v>23
토</c:v>
                </c:pt>
                <c:pt idx="23">
                  <c:v>24
일</c:v>
                </c:pt>
                <c:pt idx="24">
                  <c:v>25
월</c:v>
                </c:pt>
                <c:pt idx="25">
                  <c:v>26
화</c:v>
                </c:pt>
                <c:pt idx="26">
                  <c:v>27
수</c:v>
                </c:pt>
                <c:pt idx="27">
                  <c:v>28
목</c:v>
                </c:pt>
                <c:pt idx="28">
                  <c:v>29
금</c:v>
                </c:pt>
                <c:pt idx="29">
                  <c:v>30
토</c:v>
                </c:pt>
                <c:pt idx="30">
                  <c:v>31
일</c:v>
                </c:pt>
              </c:strCache>
            </c:strRef>
          </c:cat>
          <c:val>
            <c:numRef>
              <c:f>'5p'!$B$11:$B$41</c:f>
              <c:numCache>
                <c:formatCode>General</c:formatCode>
                <c:ptCount val="31"/>
                <c:pt idx="0">
                  <c:v>32</c:v>
                </c:pt>
                <c:pt idx="1">
                  <c:v>30</c:v>
                </c:pt>
                <c:pt idx="2">
                  <c:v>31</c:v>
                </c:pt>
                <c:pt idx="3">
                  <c:v>37</c:v>
                </c:pt>
                <c:pt idx="4">
                  <c:v>41</c:v>
                </c:pt>
                <c:pt idx="5">
                  <c:v>39</c:v>
                </c:pt>
                <c:pt idx="6">
                  <c:v>35</c:v>
                </c:pt>
                <c:pt idx="7">
                  <c:v>37</c:v>
                </c:pt>
                <c:pt idx="8">
                  <c:v>30</c:v>
                </c:pt>
                <c:pt idx="9">
                  <c:v>33</c:v>
                </c:pt>
                <c:pt idx="10">
                  <c:v>39</c:v>
                </c:pt>
                <c:pt idx="11">
                  <c:v>44</c:v>
                </c:pt>
                <c:pt idx="12">
                  <c:v>39</c:v>
                </c:pt>
                <c:pt idx="13">
                  <c:v>28</c:v>
                </c:pt>
                <c:pt idx="14">
                  <c:v>32</c:v>
                </c:pt>
                <c:pt idx="15">
                  <c:v>33</c:v>
                </c:pt>
                <c:pt idx="16">
                  <c:v>27</c:v>
                </c:pt>
                <c:pt idx="17">
                  <c:v>34</c:v>
                </c:pt>
                <c:pt idx="18">
                  <c:v>31</c:v>
                </c:pt>
                <c:pt idx="19">
                  <c:v>41</c:v>
                </c:pt>
                <c:pt idx="20">
                  <c:v>57</c:v>
                </c:pt>
                <c:pt idx="21">
                  <c:v>47</c:v>
                </c:pt>
                <c:pt idx="22">
                  <c:v>43</c:v>
                </c:pt>
                <c:pt idx="23">
                  <c:v>24</c:v>
                </c:pt>
                <c:pt idx="24">
                  <c:v>38</c:v>
                </c:pt>
                <c:pt idx="25">
                  <c:v>70</c:v>
                </c:pt>
                <c:pt idx="26">
                  <c:v>90</c:v>
                </c:pt>
                <c:pt idx="27">
                  <c:v>69</c:v>
                </c:pt>
                <c:pt idx="28">
                  <c:v>70</c:v>
                </c:pt>
                <c:pt idx="29">
                  <c:v>44</c:v>
                </c:pt>
                <c:pt idx="30">
                  <c:v>34</c:v>
                </c:pt>
              </c:numCache>
            </c:numRef>
          </c:val>
          <c:extLst>
            <c:ext xmlns:c16="http://schemas.microsoft.com/office/drawing/2014/chart" uri="{C3380CC4-5D6E-409C-BE32-E72D297353CC}">
              <c16:uniqueId val="{00000010-D889-BB4B-8F8C-AF65EB718729}"/>
            </c:ext>
          </c:extLst>
        </c:ser>
        <c:ser>
          <c:idx val="2"/>
          <c:order val="1"/>
          <c:tx>
            <c:strRef>
              <c:f>'5p'!$C$10</c:f>
              <c:strCache>
                <c:ptCount val="1"/>
                <c:pt idx="0">
                  <c:v>3월 신규 오가닉+광고 팔로워 수</c:v>
                </c:pt>
              </c:strCache>
            </c:strRef>
          </c:tx>
          <c:spPr>
            <a:solidFill>
              <a:srgbClr val="8FB2F1"/>
            </a:solidFill>
            <a:ln>
              <a:noFill/>
            </a:ln>
            <a:effectLst/>
          </c:spPr>
          <c:invertIfNegative val="0"/>
          <c:cat>
            <c:strRef>
              <c:f>'5p'!$A$11:$A$41</c:f>
              <c:strCache>
                <c:ptCount val="31"/>
                <c:pt idx="0">
                  <c:v>1
금</c:v>
                </c:pt>
                <c:pt idx="1">
                  <c:v>2
토</c:v>
                </c:pt>
                <c:pt idx="2">
                  <c:v>3
일</c:v>
                </c:pt>
                <c:pt idx="3">
                  <c:v>4
월</c:v>
                </c:pt>
                <c:pt idx="4">
                  <c:v>5
화</c:v>
                </c:pt>
                <c:pt idx="5">
                  <c:v>6
수</c:v>
                </c:pt>
                <c:pt idx="6">
                  <c:v>7
목</c:v>
                </c:pt>
                <c:pt idx="7">
                  <c:v>8
금</c:v>
                </c:pt>
                <c:pt idx="8">
                  <c:v>9
토</c:v>
                </c:pt>
                <c:pt idx="9">
                  <c:v>10
일</c:v>
                </c:pt>
                <c:pt idx="10">
                  <c:v>11
월</c:v>
                </c:pt>
                <c:pt idx="11">
                  <c:v>12
화</c:v>
                </c:pt>
                <c:pt idx="12">
                  <c:v>13
수</c:v>
                </c:pt>
                <c:pt idx="13">
                  <c:v>14
목</c:v>
                </c:pt>
                <c:pt idx="14">
                  <c:v>15
금</c:v>
                </c:pt>
                <c:pt idx="15">
                  <c:v>16
토</c:v>
                </c:pt>
                <c:pt idx="16">
                  <c:v>17
일</c:v>
                </c:pt>
                <c:pt idx="17">
                  <c:v>18
월</c:v>
                </c:pt>
                <c:pt idx="18">
                  <c:v>19
화</c:v>
                </c:pt>
                <c:pt idx="19">
                  <c:v>20
수</c:v>
                </c:pt>
                <c:pt idx="20">
                  <c:v>21
목</c:v>
                </c:pt>
                <c:pt idx="21">
                  <c:v>22
금</c:v>
                </c:pt>
                <c:pt idx="22">
                  <c:v>23
토</c:v>
                </c:pt>
                <c:pt idx="23">
                  <c:v>24
일</c:v>
                </c:pt>
                <c:pt idx="24">
                  <c:v>25
월</c:v>
                </c:pt>
                <c:pt idx="25">
                  <c:v>26
화</c:v>
                </c:pt>
                <c:pt idx="26">
                  <c:v>27
수</c:v>
                </c:pt>
                <c:pt idx="27">
                  <c:v>28
목</c:v>
                </c:pt>
                <c:pt idx="28">
                  <c:v>29
금</c:v>
                </c:pt>
                <c:pt idx="29">
                  <c:v>30
토</c:v>
                </c:pt>
                <c:pt idx="30">
                  <c:v>31
일</c:v>
                </c:pt>
              </c:strCache>
            </c:strRef>
          </c:cat>
          <c:val>
            <c:numRef>
              <c:f>'5p'!$C$11:$C$41</c:f>
              <c:numCache>
                <c:formatCode>General</c:formatCode>
                <c:ptCount val="31"/>
                <c:pt idx="0">
                  <c:v>65</c:v>
                </c:pt>
                <c:pt idx="1">
                  <c:v>46</c:v>
                </c:pt>
                <c:pt idx="2">
                  <c:v>48</c:v>
                </c:pt>
                <c:pt idx="3">
                  <c:v>75</c:v>
                </c:pt>
                <c:pt idx="4">
                  <c:v>65</c:v>
                </c:pt>
                <c:pt idx="5">
                  <c:v>72</c:v>
                </c:pt>
                <c:pt idx="6">
                  <c:v>65</c:v>
                </c:pt>
                <c:pt idx="7">
                  <c:v>61</c:v>
                </c:pt>
                <c:pt idx="8">
                  <c:v>52</c:v>
                </c:pt>
                <c:pt idx="9">
                  <c:v>46</c:v>
                </c:pt>
                <c:pt idx="10">
                  <c:v>74</c:v>
                </c:pt>
                <c:pt idx="11">
                  <c:v>68</c:v>
                </c:pt>
                <c:pt idx="12">
                  <c:v>56</c:v>
                </c:pt>
                <c:pt idx="13">
                  <c:v>50</c:v>
                </c:pt>
                <c:pt idx="14">
                  <c:v>51</c:v>
                </c:pt>
                <c:pt idx="15">
                  <c:v>43</c:v>
                </c:pt>
                <c:pt idx="16">
                  <c:v>41</c:v>
                </c:pt>
                <c:pt idx="17">
                  <c:v>57</c:v>
                </c:pt>
                <c:pt idx="18">
                  <c:v>57</c:v>
                </c:pt>
                <c:pt idx="19">
                  <c:v>58</c:v>
                </c:pt>
                <c:pt idx="20">
                  <c:v>76</c:v>
                </c:pt>
                <c:pt idx="21">
                  <c:v>54</c:v>
                </c:pt>
                <c:pt idx="22">
                  <c:v>48</c:v>
                </c:pt>
                <c:pt idx="23">
                  <c:v>34</c:v>
                </c:pt>
                <c:pt idx="24">
                  <c:v>64</c:v>
                </c:pt>
                <c:pt idx="25">
                  <c:v>95</c:v>
                </c:pt>
                <c:pt idx="26">
                  <c:v>118</c:v>
                </c:pt>
                <c:pt idx="27">
                  <c:v>97</c:v>
                </c:pt>
                <c:pt idx="28">
                  <c:v>96</c:v>
                </c:pt>
                <c:pt idx="29">
                  <c:v>62</c:v>
                </c:pt>
                <c:pt idx="30">
                  <c:v>46</c:v>
                </c:pt>
              </c:numCache>
            </c:numRef>
          </c:val>
          <c:extLst>
            <c:ext xmlns:c16="http://schemas.microsoft.com/office/drawing/2014/chart" uri="{C3380CC4-5D6E-409C-BE32-E72D297353CC}">
              <c16:uniqueId val="{00000000-2220-43DB-BB65-CCFA20F0D17F}"/>
            </c:ext>
          </c:extLst>
        </c:ser>
        <c:dLbls>
          <c:showLegendKey val="0"/>
          <c:showVal val="0"/>
          <c:showCatName val="0"/>
          <c:showSerName val="0"/>
          <c:showPercent val="0"/>
          <c:showBubbleSize val="0"/>
        </c:dLbls>
        <c:gapWidth val="78"/>
        <c:axId val="-1754076816"/>
        <c:axId val="-1754076272"/>
        <c:extLst>
          <c:ext xmlns:c15="http://schemas.microsoft.com/office/drawing/2012/chart" uri="{02D57815-91ED-43cb-92C2-25804820EDAC}">
            <c15:filteredBarSeries>
              <c15:ser>
                <c:idx val="3"/>
                <c:order val="3"/>
                <c:tx>
                  <c:strRef>
                    <c:extLst>
                      <c:ext uri="{02D57815-91ED-43cb-92C2-25804820EDAC}">
                        <c15:formulaRef>
                          <c15:sqref>'5p'!$E$10</c15:sqref>
                        </c15:formulaRef>
                      </c:ext>
                    </c:extLst>
                    <c:strCache>
                      <c:ptCount val="1"/>
                      <c:pt idx="0">
                        <c:v>업로드?</c:v>
                      </c:pt>
                    </c:strCache>
                  </c:strRef>
                </c:tx>
                <c:invertIfNegative val="0"/>
                <c:cat>
                  <c:strRef>
                    <c:extLst>
                      <c:ext uri="{02D57815-91ED-43cb-92C2-25804820EDAC}">
                        <c15:formulaRef>
                          <c15:sqref>'5p'!$A$11:$A$41</c15:sqref>
                        </c15:formulaRef>
                      </c:ext>
                    </c:extLst>
                    <c:strCache>
                      <c:ptCount val="31"/>
                      <c:pt idx="0">
                        <c:v>1
금</c:v>
                      </c:pt>
                      <c:pt idx="1">
                        <c:v>2
토</c:v>
                      </c:pt>
                      <c:pt idx="2">
                        <c:v>3
일</c:v>
                      </c:pt>
                      <c:pt idx="3">
                        <c:v>4
월</c:v>
                      </c:pt>
                      <c:pt idx="4">
                        <c:v>5
화</c:v>
                      </c:pt>
                      <c:pt idx="5">
                        <c:v>6
수</c:v>
                      </c:pt>
                      <c:pt idx="6">
                        <c:v>7
목</c:v>
                      </c:pt>
                      <c:pt idx="7">
                        <c:v>8
금</c:v>
                      </c:pt>
                      <c:pt idx="8">
                        <c:v>9
토</c:v>
                      </c:pt>
                      <c:pt idx="9">
                        <c:v>10
일</c:v>
                      </c:pt>
                      <c:pt idx="10">
                        <c:v>11
월</c:v>
                      </c:pt>
                      <c:pt idx="11">
                        <c:v>12
화</c:v>
                      </c:pt>
                      <c:pt idx="12">
                        <c:v>13
수</c:v>
                      </c:pt>
                      <c:pt idx="13">
                        <c:v>14
목</c:v>
                      </c:pt>
                      <c:pt idx="14">
                        <c:v>15
금</c:v>
                      </c:pt>
                      <c:pt idx="15">
                        <c:v>16
토</c:v>
                      </c:pt>
                      <c:pt idx="16">
                        <c:v>17
일</c:v>
                      </c:pt>
                      <c:pt idx="17">
                        <c:v>18
월</c:v>
                      </c:pt>
                      <c:pt idx="18">
                        <c:v>19
화</c:v>
                      </c:pt>
                      <c:pt idx="19">
                        <c:v>20
수</c:v>
                      </c:pt>
                      <c:pt idx="20">
                        <c:v>21
목</c:v>
                      </c:pt>
                      <c:pt idx="21">
                        <c:v>22
금</c:v>
                      </c:pt>
                      <c:pt idx="22">
                        <c:v>23
토</c:v>
                      </c:pt>
                      <c:pt idx="23">
                        <c:v>24
일</c:v>
                      </c:pt>
                      <c:pt idx="24">
                        <c:v>25
월</c:v>
                      </c:pt>
                      <c:pt idx="25">
                        <c:v>26
화</c:v>
                      </c:pt>
                      <c:pt idx="26">
                        <c:v>27
수</c:v>
                      </c:pt>
                      <c:pt idx="27">
                        <c:v>28
목</c:v>
                      </c:pt>
                      <c:pt idx="28">
                        <c:v>29
금</c:v>
                      </c:pt>
                      <c:pt idx="29">
                        <c:v>30
토</c:v>
                      </c:pt>
                      <c:pt idx="30">
                        <c:v>31
일</c:v>
                      </c:pt>
                    </c:strCache>
                  </c:strRef>
                </c:cat>
                <c:val>
                  <c:numRef>
                    <c:extLst>
                      <c:ext uri="{02D57815-91ED-43cb-92C2-25804820EDAC}">
                        <c15:formulaRef>
                          <c15:sqref>'5p'!$E$11:$E$41</c15:sqref>
                        </c15:formulaRef>
                      </c:ext>
                    </c:extLst>
                    <c:numCache>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extLst>
                  <c:ext xmlns:c16="http://schemas.microsoft.com/office/drawing/2014/chart" uri="{C3380CC4-5D6E-409C-BE32-E72D297353CC}">
                    <c16:uniqueId val="{00000001-CEB3-4BCF-96B1-7C1E4741076A}"/>
                  </c:ext>
                </c:extLst>
              </c15:ser>
            </c15:filteredBarSeries>
          </c:ext>
        </c:extLst>
      </c:barChart>
      <c:scatterChart>
        <c:scatterStyle val="lineMarker"/>
        <c:varyColors val="0"/>
        <c:ser>
          <c:idx val="0"/>
          <c:order val="2"/>
          <c:tx>
            <c:strRef>
              <c:f>'5p'!$D$10</c:f>
              <c:strCache>
                <c:ptCount val="1"/>
                <c:pt idx="0">
                  <c:v>광고 집행 시작일</c:v>
                </c:pt>
              </c:strCache>
              <c:extLst xmlns:c15="http://schemas.microsoft.com/office/drawing/2012/chart"/>
            </c:strRef>
          </c:tx>
          <c:spPr>
            <a:ln w="19050">
              <a:noFill/>
            </a:ln>
          </c:spPr>
          <c:marker>
            <c:symbol val="picture"/>
            <c:spPr>
              <a:blipFill>
                <a:blip xmlns:r="http://schemas.openxmlformats.org/officeDocument/2006/relationships" r:embed="rId1"/>
                <a:stretch>
                  <a:fillRect/>
                </a:stretch>
              </a:blipFill>
              <a:ln>
                <a:noFill/>
              </a:ln>
            </c:spPr>
          </c:marker>
          <c:xVal>
            <c:strRef>
              <c:f>'5p'!$A$11:$A$41</c:f>
              <c:strCache>
                <c:ptCount val="31"/>
                <c:pt idx="0">
                  <c:v>1
금</c:v>
                </c:pt>
                <c:pt idx="1">
                  <c:v>2
토</c:v>
                </c:pt>
                <c:pt idx="2">
                  <c:v>3
일</c:v>
                </c:pt>
                <c:pt idx="3">
                  <c:v>4
월</c:v>
                </c:pt>
                <c:pt idx="4">
                  <c:v>5
화</c:v>
                </c:pt>
                <c:pt idx="5">
                  <c:v>6
수</c:v>
                </c:pt>
                <c:pt idx="6">
                  <c:v>7
목</c:v>
                </c:pt>
                <c:pt idx="7">
                  <c:v>8
금</c:v>
                </c:pt>
                <c:pt idx="8">
                  <c:v>9
토</c:v>
                </c:pt>
                <c:pt idx="9">
                  <c:v>10
일</c:v>
                </c:pt>
                <c:pt idx="10">
                  <c:v>11
월</c:v>
                </c:pt>
                <c:pt idx="11">
                  <c:v>12
화</c:v>
                </c:pt>
                <c:pt idx="12">
                  <c:v>13
수</c:v>
                </c:pt>
                <c:pt idx="13">
                  <c:v>14
목</c:v>
                </c:pt>
                <c:pt idx="14">
                  <c:v>15
금</c:v>
                </c:pt>
                <c:pt idx="15">
                  <c:v>16
토</c:v>
                </c:pt>
                <c:pt idx="16">
                  <c:v>17
일</c:v>
                </c:pt>
                <c:pt idx="17">
                  <c:v>18
월</c:v>
                </c:pt>
                <c:pt idx="18">
                  <c:v>19
화</c:v>
                </c:pt>
                <c:pt idx="19">
                  <c:v>20
수</c:v>
                </c:pt>
                <c:pt idx="20">
                  <c:v>21
목</c:v>
                </c:pt>
                <c:pt idx="21">
                  <c:v>22
금</c:v>
                </c:pt>
                <c:pt idx="22">
                  <c:v>23
토</c:v>
                </c:pt>
                <c:pt idx="23">
                  <c:v>24
일</c:v>
                </c:pt>
                <c:pt idx="24">
                  <c:v>25
월</c:v>
                </c:pt>
                <c:pt idx="25">
                  <c:v>26
화</c:v>
                </c:pt>
                <c:pt idx="26">
                  <c:v>27
수</c:v>
                </c:pt>
                <c:pt idx="27">
                  <c:v>28
목</c:v>
                </c:pt>
                <c:pt idx="28">
                  <c:v>29
금</c:v>
                </c:pt>
                <c:pt idx="29">
                  <c:v>30
토</c:v>
                </c:pt>
                <c:pt idx="30">
                  <c:v>31
일</c:v>
                </c:pt>
              </c:strCache>
              <c:extLst xmlns:c15="http://schemas.microsoft.com/office/drawing/2012/chart"/>
            </c:strRef>
          </c:xVal>
          <c:yVal>
            <c:numRef>
              <c:f>'5p'!$D$11:$D$41</c:f>
              <c:numCache>
                <c:formatCode>General</c:formatCode>
                <c:ptCount val="31"/>
                <c:pt idx="0">
                  <c:v>#N/A</c:v>
                </c:pt>
                <c:pt idx="1">
                  <c:v>#N/A</c:v>
                </c:pt>
                <c:pt idx="2">
                  <c:v>#N/A</c:v>
                </c:pt>
                <c:pt idx="3">
                  <c:v>90</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79</c:v>
                </c:pt>
                <c:pt idx="25">
                  <c:v>#N/A</c:v>
                </c:pt>
                <c:pt idx="26">
                  <c:v>#N/A</c:v>
                </c:pt>
                <c:pt idx="27">
                  <c:v>#N/A</c:v>
                </c:pt>
                <c:pt idx="28">
                  <c:v>#N/A</c:v>
                </c:pt>
                <c:pt idx="29">
                  <c:v>#N/A</c:v>
                </c:pt>
                <c:pt idx="30">
                  <c:v>#N/A</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0-CEB3-4BCF-96B1-7C1E4741076A}"/>
            </c:ext>
          </c:extLst>
        </c:ser>
        <c:dLbls>
          <c:showLegendKey val="0"/>
          <c:showVal val="0"/>
          <c:showCatName val="0"/>
          <c:showSerName val="0"/>
          <c:showPercent val="0"/>
          <c:showBubbleSize val="0"/>
        </c:dLbls>
        <c:axId val="-1754076816"/>
        <c:axId val="-1754076272"/>
      </c:scatterChart>
      <c:dateAx>
        <c:axId val="-1754076816"/>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mn-lt"/>
                <a:ea typeface="+mn-ea"/>
                <a:cs typeface="+mn-cs"/>
              </a:defRPr>
            </a:pPr>
            <a:endParaRPr lang="ko-KR"/>
          </a:p>
        </c:txPr>
        <c:crossAx val="-1754076272"/>
        <c:crosses val="autoZero"/>
        <c:auto val="0"/>
        <c:lblOffset val="100"/>
        <c:baseTimeUnit val="days"/>
      </c:dateAx>
      <c:valAx>
        <c:axId val="-1754076272"/>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lumMod val="50000"/>
                  </a:schemeClr>
                </a:solidFill>
                <a:latin typeface="NanumBarunGothic" panose="020B0603020101020101" pitchFamily="34" charset="-127"/>
                <a:ea typeface="NanumBarunGothic" panose="020B0603020101020101" pitchFamily="34" charset="-127"/>
                <a:cs typeface="+mn-cs"/>
              </a:defRPr>
            </a:pPr>
            <a:endParaRPr lang="ko-KR"/>
          </a:p>
        </c:txPr>
        <c:crossAx val="-1754076816"/>
        <c:crosses val="autoZero"/>
        <c:crossBetween val="between"/>
      </c:valAx>
      <c:spPr>
        <a:noFill/>
        <a:ln>
          <a:noFill/>
        </a:ln>
        <a:effectLst/>
      </c:spPr>
    </c:plotArea>
    <c:legend>
      <c:legendPos val="b"/>
      <c:layout>
        <c:manualLayout>
          <c:xMode val="edge"/>
          <c:yMode val="edge"/>
          <c:x val="0.24475765276857664"/>
          <c:y val="0.10934086014938049"/>
          <c:w val="0.54650337645637781"/>
          <c:h val="5.5651217425870474E-2"/>
        </c:manualLayout>
      </c:layout>
      <c:overlay val="0"/>
      <c:spPr>
        <a:noFill/>
        <a:ln>
          <a:noFill/>
        </a:ln>
        <a:effectLst/>
      </c:spPr>
      <c:txPr>
        <a:bodyPr rot="0" spcFirstLastPara="1" vertOverflow="ellipsis" vert="horz" wrap="square" anchor="ctr" anchorCtr="1"/>
        <a:lstStyle/>
        <a:p>
          <a:pPr algn="just">
            <a:defRPr sz="950" b="1" i="0" u="none" strike="noStrike" kern="1200" baseline="0">
              <a:solidFill>
                <a:schemeClr val="bg1">
                  <a:lumMod val="50000"/>
                </a:schemeClr>
              </a:solidFill>
              <a:latin typeface="NanumBarunGothic" panose="020B0603020101020101" pitchFamily="34" charset="-127"/>
              <a:ea typeface="NanumBarunGothic" panose="020B0603020101020101" pitchFamily="34" charset="-127"/>
              <a:cs typeface="+mn-cs"/>
            </a:defRPr>
          </a:pPr>
          <a:endParaRPr lang="ko-KR"/>
        </a:p>
      </c:txPr>
    </c:legend>
    <c:plotVisOnly val="1"/>
    <c:dispBlanksAs val="gap"/>
    <c:showDLblsOverMax val="0"/>
  </c:chart>
  <c:spPr>
    <a:solidFill>
      <a:srgbClr val="F5F5F5"/>
    </a:solidFill>
    <a:ln w="9525" cap="flat" cmpd="sng" algn="ctr">
      <a:noFill/>
      <a:round/>
    </a:ln>
    <a:effectLst/>
  </c:spPr>
  <c:txPr>
    <a:bodyPr/>
    <a:lstStyle/>
    <a:p>
      <a:pPr>
        <a:defRPr/>
      </a:pPr>
      <a:endParaRPr lang="ko-KR"/>
    </a:p>
  </c:txPr>
  <c:printSettings>
    <c:headerFooter/>
    <c:pageMargins b="0.75" l="0.7" r="0.7" t="0.75" header="0.3" footer="0.3"/>
    <c:pageSetup/>
  </c:printSettings>
  <c:userShapes r:id="rId2"/>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2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dirty="0"/>
              <a:t>[</a:t>
            </a:r>
            <a:r>
              <a:rPr lang="ko-KR" altLang="en-US" dirty="0"/>
              <a:t> </a:t>
            </a:r>
            <a:r>
              <a:rPr lang="en-US" dirty="0"/>
              <a:t>Total Page Views by Desktop &amp; Mobile</a:t>
            </a:r>
            <a:r>
              <a:rPr lang="ko-KR" altLang="en-US" dirty="0"/>
              <a:t> </a:t>
            </a:r>
            <a:r>
              <a:rPr lang="en-US" altLang="ko-KR" dirty="0"/>
              <a:t>]</a:t>
            </a:r>
            <a:endParaRPr lang="en-US" dirty="0"/>
          </a:p>
        </c:rich>
      </c:tx>
      <c:layout>
        <c:manualLayout>
          <c:xMode val="edge"/>
          <c:yMode val="edge"/>
          <c:x val="0.35656597437023335"/>
          <c:y val="0"/>
        </c:manualLayout>
      </c:layout>
      <c:overlay val="0"/>
      <c:spPr>
        <a:noFill/>
        <a:ln>
          <a:noFill/>
        </a:ln>
        <a:effectLst/>
      </c:spPr>
      <c:txPr>
        <a:bodyPr rot="0" spcFirstLastPara="1" vertOverflow="ellipsis" vert="horz" wrap="square" anchor="ctr" anchorCtr="1"/>
        <a:lstStyle/>
        <a:p>
          <a:pPr>
            <a:defRPr sz="132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manualLayout>
          <c:layoutTarget val="inner"/>
          <c:xMode val="edge"/>
          <c:yMode val="edge"/>
          <c:x val="4.1783859883427692E-2"/>
          <c:y val="0.16944873696447271"/>
          <c:w val="0.94187387056714322"/>
          <c:h val="0.65706594268196683"/>
        </c:manualLayout>
      </c:layout>
      <c:lineChart>
        <c:grouping val="standard"/>
        <c:varyColors val="0"/>
        <c:ser>
          <c:idx val="0"/>
          <c:order val="0"/>
          <c:tx>
            <c:strRef>
              <c:f>'6p'!$B$10</c:f>
              <c:strCache>
                <c:ptCount val="1"/>
                <c:pt idx="0">
                  <c:v>DESKTOP</c:v>
                </c:pt>
              </c:strCache>
            </c:strRef>
          </c:tx>
          <c:spPr>
            <a:ln w="34925" cap="rnd">
              <a:solidFill>
                <a:srgbClr val="0E306D"/>
              </a:solidFill>
              <a:prstDash val="solid"/>
              <a:round/>
            </a:ln>
            <a:effectLst/>
          </c:spPr>
          <c:marker>
            <c:symbol val="none"/>
          </c:marker>
          <c:cat>
            <c:strRef>
              <c:f>'6p'!$A$11:$A$41</c:f>
              <c:strCache>
                <c:ptCount val="31"/>
                <c:pt idx="0">
                  <c:v>1
금</c:v>
                </c:pt>
                <c:pt idx="1">
                  <c:v>2
토</c:v>
                </c:pt>
                <c:pt idx="2">
                  <c:v>3
일</c:v>
                </c:pt>
                <c:pt idx="3">
                  <c:v>4
월</c:v>
                </c:pt>
                <c:pt idx="4">
                  <c:v>5
화</c:v>
                </c:pt>
                <c:pt idx="5">
                  <c:v>6
수</c:v>
                </c:pt>
                <c:pt idx="6">
                  <c:v>7
목</c:v>
                </c:pt>
                <c:pt idx="7">
                  <c:v>8
금</c:v>
                </c:pt>
                <c:pt idx="8">
                  <c:v>9
토</c:v>
                </c:pt>
                <c:pt idx="9">
                  <c:v>10
일</c:v>
                </c:pt>
                <c:pt idx="10">
                  <c:v>11
월</c:v>
                </c:pt>
                <c:pt idx="11">
                  <c:v>12
화</c:v>
                </c:pt>
                <c:pt idx="12">
                  <c:v>13
수</c:v>
                </c:pt>
                <c:pt idx="13">
                  <c:v>14
목</c:v>
                </c:pt>
                <c:pt idx="14">
                  <c:v>15
금</c:v>
                </c:pt>
                <c:pt idx="15">
                  <c:v>16
토</c:v>
                </c:pt>
                <c:pt idx="16">
                  <c:v>17
일</c:v>
                </c:pt>
                <c:pt idx="17">
                  <c:v>18
월</c:v>
                </c:pt>
                <c:pt idx="18">
                  <c:v>19
화</c:v>
                </c:pt>
                <c:pt idx="19">
                  <c:v>20
수</c:v>
                </c:pt>
                <c:pt idx="20">
                  <c:v>21
목</c:v>
                </c:pt>
                <c:pt idx="21">
                  <c:v>22
금</c:v>
                </c:pt>
                <c:pt idx="22">
                  <c:v>23
토</c:v>
                </c:pt>
                <c:pt idx="23">
                  <c:v>24
일</c:v>
                </c:pt>
                <c:pt idx="24">
                  <c:v>25
월</c:v>
                </c:pt>
                <c:pt idx="25">
                  <c:v>26
화</c:v>
                </c:pt>
                <c:pt idx="26">
                  <c:v>27
수</c:v>
                </c:pt>
                <c:pt idx="27">
                  <c:v>28
목</c:v>
                </c:pt>
                <c:pt idx="28">
                  <c:v>29
금</c:v>
                </c:pt>
                <c:pt idx="29">
                  <c:v>30
토</c:v>
                </c:pt>
                <c:pt idx="30">
                  <c:v>31
일</c:v>
                </c:pt>
              </c:strCache>
            </c:strRef>
          </c:cat>
          <c:val>
            <c:numRef>
              <c:f>'6p'!$B$11:$B$41</c:f>
              <c:numCache>
                <c:formatCode>General</c:formatCode>
                <c:ptCount val="31"/>
                <c:pt idx="0">
                  <c:v>179</c:v>
                </c:pt>
                <c:pt idx="1">
                  <c:v>120</c:v>
                </c:pt>
                <c:pt idx="2">
                  <c:v>99</c:v>
                </c:pt>
                <c:pt idx="3">
                  <c:v>253</c:v>
                </c:pt>
                <c:pt idx="4">
                  <c:v>351</c:v>
                </c:pt>
                <c:pt idx="5">
                  <c:v>320</c:v>
                </c:pt>
                <c:pt idx="6">
                  <c:v>250</c:v>
                </c:pt>
                <c:pt idx="7">
                  <c:v>280</c:v>
                </c:pt>
                <c:pt idx="8">
                  <c:v>72</c:v>
                </c:pt>
                <c:pt idx="9">
                  <c:v>78</c:v>
                </c:pt>
                <c:pt idx="10">
                  <c:v>355</c:v>
                </c:pt>
                <c:pt idx="11">
                  <c:v>287</c:v>
                </c:pt>
                <c:pt idx="12">
                  <c:v>342</c:v>
                </c:pt>
                <c:pt idx="13">
                  <c:v>309</c:v>
                </c:pt>
                <c:pt idx="14">
                  <c:v>263</c:v>
                </c:pt>
                <c:pt idx="15">
                  <c:v>61</c:v>
                </c:pt>
                <c:pt idx="16">
                  <c:v>69</c:v>
                </c:pt>
                <c:pt idx="17">
                  <c:v>264</c:v>
                </c:pt>
                <c:pt idx="18">
                  <c:v>332</c:v>
                </c:pt>
                <c:pt idx="19">
                  <c:v>359</c:v>
                </c:pt>
                <c:pt idx="20">
                  <c:v>215</c:v>
                </c:pt>
                <c:pt idx="21">
                  <c:v>210</c:v>
                </c:pt>
                <c:pt idx="22">
                  <c:v>64</c:v>
                </c:pt>
                <c:pt idx="23">
                  <c:v>76</c:v>
                </c:pt>
                <c:pt idx="24">
                  <c:v>284</c:v>
                </c:pt>
                <c:pt idx="25">
                  <c:v>478</c:v>
                </c:pt>
                <c:pt idx="26">
                  <c:v>564</c:v>
                </c:pt>
                <c:pt idx="27">
                  <c:v>403</c:v>
                </c:pt>
                <c:pt idx="28">
                  <c:v>177</c:v>
                </c:pt>
                <c:pt idx="29">
                  <c:v>77</c:v>
                </c:pt>
                <c:pt idx="30">
                  <c:v>89</c:v>
                </c:pt>
              </c:numCache>
            </c:numRef>
          </c:val>
          <c:smooth val="0"/>
          <c:extLst>
            <c:ext xmlns:c16="http://schemas.microsoft.com/office/drawing/2014/chart" uri="{C3380CC4-5D6E-409C-BE32-E72D297353CC}">
              <c16:uniqueId val="{00000000-1603-E442-A01A-7F0B55D273DD}"/>
            </c:ext>
          </c:extLst>
        </c:ser>
        <c:ser>
          <c:idx val="1"/>
          <c:order val="1"/>
          <c:tx>
            <c:strRef>
              <c:f>'6p'!$C$10</c:f>
              <c:strCache>
                <c:ptCount val="1"/>
                <c:pt idx="0">
                  <c:v>MOBILE</c:v>
                </c:pt>
              </c:strCache>
            </c:strRef>
          </c:tx>
          <c:spPr>
            <a:ln w="34925" cap="rnd">
              <a:solidFill>
                <a:srgbClr val="0072C6"/>
              </a:solidFill>
              <a:prstDash val="sysDash"/>
              <a:round/>
            </a:ln>
            <a:effectLst/>
          </c:spPr>
          <c:marker>
            <c:symbol val="none"/>
          </c:marker>
          <c:cat>
            <c:strRef>
              <c:f>'6p'!$A$11:$A$41</c:f>
              <c:strCache>
                <c:ptCount val="31"/>
                <c:pt idx="0">
                  <c:v>1
금</c:v>
                </c:pt>
                <c:pt idx="1">
                  <c:v>2
토</c:v>
                </c:pt>
                <c:pt idx="2">
                  <c:v>3
일</c:v>
                </c:pt>
                <c:pt idx="3">
                  <c:v>4
월</c:v>
                </c:pt>
                <c:pt idx="4">
                  <c:v>5
화</c:v>
                </c:pt>
                <c:pt idx="5">
                  <c:v>6
수</c:v>
                </c:pt>
                <c:pt idx="6">
                  <c:v>7
목</c:v>
                </c:pt>
                <c:pt idx="7">
                  <c:v>8
금</c:v>
                </c:pt>
                <c:pt idx="8">
                  <c:v>9
토</c:v>
                </c:pt>
                <c:pt idx="9">
                  <c:v>10
일</c:v>
                </c:pt>
                <c:pt idx="10">
                  <c:v>11
월</c:v>
                </c:pt>
                <c:pt idx="11">
                  <c:v>12
화</c:v>
                </c:pt>
                <c:pt idx="12">
                  <c:v>13
수</c:v>
                </c:pt>
                <c:pt idx="13">
                  <c:v>14
목</c:v>
                </c:pt>
                <c:pt idx="14">
                  <c:v>15
금</c:v>
                </c:pt>
                <c:pt idx="15">
                  <c:v>16
토</c:v>
                </c:pt>
                <c:pt idx="16">
                  <c:v>17
일</c:v>
                </c:pt>
                <c:pt idx="17">
                  <c:v>18
월</c:v>
                </c:pt>
                <c:pt idx="18">
                  <c:v>19
화</c:v>
                </c:pt>
                <c:pt idx="19">
                  <c:v>20
수</c:v>
                </c:pt>
                <c:pt idx="20">
                  <c:v>21
목</c:v>
                </c:pt>
                <c:pt idx="21">
                  <c:v>22
금</c:v>
                </c:pt>
                <c:pt idx="22">
                  <c:v>23
토</c:v>
                </c:pt>
                <c:pt idx="23">
                  <c:v>24
일</c:v>
                </c:pt>
                <c:pt idx="24">
                  <c:v>25
월</c:v>
                </c:pt>
                <c:pt idx="25">
                  <c:v>26
화</c:v>
                </c:pt>
                <c:pt idx="26">
                  <c:v>27
수</c:v>
                </c:pt>
                <c:pt idx="27">
                  <c:v>28
목</c:v>
                </c:pt>
                <c:pt idx="28">
                  <c:v>29
금</c:v>
                </c:pt>
                <c:pt idx="29">
                  <c:v>30
토</c:v>
                </c:pt>
                <c:pt idx="30">
                  <c:v>31
일</c:v>
                </c:pt>
              </c:strCache>
            </c:strRef>
          </c:cat>
          <c:val>
            <c:numRef>
              <c:f>'6p'!$C$11:$C$41</c:f>
              <c:numCache>
                <c:formatCode>General</c:formatCode>
                <c:ptCount val="31"/>
                <c:pt idx="0">
                  <c:v>146</c:v>
                </c:pt>
                <c:pt idx="1">
                  <c:v>133</c:v>
                </c:pt>
                <c:pt idx="2">
                  <c:v>121</c:v>
                </c:pt>
                <c:pt idx="3">
                  <c:v>187</c:v>
                </c:pt>
                <c:pt idx="4">
                  <c:v>122</c:v>
                </c:pt>
                <c:pt idx="5">
                  <c:v>112</c:v>
                </c:pt>
                <c:pt idx="6">
                  <c:v>231</c:v>
                </c:pt>
                <c:pt idx="7">
                  <c:v>272</c:v>
                </c:pt>
                <c:pt idx="8">
                  <c:v>157</c:v>
                </c:pt>
                <c:pt idx="9">
                  <c:v>116</c:v>
                </c:pt>
                <c:pt idx="10">
                  <c:v>124</c:v>
                </c:pt>
                <c:pt idx="11">
                  <c:v>180</c:v>
                </c:pt>
                <c:pt idx="12">
                  <c:v>214</c:v>
                </c:pt>
                <c:pt idx="13">
                  <c:v>276</c:v>
                </c:pt>
                <c:pt idx="14">
                  <c:v>166</c:v>
                </c:pt>
                <c:pt idx="15">
                  <c:v>125</c:v>
                </c:pt>
                <c:pt idx="16">
                  <c:v>186</c:v>
                </c:pt>
                <c:pt idx="17">
                  <c:v>203</c:v>
                </c:pt>
                <c:pt idx="18">
                  <c:v>268</c:v>
                </c:pt>
                <c:pt idx="19">
                  <c:v>270</c:v>
                </c:pt>
                <c:pt idx="20">
                  <c:v>212</c:v>
                </c:pt>
                <c:pt idx="21">
                  <c:v>164</c:v>
                </c:pt>
                <c:pt idx="22">
                  <c:v>366</c:v>
                </c:pt>
                <c:pt idx="23">
                  <c:v>108</c:v>
                </c:pt>
                <c:pt idx="24">
                  <c:v>246</c:v>
                </c:pt>
                <c:pt idx="25">
                  <c:v>190</c:v>
                </c:pt>
                <c:pt idx="26">
                  <c:v>300</c:v>
                </c:pt>
                <c:pt idx="27">
                  <c:v>269</c:v>
                </c:pt>
                <c:pt idx="28">
                  <c:v>218</c:v>
                </c:pt>
                <c:pt idx="29">
                  <c:v>187</c:v>
                </c:pt>
                <c:pt idx="30">
                  <c:v>156</c:v>
                </c:pt>
              </c:numCache>
            </c:numRef>
          </c:val>
          <c:smooth val="0"/>
          <c:extLst>
            <c:ext xmlns:c16="http://schemas.microsoft.com/office/drawing/2014/chart" uri="{C3380CC4-5D6E-409C-BE32-E72D297353CC}">
              <c16:uniqueId val="{00000001-1603-E442-A01A-7F0B55D273DD}"/>
            </c:ext>
          </c:extLst>
        </c:ser>
        <c:dLbls>
          <c:showLegendKey val="0"/>
          <c:showVal val="0"/>
          <c:showCatName val="0"/>
          <c:showSerName val="0"/>
          <c:showPercent val="0"/>
          <c:showBubbleSize val="0"/>
        </c:dLbls>
        <c:smooth val="0"/>
        <c:axId val="-1754074640"/>
        <c:axId val="-1754074096"/>
      </c:lineChart>
      <c:dateAx>
        <c:axId val="-1754074640"/>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1754074096"/>
        <c:crosses val="autoZero"/>
        <c:auto val="0"/>
        <c:lblOffset val="100"/>
        <c:baseTimeUnit val="days"/>
      </c:dateAx>
      <c:valAx>
        <c:axId val="-1754074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1754074640"/>
        <c:crosses val="autoZero"/>
        <c:crossBetween val="between"/>
      </c:valAx>
      <c:spPr>
        <a:noFill/>
        <a:ln>
          <a:noFill/>
        </a:ln>
        <a:effectLst/>
      </c:spPr>
    </c:plotArea>
    <c:legend>
      <c:legendPos val="t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legend>
    <c:plotVisOnly val="1"/>
    <c:dispBlanksAs val="gap"/>
    <c:showDLblsOverMax val="0"/>
  </c:chart>
  <c:spPr>
    <a:solidFill>
      <a:srgbClr val="F5F5F5"/>
    </a:solidFill>
    <a:ln w="9525" cap="flat" cmpd="sng" algn="ctr">
      <a:noFill/>
      <a:round/>
    </a:ln>
    <a:effectLst/>
  </c:spPr>
  <c:txPr>
    <a:bodyPr/>
    <a:lstStyle/>
    <a:p>
      <a:pPr>
        <a:defRPr sz="1100">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ko-KR" altLang="en-US"/>
              <a:t>모바일</a:t>
            </a:r>
            <a:r>
              <a:rPr lang="en-US" altLang="ko-KR" baseline="0"/>
              <a:t> </a:t>
            </a:r>
            <a:r>
              <a:rPr lang="ko-KR" altLang="en-US" baseline="0"/>
              <a:t>페이지 </a:t>
            </a:r>
            <a:r>
              <a:rPr lang="en-US" altLang="ko-KR" baseline="0"/>
              <a:t>view </a:t>
            </a:r>
            <a:r>
              <a:rPr lang="ko-KR" altLang="en-US" baseline="0"/>
              <a:t>수 비교</a:t>
            </a:r>
            <a:endParaRPr lang="ko-KR"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lineChart>
        <c:grouping val="standard"/>
        <c:varyColors val="0"/>
        <c:ser>
          <c:idx val="2"/>
          <c:order val="2"/>
          <c:tx>
            <c:strRef>
              <c:f>'모바일 PV 월별 비교'!$C$3:$E$3</c:f>
              <c:strCache>
                <c:ptCount val="1"/>
                <c:pt idx="0">
                  <c:v>12월</c:v>
                </c:pt>
              </c:strCache>
            </c:strRef>
          </c:tx>
          <c:spPr>
            <a:ln w="28575" cap="rnd">
              <a:solidFill>
                <a:srgbClr val="00B0F0"/>
              </a:solidFill>
              <a:round/>
            </a:ln>
            <a:effectLst/>
          </c:spPr>
          <c:marker>
            <c:symbol val="circle"/>
            <c:size val="5"/>
            <c:spPr>
              <a:solidFill>
                <a:srgbClr val="00B0F0"/>
              </a:solidFill>
              <a:ln w="9525">
                <a:solidFill>
                  <a:schemeClr val="accent3"/>
                </a:solid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'모바일 PV 월별 비교'!$E$5:$E$41</c:f>
              <c:numCache>
                <c:formatCode>General</c:formatCode>
                <c:ptCount val="37"/>
                <c:pt idx="1">
                  <c:v>136</c:v>
                </c:pt>
                <c:pt idx="2">
                  <c:v>63</c:v>
                </c:pt>
                <c:pt idx="3">
                  <c:v>89</c:v>
                </c:pt>
                <c:pt idx="4">
                  <c:v>133</c:v>
                </c:pt>
                <c:pt idx="5">
                  <c:v>94</c:v>
                </c:pt>
                <c:pt idx="6">
                  <c:v>47</c:v>
                </c:pt>
                <c:pt idx="7">
                  <c:v>107</c:v>
                </c:pt>
                <c:pt idx="8">
                  <c:v>207</c:v>
                </c:pt>
                <c:pt idx="9">
                  <c:v>95</c:v>
                </c:pt>
                <c:pt idx="10">
                  <c:v>105</c:v>
                </c:pt>
                <c:pt idx="11">
                  <c:v>87</c:v>
                </c:pt>
                <c:pt idx="12">
                  <c:v>124</c:v>
                </c:pt>
                <c:pt idx="13">
                  <c:v>113</c:v>
                </c:pt>
                <c:pt idx="14">
                  <c:v>124</c:v>
                </c:pt>
                <c:pt idx="15">
                  <c:v>94</c:v>
                </c:pt>
                <c:pt idx="16">
                  <c:v>93</c:v>
                </c:pt>
                <c:pt idx="17">
                  <c:v>76</c:v>
                </c:pt>
                <c:pt idx="18">
                  <c:v>109</c:v>
                </c:pt>
                <c:pt idx="19">
                  <c:v>92</c:v>
                </c:pt>
                <c:pt idx="20">
                  <c:v>55</c:v>
                </c:pt>
                <c:pt idx="21">
                  <c:v>160</c:v>
                </c:pt>
                <c:pt idx="22">
                  <c:v>128</c:v>
                </c:pt>
                <c:pt idx="23">
                  <c:v>89</c:v>
                </c:pt>
                <c:pt idx="24">
                  <c:v>41</c:v>
                </c:pt>
                <c:pt idx="25">
                  <c:v>45</c:v>
                </c:pt>
                <c:pt idx="26">
                  <c:v>55</c:v>
                </c:pt>
                <c:pt idx="27">
                  <c:v>80</c:v>
                </c:pt>
                <c:pt idx="28">
                  <c:v>177</c:v>
                </c:pt>
                <c:pt idx="29">
                  <c:v>119</c:v>
                </c:pt>
                <c:pt idx="30">
                  <c:v>109</c:v>
                </c:pt>
                <c:pt idx="31">
                  <c:v>158</c:v>
                </c:pt>
              </c:numCache>
            </c:numRef>
          </c:val>
          <c:smooth val="0"/>
          <c:extLst>
            <c:ext xmlns:c16="http://schemas.microsoft.com/office/drawing/2014/chart" uri="{C3380CC4-5D6E-409C-BE32-E72D297353CC}">
              <c16:uniqueId val="{00000000-076D-4DCC-9138-46A323820440}"/>
            </c:ext>
          </c:extLst>
        </c:ser>
        <c:ser>
          <c:idx val="5"/>
          <c:order val="5"/>
          <c:tx>
            <c:strRef>
              <c:f>'모바일 PV 월별 비교'!$F$3:$H$3</c:f>
              <c:strCache>
                <c:ptCount val="1"/>
                <c:pt idx="0">
                  <c:v>1월</c:v>
                </c:pt>
              </c:strCache>
            </c:strRef>
          </c:tx>
          <c:spPr>
            <a:ln w="28575" cap="rnd">
              <a:solidFill>
                <a:srgbClr val="0070C0"/>
              </a:solidFill>
              <a:round/>
            </a:ln>
            <a:effectLst/>
          </c:spPr>
          <c:marker>
            <c:symbol val="circle"/>
            <c:size val="5"/>
            <c:spPr>
              <a:solidFill>
                <a:srgbClr val="0070C0"/>
              </a:solidFill>
              <a:ln w="9525">
                <a:solidFill>
                  <a:schemeClr val="bg1">
                    <a:lumMod val="50000"/>
                  </a:schemeClr>
                </a:solid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'모바일 PV 월별 비교'!$H$5:$H$41</c:f>
              <c:numCache>
                <c:formatCode>General</c:formatCode>
                <c:ptCount val="37"/>
                <c:pt idx="4">
                  <c:v>82</c:v>
                </c:pt>
                <c:pt idx="5">
                  <c:v>125</c:v>
                </c:pt>
                <c:pt idx="6">
                  <c:v>129</c:v>
                </c:pt>
                <c:pt idx="7">
                  <c:v>170</c:v>
                </c:pt>
                <c:pt idx="8">
                  <c:v>226</c:v>
                </c:pt>
                <c:pt idx="9">
                  <c:v>154</c:v>
                </c:pt>
                <c:pt idx="10">
                  <c:v>101</c:v>
                </c:pt>
                <c:pt idx="11">
                  <c:v>76</c:v>
                </c:pt>
                <c:pt idx="12">
                  <c:v>99</c:v>
                </c:pt>
                <c:pt idx="13">
                  <c:v>122</c:v>
                </c:pt>
                <c:pt idx="14">
                  <c:v>121</c:v>
                </c:pt>
                <c:pt idx="15">
                  <c:v>142</c:v>
                </c:pt>
                <c:pt idx="16">
                  <c:v>58</c:v>
                </c:pt>
                <c:pt idx="17">
                  <c:v>104</c:v>
                </c:pt>
                <c:pt idx="18">
                  <c:v>98</c:v>
                </c:pt>
                <c:pt idx="19">
                  <c:v>184</c:v>
                </c:pt>
                <c:pt idx="20">
                  <c:v>236</c:v>
                </c:pt>
                <c:pt idx="21">
                  <c:v>196</c:v>
                </c:pt>
                <c:pt idx="22">
                  <c:v>114</c:v>
                </c:pt>
                <c:pt idx="23">
                  <c:v>116</c:v>
                </c:pt>
                <c:pt idx="24">
                  <c:v>84</c:v>
                </c:pt>
                <c:pt idx="25">
                  <c:v>134</c:v>
                </c:pt>
                <c:pt idx="26">
                  <c:v>101</c:v>
                </c:pt>
                <c:pt idx="27">
                  <c:v>76</c:v>
                </c:pt>
                <c:pt idx="28">
                  <c:v>157</c:v>
                </c:pt>
                <c:pt idx="29">
                  <c:v>197</c:v>
                </c:pt>
                <c:pt idx="30">
                  <c:v>98</c:v>
                </c:pt>
                <c:pt idx="31">
                  <c:v>93</c:v>
                </c:pt>
                <c:pt idx="32">
                  <c:v>143</c:v>
                </c:pt>
                <c:pt idx="33">
                  <c:v>141</c:v>
                </c:pt>
                <c:pt idx="34">
                  <c:v>139</c:v>
                </c:pt>
              </c:numCache>
            </c:numRef>
          </c:val>
          <c:smooth val="0"/>
          <c:extLst>
            <c:ext xmlns:c16="http://schemas.microsoft.com/office/drawing/2014/chart" uri="{C3380CC4-5D6E-409C-BE32-E72D297353CC}">
              <c16:uniqueId val="{00000001-076D-4DCC-9138-46A323820440}"/>
            </c:ext>
          </c:extLst>
        </c:ser>
        <c:ser>
          <c:idx val="8"/>
          <c:order val="8"/>
          <c:tx>
            <c:strRef>
              <c:f>'모바일 PV 월별 비교'!$I$3:$K$3</c:f>
              <c:strCache>
                <c:ptCount val="1"/>
                <c:pt idx="0">
                  <c:v>2월</c:v>
                </c:pt>
              </c:strCache>
            </c:strRef>
          </c:tx>
          <c:spPr>
            <a:ln w="28575" cap="rnd">
              <a:solidFill>
                <a:srgbClr val="002060"/>
              </a:solidFill>
              <a:round/>
            </a:ln>
            <a:effectLst/>
          </c:spPr>
          <c:marker>
            <c:symbol val="circle"/>
            <c:size val="5"/>
            <c:spPr>
              <a:solidFill>
                <a:srgbClr val="002060"/>
              </a:solidFill>
              <a:ln w="9525">
                <a:solidFill>
                  <a:schemeClr val="accent3">
                    <a:lumMod val="60000"/>
                  </a:schemeClr>
                </a:solid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'모바일 PV 월별 비교'!$K$5:$K$41</c:f>
              <c:numCache>
                <c:formatCode>General</c:formatCode>
                <c:ptCount val="37"/>
                <c:pt idx="0">
                  <c:v>206</c:v>
                </c:pt>
                <c:pt idx="1">
                  <c:v>165</c:v>
                </c:pt>
                <c:pt idx="2">
                  <c:v>134</c:v>
                </c:pt>
                <c:pt idx="3">
                  <c:v>101</c:v>
                </c:pt>
                <c:pt idx="4">
                  <c:v>147</c:v>
                </c:pt>
                <c:pt idx="5">
                  <c:v>140</c:v>
                </c:pt>
                <c:pt idx="6">
                  <c:v>188</c:v>
                </c:pt>
                <c:pt idx="7">
                  <c:v>169</c:v>
                </c:pt>
                <c:pt idx="8">
                  <c:v>137</c:v>
                </c:pt>
                <c:pt idx="9">
                  <c:v>135</c:v>
                </c:pt>
                <c:pt idx="10">
                  <c:v>152</c:v>
                </c:pt>
                <c:pt idx="11">
                  <c:v>120</c:v>
                </c:pt>
                <c:pt idx="12">
                  <c:v>159</c:v>
                </c:pt>
                <c:pt idx="13">
                  <c:v>142</c:v>
                </c:pt>
                <c:pt idx="14">
                  <c:v>185</c:v>
                </c:pt>
                <c:pt idx="15">
                  <c:v>161</c:v>
                </c:pt>
                <c:pt idx="16">
                  <c:v>123</c:v>
                </c:pt>
                <c:pt idx="17">
                  <c:v>70</c:v>
                </c:pt>
                <c:pt idx="18">
                  <c:v>143</c:v>
                </c:pt>
                <c:pt idx="19">
                  <c:v>173</c:v>
                </c:pt>
                <c:pt idx="20">
                  <c:v>184</c:v>
                </c:pt>
                <c:pt idx="21">
                  <c:v>281</c:v>
                </c:pt>
                <c:pt idx="22">
                  <c:v>212</c:v>
                </c:pt>
                <c:pt idx="23">
                  <c:v>157</c:v>
                </c:pt>
                <c:pt idx="24">
                  <c:v>133</c:v>
                </c:pt>
                <c:pt idx="25">
                  <c:v>127</c:v>
                </c:pt>
                <c:pt idx="26">
                  <c:v>194</c:v>
                </c:pt>
                <c:pt idx="27">
                  <c:v>177</c:v>
                </c:pt>
                <c:pt idx="28">
                  <c:v>249</c:v>
                </c:pt>
                <c:pt idx="29">
                  <c:v>#N/A</c:v>
                </c:pt>
                <c:pt idx="30">
                  <c:v>#N/A</c:v>
                </c:pt>
                <c:pt idx="31">
                  <c:v>#N/A</c:v>
                </c:pt>
                <c:pt idx="32">
                  <c:v>#N/A</c:v>
                </c:pt>
                <c:pt idx="33">
                  <c:v>#N/A</c:v>
                </c:pt>
                <c:pt idx="34">
                  <c:v>#N/A</c:v>
                </c:pt>
                <c:pt idx="35">
                  <c:v>#N/A</c:v>
                </c:pt>
                <c:pt idx="36">
                  <c:v>#N/A</c:v>
                </c:pt>
              </c:numCache>
            </c:numRef>
          </c:val>
          <c:smooth val="0"/>
          <c:extLst>
            <c:ext xmlns:c16="http://schemas.microsoft.com/office/drawing/2014/chart" uri="{C3380CC4-5D6E-409C-BE32-E72D297353CC}">
              <c16:uniqueId val="{00000002-076D-4DCC-9138-46A323820440}"/>
            </c:ext>
          </c:extLst>
        </c:ser>
        <c:dLbls>
          <c:showLegendKey val="0"/>
          <c:showVal val="0"/>
          <c:showCatName val="0"/>
          <c:showSerName val="0"/>
          <c:showPercent val="0"/>
          <c:showBubbleSize val="0"/>
        </c:dLbls>
        <c:marker val="1"/>
        <c:smooth val="0"/>
        <c:axId val="531538512"/>
        <c:axId val="526961840"/>
        <c:extLst>
          <c:ext xmlns:c15="http://schemas.microsoft.com/office/drawing/2012/chart" uri="{02D57815-91ED-43cb-92C2-25804820EDAC}">
            <c15:filteredLineSeries>
              <c15:ser>
                <c:idx val="0"/>
                <c:order val="0"/>
                <c:tx>
                  <c:strRef>
                    <c:extLst>
                      <c:ext uri="{02D57815-91ED-43cb-92C2-25804820EDAC}">
                        <c15:formulaRef>
                          <c15:sqref>'모바일 PV 월별 비교'!$C$3</c15:sqref>
                        </c15:formulaRef>
                      </c:ext>
                    </c:extLst>
                    <c:strCache>
                      <c:ptCount val="1"/>
                      <c:pt idx="0">
                        <c:v>12월</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extLst>
                      <c:ex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c:ext uri="{02D57815-91ED-43cb-92C2-25804820EDAC}">
                        <c15:formulaRef>
                          <c15:sqref>'모바일 PV 월별 비교'!$C$4:$C$41</c15:sqref>
                        </c15:formulaRef>
                      </c:ext>
                    </c:extLst>
                    <c:numCache>
                      <c:formatCode>m/d/yyyy</c:formatCode>
                      <c:ptCount val="38"/>
                      <c:pt idx="0" formatCode="General">
                        <c:v>0</c:v>
                      </c:pt>
                      <c:pt idx="2">
                        <c:v>45261</c:v>
                      </c:pt>
                      <c:pt idx="3">
                        <c:v>45262</c:v>
                      </c:pt>
                      <c:pt idx="4">
                        <c:v>45263</c:v>
                      </c:pt>
                      <c:pt idx="5">
                        <c:v>45264</c:v>
                      </c:pt>
                      <c:pt idx="6">
                        <c:v>45265</c:v>
                      </c:pt>
                      <c:pt idx="7">
                        <c:v>45266</c:v>
                      </c:pt>
                      <c:pt idx="8">
                        <c:v>45267</c:v>
                      </c:pt>
                      <c:pt idx="9">
                        <c:v>45268</c:v>
                      </c:pt>
                      <c:pt idx="10">
                        <c:v>45269</c:v>
                      </c:pt>
                      <c:pt idx="11">
                        <c:v>45270</c:v>
                      </c:pt>
                      <c:pt idx="12">
                        <c:v>45271</c:v>
                      </c:pt>
                      <c:pt idx="13">
                        <c:v>45272</c:v>
                      </c:pt>
                      <c:pt idx="14">
                        <c:v>45273</c:v>
                      </c:pt>
                      <c:pt idx="15">
                        <c:v>45274</c:v>
                      </c:pt>
                      <c:pt idx="16">
                        <c:v>45275</c:v>
                      </c:pt>
                      <c:pt idx="17">
                        <c:v>45276</c:v>
                      </c:pt>
                      <c:pt idx="18">
                        <c:v>45277</c:v>
                      </c:pt>
                      <c:pt idx="19">
                        <c:v>45278</c:v>
                      </c:pt>
                      <c:pt idx="20">
                        <c:v>45279</c:v>
                      </c:pt>
                      <c:pt idx="21">
                        <c:v>45280</c:v>
                      </c:pt>
                      <c:pt idx="22">
                        <c:v>45281</c:v>
                      </c:pt>
                      <c:pt idx="23">
                        <c:v>45282</c:v>
                      </c:pt>
                      <c:pt idx="24">
                        <c:v>45283</c:v>
                      </c:pt>
                      <c:pt idx="25">
                        <c:v>45284</c:v>
                      </c:pt>
                      <c:pt idx="26">
                        <c:v>45285</c:v>
                      </c:pt>
                      <c:pt idx="27">
                        <c:v>45286</c:v>
                      </c:pt>
                      <c:pt idx="28">
                        <c:v>45287</c:v>
                      </c:pt>
                      <c:pt idx="29">
                        <c:v>45288</c:v>
                      </c:pt>
                      <c:pt idx="30">
                        <c:v>45289</c:v>
                      </c:pt>
                      <c:pt idx="31">
                        <c:v>45290</c:v>
                      </c:pt>
                      <c:pt idx="32">
                        <c:v>45291</c:v>
                      </c:pt>
                    </c:numCache>
                  </c:numRef>
                </c:val>
                <c:smooth val="0"/>
                <c:extLst>
                  <c:ext xmlns:c16="http://schemas.microsoft.com/office/drawing/2014/chart" uri="{C3380CC4-5D6E-409C-BE32-E72D297353CC}">
                    <c16:uniqueId val="{00000003-076D-4DCC-9138-46A323820440}"/>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'모바일 PV 월별 비교'!$D$3</c15:sqref>
                        </c15:formulaRef>
                      </c:ext>
                    </c:extLst>
                    <c:strCache>
                      <c:ptCount val="1"/>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비교'!$D$4:$D$41</c15:sqref>
                        </c15:formulaRef>
                      </c:ext>
                    </c:extLst>
                    <c:numCache>
                      <c:formatCode>aaa</c:formatCode>
                      <c:ptCount val="38"/>
                      <c:pt idx="0" formatCode="General">
                        <c:v>0</c:v>
                      </c:pt>
                      <c:pt idx="2">
                        <c:v>45261</c:v>
                      </c:pt>
                      <c:pt idx="3">
                        <c:v>45262</c:v>
                      </c:pt>
                      <c:pt idx="4">
                        <c:v>45263</c:v>
                      </c:pt>
                      <c:pt idx="5">
                        <c:v>45264</c:v>
                      </c:pt>
                      <c:pt idx="6">
                        <c:v>45265</c:v>
                      </c:pt>
                      <c:pt idx="7">
                        <c:v>45266</c:v>
                      </c:pt>
                      <c:pt idx="8">
                        <c:v>45267</c:v>
                      </c:pt>
                      <c:pt idx="9">
                        <c:v>45268</c:v>
                      </c:pt>
                      <c:pt idx="10">
                        <c:v>45269</c:v>
                      </c:pt>
                      <c:pt idx="11">
                        <c:v>45270</c:v>
                      </c:pt>
                      <c:pt idx="12">
                        <c:v>45271</c:v>
                      </c:pt>
                      <c:pt idx="13">
                        <c:v>45272</c:v>
                      </c:pt>
                      <c:pt idx="14">
                        <c:v>45273</c:v>
                      </c:pt>
                      <c:pt idx="15">
                        <c:v>45274</c:v>
                      </c:pt>
                      <c:pt idx="16">
                        <c:v>45275</c:v>
                      </c:pt>
                      <c:pt idx="17">
                        <c:v>45276</c:v>
                      </c:pt>
                      <c:pt idx="18">
                        <c:v>45277</c:v>
                      </c:pt>
                      <c:pt idx="19">
                        <c:v>45278</c:v>
                      </c:pt>
                      <c:pt idx="20">
                        <c:v>45279</c:v>
                      </c:pt>
                      <c:pt idx="21">
                        <c:v>45280</c:v>
                      </c:pt>
                      <c:pt idx="22">
                        <c:v>45281</c:v>
                      </c:pt>
                      <c:pt idx="23">
                        <c:v>45282</c:v>
                      </c:pt>
                      <c:pt idx="24">
                        <c:v>45283</c:v>
                      </c:pt>
                      <c:pt idx="25">
                        <c:v>45284</c:v>
                      </c:pt>
                      <c:pt idx="26">
                        <c:v>45285</c:v>
                      </c:pt>
                      <c:pt idx="27">
                        <c:v>45286</c:v>
                      </c:pt>
                      <c:pt idx="28">
                        <c:v>45287</c:v>
                      </c:pt>
                      <c:pt idx="29">
                        <c:v>45288</c:v>
                      </c:pt>
                      <c:pt idx="30">
                        <c:v>45289</c:v>
                      </c:pt>
                      <c:pt idx="31">
                        <c:v>45290</c:v>
                      </c:pt>
                      <c:pt idx="32">
                        <c:v>45291</c:v>
                      </c:pt>
                    </c:numCache>
                  </c:numRef>
                </c:val>
                <c:smooth val="0"/>
                <c:extLst xmlns:c15="http://schemas.microsoft.com/office/drawing/2012/chart">
                  <c:ext xmlns:c16="http://schemas.microsoft.com/office/drawing/2014/chart" uri="{C3380CC4-5D6E-409C-BE32-E72D297353CC}">
                    <c16:uniqueId val="{00000004-076D-4DCC-9138-46A323820440}"/>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'모바일 PV 월별 비교'!$F$3</c15:sqref>
                        </c15:formulaRef>
                      </c:ext>
                    </c:extLst>
                    <c:strCache>
                      <c:ptCount val="1"/>
                      <c:pt idx="0">
                        <c:v>1월</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비교'!$F$4:$F$41</c15:sqref>
                        </c15:formulaRef>
                      </c:ext>
                    </c:extLst>
                    <c:numCache>
                      <c:formatCode>m/d/yyyy</c:formatCode>
                      <c:ptCount val="38"/>
                      <c:pt idx="0" formatCode="General">
                        <c:v>0</c:v>
                      </c:pt>
                      <c:pt idx="5">
                        <c:v>45292</c:v>
                      </c:pt>
                      <c:pt idx="6">
                        <c:v>45293</c:v>
                      </c:pt>
                      <c:pt idx="7">
                        <c:v>45294</c:v>
                      </c:pt>
                      <c:pt idx="8">
                        <c:v>45295</c:v>
                      </c:pt>
                      <c:pt idx="9">
                        <c:v>45296</c:v>
                      </c:pt>
                      <c:pt idx="10">
                        <c:v>45297</c:v>
                      </c:pt>
                      <c:pt idx="11">
                        <c:v>45298</c:v>
                      </c:pt>
                      <c:pt idx="12">
                        <c:v>45299</c:v>
                      </c:pt>
                      <c:pt idx="13">
                        <c:v>45300</c:v>
                      </c:pt>
                      <c:pt idx="14">
                        <c:v>45301</c:v>
                      </c:pt>
                      <c:pt idx="15">
                        <c:v>45302</c:v>
                      </c:pt>
                      <c:pt idx="16">
                        <c:v>45303</c:v>
                      </c:pt>
                      <c:pt idx="17">
                        <c:v>45304</c:v>
                      </c:pt>
                      <c:pt idx="18">
                        <c:v>45305</c:v>
                      </c:pt>
                      <c:pt idx="19">
                        <c:v>45306</c:v>
                      </c:pt>
                      <c:pt idx="20">
                        <c:v>45307</c:v>
                      </c:pt>
                      <c:pt idx="21">
                        <c:v>45308</c:v>
                      </c:pt>
                      <c:pt idx="22">
                        <c:v>45309</c:v>
                      </c:pt>
                      <c:pt idx="23">
                        <c:v>45310</c:v>
                      </c:pt>
                      <c:pt idx="24">
                        <c:v>45311</c:v>
                      </c:pt>
                      <c:pt idx="25">
                        <c:v>45312</c:v>
                      </c:pt>
                      <c:pt idx="26">
                        <c:v>45313</c:v>
                      </c:pt>
                      <c:pt idx="27">
                        <c:v>45314</c:v>
                      </c:pt>
                      <c:pt idx="28">
                        <c:v>45315</c:v>
                      </c:pt>
                      <c:pt idx="29">
                        <c:v>45316</c:v>
                      </c:pt>
                      <c:pt idx="30">
                        <c:v>45317</c:v>
                      </c:pt>
                      <c:pt idx="31">
                        <c:v>45318</c:v>
                      </c:pt>
                      <c:pt idx="32">
                        <c:v>45319</c:v>
                      </c:pt>
                      <c:pt idx="33">
                        <c:v>45320</c:v>
                      </c:pt>
                      <c:pt idx="34">
                        <c:v>45321</c:v>
                      </c:pt>
                      <c:pt idx="35">
                        <c:v>45322</c:v>
                      </c:pt>
                    </c:numCache>
                  </c:numRef>
                </c:val>
                <c:smooth val="0"/>
                <c:extLst xmlns:c15="http://schemas.microsoft.com/office/drawing/2012/chart">
                  <c:ext xmlns:c16="http://schemas.microsoft.com/office/drawing/2014/chart" uri="{C3380CC4-5D6E-409C-BE32-E72D297353CC}">
                    <c16:uniqueId val="{00000005-076D-4DCC-9138-46A323820440}"/>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'모바일 PV 월별 비교'!$G$3</c15:sqref>
                        </c15:formulaRef>
                      </c:ext>
                    </c:extLst>
                    <c:strCache>
                      <c:ptCount val="1"/>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비교'!$G$4:$G$41</c15:sqref>
                        </c15:formulaRef>
                      </c:ext>
                    </c:extLst>
                    <c:numCache>
                      <c:formatCode>aaa</c:formatCode>
                      <c:ptCount val="38"/>
                      <c:pt idx="0" formatCode="General">
                        <c:v>0</c:v>
                      </c:pt>
                      <c:pt idx="5">
                        <c:v>45292</c:v>
                      </c:pt>
                      <c:pt idx="6">
                        <c:v>45293</c:v>
                      </c:pt>
                      <c:pt idx="7">
                        <c:v>45294</c:v>
                      </c:pt>
                      <c:pt idx="8">
                        <c:v>45295</c:v>
                      </c:pt>
                      <c:pt idx="9">
                        <c:v>45296</c:v>
                      </c:pt>
                      <c:pt idx="10">
                        <c:v>45297</c:v>
                      </c:pt>
                      <c:pt idx="11">
                        <c:v>45298</c:v>
                      </c:pt>
                      <c:pt idx="12">
                        <c:v>45299</c:v>
                      </c:pt>
                      <c:pt idx="13">
                        <c:v>45300</c:v>
                      </c:pt>
                      <c:pt idx="14">
                        <c:v>45301</c:v>
                      </c:pt>
                      <c:pt idx="15">
                        <c:v>45302</c:v>
                      </c:pt>
                      <c:pt idx="16">
                        <c:v>45303</c:v>
                      </c:pt>
                      <c:pt idx="17">
                        <c:v>45304</c:v>
                      </c:pt>
                      <c:pt idx="18">
                        <c:v>45305</c:v>
                      </c:pt>
                      <c:pt idx="19">
                        <c:v>45306</c:v>
                      </c:pt>
                      <c:pt idx="20">
                        <c:v>45307</c:v>
                      </c:pt>
                      <c:pt idx="21">
                        <c:v>45308</c:v>
                      </c:pt>
                      <c:pt idx="22">
                        <c:v>45309</c:v>
                      </c:pt>
                      <c:pt idx="23">
                        <c:v>45310</c:v>
                      </c:pt>
                      <c:pt idx="24">
                        <c:v>45311</c:v>
                      </c:pt>
                      <c:pt idx="25">
                        <c:v>45312</c:v>
                      </c:pt>
                      <c:pt idx="26">
                        <c:v>45313</c:v>
                      </c:pt>
                      <c:pt idx="27">
                        <c:v>45314</c:v>
                      </c:pt>
                      <c:pt idx="28">
                        <c:v>45315</c:v>
                      </c:pt>
                      <c:pt idx="29">
                        <c:v>45316</c:v>
                      </c:pt>
                      <c:pt idx="30">
                        <c:v>45317</c:v>
                      </c:pt>
                      <c:pt idx="31">
                        <c:v>45318</c:v>
                      </c:pt>
                      <c:pt idx="32">
                        <c:v>45319</c:v>
                      </c:pt>
                      <c:pt idx="33">
                        <c:v>45320</c:v>
                      </c:pt>
                      <c:pt idx="34">
                        <c:v>45321</c:v>
                      </c:pt>
                      <c:pt idx="35">
                        <c:v>45322</c:v>
                      </c:pt>
                    </c:numCache>
                  </c:numRef>
                </c:val>
                <c:smooth val="0"/>
                <c:extLst xmlns:c15="http://schemas.microsoft.com/office/drawing/2012/chart">
                  <c:ext xmlns:c16="http://schemas.microsoft.com/office/drawing/2014/chart" uri="{C3380CC4-5D6E-409C-BE32-E72D297353CC}">
                    <c16:uniqueId val="{00000006-076D-4DCC-9138-46A323820440}"/>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'모바일 PV 월별 비교'!$I$3</c15:sqref>
                        </c15:formulaRef>
                      </c:ext>
                    </c:extLst>
                    <c:strCache>
                      <c:ptCount val="1"/>
                      <c:pt idx="0">
                        <c:v>2월</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비교'!$I$4:$I$41</c15:sqref>
                        </c15:formulaRef>
                      </c:ext>
                    </c:extLst>
                    <c:numCache>
                      <c:formatCode>m/d/yyyy</c:formatCode>
                      <c:ptCount val="38"/>
                      <c:pt idx="0" formatCode="General">
                        <c:v>0</c:v>
                      </c:pt>
                      <c:pt idx="1">
                        <c:v>45323</c:v>
                      </c:pt>
                      <c:pt idx="2">
                        <c:v>45324</c:v>
                      </c:pt>
                      <c:pt idx="3">
                        <c:v>45325</c:v>
                      </c:pt>
                      <c:pt idx="4">
                        <c:v>45326</c:v>
                      </c:pt>
                      <c:pt idx="5">
                        <c:v>45327</c:v>
                      </c:pt>
                      <c:pt idx="6">
                        <c:v>45328</c:v>
                      </c:pt>
                      <c:pt idx="7">
                        <c:v>45329</c:v>
                      </c:pt>
                      <c:pt idx="8">
                        <c:v>45330</c:v>
                      </c:pt>
                      <c:pt idx="9">
                        <c:v>45331</c:v>
                      </c:pt>
                      <c:pt idx="10">
                        <c:v>45332</c:v>
                      </c:pt>
                      <c:pt idx="11">
                        <c:v>45333</c:v>
                      </c:pt>
                      <c:pt idx="12">
                        <c:v>45334</c:v>
                      </c:pt>
                      <c:pt idx="13">
                        <c:v>45335</c:v>
                      </c:pt>
                      <c:pt idx="14">
                        <c:v>45336</c:v>
                      </c:pt>
                      <c:pt idx="15">
                        <c:v>45337</c:v>
                      </c:pt>
                      <c:pt idx="16">
                        <c:v>45338</c:v>
                      </c:pt>
                      <c:pt idx="17">
                        <c:v>45339</c:v>
                      </c:pt>
                      <c:pt idx="18">
                        <c:v>45340</c:v>
                      </c:pt>
                      <c:pt idx="19">
                        <c:v>45341</c:v>
                      </c:pt>
                      <c:pt idx="20">
                        <c:v>45342</c:v>
                      </c:pt>
                      <c:pt idx="21">
                        <c:v>45343</c:v>
                      </c:pt>
                      <c:pt idx="22">
                        <c:v>45344</c:v>
                      </c:pt>
                      <c:pt idx="23">
                        <c:v>45345</c:v>
                      </c:pt>
                      <c:pt idx="24">
                        <c:v>45346</c:v>
                      </c:pt>
                      <c:pt idx="25">
                        <c:v>45347</c:v>
                      </c:pt>
                      <c:pt idx="26">
                        <c:v>45348</c:v>
                      </c:pt>
                      <c:pt idx="27">
                        <c:v>45349</c:v>
                      </c:pt>
                      <c:pt idx="28">
                        <c:v>45350</c:v>
                      </c:pt>
                      <c:pt idx="29">
                        <c:v>45351</c:v>
                      </c:pt>
                      <c:pt idx="30">
                        <c:v>0</c:v>
                      </c:pt>
                      <c:pt idx="31">
                        <c:v>0</c:v>
                      </c:pt>
                      <c:pt idx="32">
                        <c:v>0</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7-076D-4DCC-9138-46A323820440}"/>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'모바일 PV 월별 비교'!$J$3</c15:sqref>
                        </c15:formulaRef>
                      </c:ext>
                    </c:extLst>
                    <c:strCache>
                      <c:ptCount val="1"/>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비교'!$J$4:$J$41</c15:sqref>
                        </c15:formulaRef>
                      </c:ext>
                    </c:extLst>
                    <c:numCache>
                      <c:formatCode>aaa</c:formatCode>
                      <c:ptCount val="38"/>
                      <c:pt idx="0" formatCode="General">
                        <c:v>0</c:v>
                      </c:pt>
                      <c:pt idx="1">
                        <c:v>45323</c:v>
                      </c:pt>
                      <c:pt idx="2">
                        <c:v>45324</c:v>
                      </c:pt>
                      <c:pt idx="3">
                        <c:v>45325</c:v>
                      </c:pt>
                      <c:pt idx="4">
                        <c:v>45326</c:v>
                      </c:pt>
                      <c:pt idx="5">
                        <c:v>45327</c:v>
                      </c:pt>
                      <c:pt idx="6">
                        <c:v>45328</c:v>
                      </c:pt>
                      <c:pt idx="7">
                        <c:v>45329</c:v>
                      </c:pt>
                      <c:pt idx="8">
                        <c:v>45330</c:v>
                      </c:pt>
                      <c:pt idx="9">
                        <c:v>45331</c:v>
                      </c:pt>
                      <c:pt idx="10">
                        <c:v>45332</c:v>
                      </c:pt>
                      <c:pt idx="11">
                        <c:v>45333</c:v>
                      </c:pt>
                      <c:pt idx="12">
                        <c:v>45334</c:v>
                      </c:pt>
                      <c:pt idx="13">
                        <c:v>45335</c:v>
                      </c:pt>
                      <c:pt idx="14">
                        <c:v>45336</c:v>
                      </c:pt>
                      <c:pt idx="15">
                        <c:v>45337</c:v>
                      </c:pt>
                      <c:pt idx="16">
                        <c:v>45338</c:v>
                      </c:pt>
                      <c:pt idx="17">
                        <c:v>45339</c:v>
                      </c:pt>
                      <c:pt idx="18">
                        <c:v>45340</c:v>
                      </c:pt>
                      <c:pt idx="19">
                        <c:v>45341</c:v>
                      </c:pt>
                      <c:pt idx="20">
                        <c:v>45342</c:v>
                      </c:pt>
                      <c:pt idx="21">
                        <c:v>45343</c:v>
                      </c:pt>
                      <c:pt idx="22">
                        <c:v>45344</c:v>
                      </c:pt>
                      <c:pt idx="23">
                        <c:v>45345</c:v>
                      </c:pt>
                      <c:pt idx="24">
                        <c:v>45346</c:v>
                      </c:pt>
                      <c:pt idx="25">
                        <c:v>45347</c:v>
                      </c:pt>
                      <c:pt idx="26">
                        <c:v>45348</c:v>
                      </c:pt>
                      <c:pt idx="27">
                        <c:v>45349</c:v>
                      </c:pt>
                      <c:pt idx="28">
                        <c:v>45350</c:v>
                      </c:pt>
                      <c:pt idx="29">
                        <c:v>45351</c:v>
                      </c:pt>
                      <c:pt idx="30">
                        <c:v>0</c:v>
                      </c:pt>
                      <c:pt idx="31">
                        <c:v>0</c:v>
                      </c:pt>
                      <c:pt idx="32">
                        <c:v>0</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8-076D-4DCC-9138-46A323820440}"/>
                  </c:ext>
                </c:extLst>
              </c15:ser>
            </c15:filteredLineSeries>
          </c:ext>
        </c:extLst>
      </c:lineChart>
      <c:catAx>
        <c:axId val="53153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26961840"/>
        <c:crosses val="autoZero"/>
        <c:auto val="1"/>
        <c:lblAlgn val="ctr"/>
        <c:lblOffset val="100"/>
        <c:noMultiLvlLbl val="0"/>
      </c:catAx>
      <c:valAx>
        <c:axId val="52696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31538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ko-KR"/>
              <a:t>PC</a:t>
            </a:r>
            <a:r>
              <a:rPr lang="en-US" altLang="ko-KR" baseline="0"/>
              <a:t> </a:t>
            </a:r>
            <a:r>
              <a:rPr lang="ko-KR" altLang="en-US" baseline="0"/>
              <a:t>페이지 </a:t>
            </a:r>
            <a:r>
              <a:rPr lang="en-US" altLang="ko-KR" baseline="0"/>
              <a:t>view </a:t>
            </a:r>
            <a:r>
              <a:rPr lang="ko-KR" altLang="en-US" baseline="0"/>
              <a:t>수 비교</a:t>
            </a:r>
            <a:endParaRPr lang="ko-KR"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lineChart>
        <c:grouping val="standard"/>
        <c:varyColors val="0"/>
        <c:ser>
          <c:idx val="2"/>
          <c:order val="2"/>
          <c:tx>
            <c:strRef>
              <c:f>'PC PV 월별 비교'!$C$3</c:f>
              <c:strCache>
                <c:ptCount val="1"/>
                <c:pt idx="0">
                  <c:v>12월</c:v>
                </c:pt>
              </c:strCache>
            </c:strRef>
          </c:tx>
          <c:spPr>
            <a:ln w="28575" cap="rnd">
              <a:solidFill>
                <a:srgbClr val="00B0F0"/>
              </a:solidFill>
              <a:round/>
            </a:ln>
            <a:effectLst/>
          </c:spPr>
          <c:marker>
            <c:symbol val="circle"/>
            <c:size val="5"/>
            <c:spPr>
              <a:solidFill>
                <a:srgbClr val="00B0F0"/>
              </a:solidFill>
              <a:ln w="9525">
                <a:solidFill>
                  <a:schemeClr val="accent3"/>
                </a:solid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'PC PV 월별 비교'!$E$5:$E$41</c:f>
              <c:numCache>
                <c:formatCode>General</c:formatCode>
                <c:ptCount val="37"/>
                <c:pt idx="1">
                  <c:v>261</c:v>
                </c:pt>
                <c:pt idx="2">
                  <c:v>67</c:v>
                </c:pt>
                <c:pt idx="3">
                  <c:v>89</c:v>
                </c:pt>
                <c:pt idx="4">
                  <c:v>256</c:v>
                </c:pt>
                <c:pt idx="5">
                  <c:v>228</c:v>
                </c:pt>
                <c:pt idx="6">
                  <c:v>142</c:v>
                </c:pt>
                <c:pt idx="7">
                  <c:v>250</c:v>
                </c:pt>
                <c:pt idx="8">
                  <c:v>219</c:v>
                </c:pt>
                <c:pt idx="9">
                  <c:v>75</c:v>
                </c:pt>
                <c:pt idx="10">
                  <c:v>51</c:v>
                </c:pt>
                <c:pt idx="11">
                  <c:v>215</c:v>
                </c:pt>
                <c:pt idx="12">
                  <c:v>271</c:v>
                </c:pt>
                <c:pt idx="13">
                  <c:v>235</c:v>
                </c:pt>
                <c:pt idx="14">
                  <c:v>288</c:v>
                </c:pt>
                <c:pt idx="15">
                  <c:v>224</c:v>
                </c:pt>
                <c:pt idx="16">
                  <c:v>57</c:v>
                </c:pt>
                <c:pt idx="17">
                  <c:v>57</c:v>
                </c:pt>
                <c:pt idx="18">
                  <c:v>211</c:v>
                </c:pt>
                <c:pt idx="19">
                  <c:v>262</c:v>
                </c:pt>
                <c:pt idx="20">
                  <c:v>213</c:v>
                </c:pt>
                <c:pt idx="21">
                  <c:v>204</c:v>
                </c:pt>
                <c:pt idx="22">
                  <c:v>201</c:v>
                </c:pt>
                <c:pt idx="23">
                  <c:v>71</c:v>
                </c:pt>
                <c:pt idx="24">
                  <c:v>30</c:v>
                </c:pt>
                <c:pt idx="25">
                  <c:v>94</c:v>
                </c:pt>
                <c:pt idx="26">
                  <c:v>164</c:v>
                </c:pt>
                <c:pt idx="27">
                  <c:v>165</c:v>
                </c:pt>
                <c:pt idx="28">
                  <c:v>165</c:v>
                </c:pt>
                <c:pt idx="29">
                  <c:v>162</c:v>
                </c:pt>
                <c:pt idx="30">
                  <c:v>68</c:v>
                </c:pt>
                <c:pt idx="31">
                  <c:v>82</c:v>
                </c:pt>
              </c:numCache>
            </c:numRef>
          </c:val>
          <c:smooth val="0"/>
          <c:extLst>
            <c:ext xmlns:c16="http://schemas.microsoft.com/office/drawing/2014/chart" uri="{C3380CC4-5D6E-409C-BE32-E72D297353CC}">
              <c16:uniqueId val="{0000000B-9BE7-4707-800C-CD0F375AC09D}"/>
            </c:ext>
          </c:extLst>
        </c:ser>
        <c:ser>
          <c:idx val="5"/>
          <c:order val="5"/>
          <c:tx>
            <c:strRef>
              <c:f>'PC PV 월별 비교'!$F$3</c:f>
              <c:strCache>
                <c:ptCount val="1"/>
                <c:pt idx="0">
                  <c:v>1월</c:v>
                </c:pt>
              </c:strCache>
            </c:strRef>
          </c:tx>
          <c:spPr>
            <a:ln w="28575" cap="rnd">
              <a:solidFill>
                <a:srgbClr val="0070C0"/>
              </a:solidFill>
              <a:round/>
            </a:ln>
            <a:effectLst/>
          </c:spPr>
          <c:marker>
            <c:symbol val="circle"/>
            <c:size val="5"/>
            <c:spPr>
              <a:solidFill>
                <a:srgbClr val="0070C0"/>
              </a:solidFill>
              <a:ln w="9525">
                <a:solidFill>
                  <a:schemeClr val="bg1">
                    <a:lumMod val="50000"/>
                  </a:schemeClr>
                </a:solid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'PC PV 월별 비교'!$H$5:$H$41</c:f>
              <c:numCache>
                <c:formatCode>General</c:formatCode>
                <c:ptCount val="37"/>
                <c:pt idx="4">
                  <c:v>62</c:v>
                </c:pt>
                <c:pt idx="5">
                  <c:v>191</c:v>
                </c:pt>
                <c:pt idx="6">
                  <c:v>314</c:v>
                </c:pt>
                <c:pt idx="7">
                  <c:v>264</c:v>
                </c:pt>
                <c:pt idx="8">
                  <c:v>168</c:v>
                </c:pt>
                <c:pt idx="9">
                  <c:v>62</c:v>
                </c:pt>
                <c:pt idx="10">
                  <c:v>85</c:v>
                </c:pt>
                <c:pt idx="11">
                  <c:v>244</c:v>
                </c:pt>
                <c:pt idx="12">
                  <c:v>365</c:v>
                </c:pt>
                <c:pt idx="13">
                  <c:v>325</c:v>
                </c:pt>
                <c:pt idx="14">
                  <c:v>259</c:v>
                </c:pt>
                <c:pt idx="15">
                  <c:v>233</c:v>
                </c:pt>
                <c:pt idx="16">
                  <c:v>92</c:v>
                </c:pt>
                <c:pt idx="17">
                  <c:v>74</c:v>
                </c:pt>
                <c:pt idx="18">
                  <c:v>219</c:v>
                </c:pt>
                <c:pt idx="19">
                  <c:v>334</c:v>
                </c:pt>
                <c:pt idx="20">
                  <c:v>256</c:v>
                </c:pt>
                <c:pt idx="21">
                  <c:v>241</c:v>
                </c:pt>
                <c:pt idx="22">
                  <c:v>309</c:v>
                </c:pt>
                <c:pt idx="23">
                  <c:v>67</c:v>
                </c:pt>
                <c:pt idx="24">
                  <c:v>79</c:v>
                </c:pt>
                <c:pt idx="25">
                  <c:v>225</c:v>
                </c:pt>
                <c:pt idx="26">
                  <c:v>308</c:v>
                </c:pt>
                <c:pt idx="27">
                  <c:v>246</c:v>
                </c:pt>
                <c:pt idx="28">
                  <c:v>272</c:v>
                </c:pt>
                <c:pt idx="29">
                  <c:v>305</c:v>
                </c:pt>
                <c:pt idx="30">
                  <c:v>41</c:v>
                </c:pt>
                <c:pt idx="31">
                  <c:v>70</c:v>
                </c:pt>
                <c:pt idx="32">
                  <c:v>225</c:v>
                </c:pt>
                <c:pt idx="33">
                  <c:v>276</c:v>
                </c:pt>
                <c:pt idx="34">
                  <c:v>271</c:v>
                </c:pt>
              </c:numCache>
            </c:numRef>
          </c:val>
          <c:smooth val="0"/>
          <c:extLst>
            <c:ext xmlns:c16="http://schemas.microsoft.com/office/drawing/2014/chart" uri="{C3380CC4-5D6E-409C-BE32-E72D297353CC}">
              <c16:uniqueId val="{0000000E-9BE7-4707-800C-CD0F375AC09D}"/>
            </c:ext>
          </c:extLst>
        </c:ser>
        <c:ser>
          <c:idx val="8"/>
          <c:order val="8"/>
          <c:tx>
            <c:strRef>
              <c:f>'PC PV 월별 비교'!$I$3:$K$3</c:f>
              <c:strCache>
                <c:ptCount val="1"/>
                <c:pt idx="0">
                  <c:v>2월</c:v>
                </c:pt>
              </c:strCache>
            </c:strRef>
          </c:tx>
          <c:spPr>
            <a:ln w="28575" cap="rnd">
              <a:solidFill>
                <a:srgbClr val="002060"/>
              </a:solidFill>
              <a:round/>
            </a:ln>
            <a:effectLst/>
          </c:spPr>
          <c:marker>
            <c:symbol val="circle"/>
            <c:size val="5"/>
            <c:spPr>
              <a:solidFill>
                <a:srgbClr val="002060"/>
              </a:solidFill>
              <a:ln w="9525">
                <a:solidFill>
                  <a:schemeClr val="accent3">
                    <a:lumMod val="60000"/>
                  </a:schemeClr>
                </a:solid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'PC PV 월별 비교'!$K$5:$K$41</c:f>
              <c:numCache>
                <c:formatCode>General</c:formatCode>
                <c:ptCount val="37"/>
                <c:pt idx="0">
                  <c:v>290</c:v>
                </c:pt>
                <c:pt idx="1">
                  <c:v>240</c:v>
                </c:pt>
                <c:pt idx="2">
                  <c:v>49</c:v>
                </c:pt>
                <c:pt idx="3">
                  <c:v>74</c:v>
                </c:pt>
                <c:pt idx="4">
                  <c:v>259</c:v>
                </c:pt>
                <c:pt idx="5">
                  <c:v>290</c:v>
                </c:pt>
                <c:pt idx="6">
                  <c:v>405</c:v>
                </c:pt>
                <c:pt idx="7">
                  <c:v>277</c:v>
                </c:pt>
                <c:pt idx="8">
                  <c:v>179</c:v>
                </c:pt>
                <c:pt idx="9">
                  <c:v>73</c:v>
                </c:pt>
                <c:pt idx="10">
                  <c:v>71</c:v>
                </c:pt>
                <c:pt idx="11">
                  <c:v>189</c:v>
                </c:pt>
                <c:pt idx="12">
                  <c:v>311</c:v>
                </c:pt>
                <c:pt idx="13">
                  <c:v>345</c:v>
                </c:pt>
                <c:pt idx="14">
                  <c:v>227</c:v>
                </c:pt>
                <c:pt idx="15">
                  <c:v>269</c:v>
                </c:pt>
                <c:pt idx="16">
                  <c:v>67</c:v>
                </c:pt>
                <c:pt idx="17">
                  <c:v>87</c:v>
                </c:pt>
                <c:pt idx="18">
                  <c:v>291</c:v>
                </c:pt>
                <c:pt idx="19">
                  <c:v>242</c:v>
                </c:pt>
                <c:pt idx="20">
                  <c:v>321</c:v>
                </c:pt>
                <c:pt idx="21">
                  <c:v>244</c:v>
                </c:pt>
                <c:pt idx="22">
                  <c:v>289</c:v>
                </c:pt>
                <c:pt idx="23">
                  <c:v>73</c:v>
                </c:pt>
                <c:pt idx="24">
                  <c:v>63</c:v>
                </c:pt>
                <c:pt idx="25">
                  <c:v>307</c:v>
                </c:pt>
                <c:pt idx="26">
                  <c:v>270</c:v>
                </c:pt>
                <c:pt idx="27">
                  <c:v>337</c:v>
                </c:pt>
                <c:pt idx="28">
                  <c:v>275</c:v>
                </c:pt>
                <c:pt idx="29">
                  <c:v>#N/A</c:v>
                </c:pt>
                <c:pt idx="30">
                  <c:v>#N/A</c:v>
                </c:pt>
                <c:pt idx="31">
                  <c:v>#N/A</c:v>
                </c:pt>
                <c:pt idx="32">
                  <c:v>#N/A</c:v>
                </c:pt>
                <c:pt idx="33">
                  <c:v>#N/A</c:v>
                </c:pt>
                <c:pt idx="34">
                  <c:v>#N/A</c:v>
                </c:pt>
                <c:pt idx="35">
                  <c:v>#N/A</c:v>
                </c:pt>
                <c:pt idx="36">
                  <c:v>#N/A</c:v>
                </c:pt>
              </c:numCache>
            </c:numRef>
          </c:val>
          <c:smooth val="0"/>
          <c:extLst>
            <c:ext xmlns:c16="http://schemas.microsoft.com/office/drawing/2014/chart" uri="{C3380CC4-5D6E-409C-BE32-E72D297353CC}">
              <c16:uniqueId val="{00000011-9BE7-4707-800C-CD0F375AC09D}"/>
            </c:ext>
          </c:extLst>
        </c:ser>
        <c:dLbls>
          <c:showLegendKey val="0"/>
          <c:showVal val="0"/>
          <c:showCatName val="0"/>
          <c:showSerName val="0"/>
          <c:showPercent val="0"/>
          <c:showBubbleSize val="0"/>
        </c:dLbls>
        <c:marker val="1"/>
        <c:smooth val="0"/>
        <c:axId val="531538512"/>
        <c:axId val="526961840"/>
        <c:extLst>
          <c:ext xmlns:c15="http://schemas.microsoft.com/office/drawing/2012/chart" uri="{02D57815-91ED-43cb-92C2-25804820EDAC}">
            <c15:filteredLineSeries>
              <c15:ser>
                <c:idx val="0"/>
                <c:order val="0"/>
                <c:tx>
                  <c:strRef>
                    <c:extLst>
                      <c:ext uri="{02D57815-91ED-43cb-92C2-25804820EDAC}">
                        <c15:formulaRef>
                          <c15:sqref>'PC PV 월별 비교'!$C$3</c15:sqref>
                        </c15:formulaRef>
                      </c:ext>
                    </c:extLst>
                    <c:strCache>
                      <c:ptCount val="1"/>
                      <c:pt idx="0">
                        <c:v>12월</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extLst>
                      <c:ex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c:ext uri="{02D57815-91ED-43cb-92C2-25804820EDAC}">
                        <c15:formulaRef>
                          <c15:sqref>'PC PV 월별 비교'!$C$4:$C$41</c15:sqref>
                        </c15:formulaRef>
                      </c:ext>
                    </c:extLst>
                    <c:numCache>
                      <c:formatCode>m/d/yyyy</c:formatCode>
                      <c:ptCount val="38"/>
                      <c:pt idx="0" formatCode="General">
                        <c:v>0</c:v>
                      </c:pt>
                      <c:pt idx="2">
                        <c:v>45261</c:v>
                      </c:pt>
                      <c:pt idx="3">
                        <c:v>45262</c:v>
                      </c:pt>
                      <c:pt idx="4">
                        <c:v>45263</c:v>
                      </c:pt>
                      <c:pt idx="5">
                        <c:v>45264</c:v>
                      </c:pt>
                      <c:pt idx="6">
                        <c:v>45265</c:v>
                      </c:pt>
                      <c:pt idx="7">
                        <c:v>45266</c:v>
                      </c:pt>
                      <c:pt idx="8">
                        <c:v>45267</c:v>
                      </c:pt>
                      <c:pt idx="9">
                        <c:v>45268</c:v>
                      </c:pt>
                      <c:pt idx="10">
                        <c:v>45269</c:v>
                      </c:pt>
                      <c:pt idx="11">
                        <c:v>45270</c:v>
                      </c:pt>
                      <c:pt idx="12">
                        <c:v>45271</c:v>
                      </c:pt>
                      <c:pt idx="13">
                        <c:v>45272</c:v>
                      </c:pt>
                      <c:pt idx="14">
                        <c:v>45273</c:v>
                      </c:pt>
                      <c:pt idx="15">
                        <c:v>45274</c:v>
                      </c:pt>
                      <c:pt idx="16">
                        <c:v>45275</c:v>
                      </c:pt>
                      <c:pt idx="17">
                        <c:v>45276</c:v>
                      </c:pt>
                      <c:pt idx="18">
                        <c:v>45277</c:v>
                      </c:pt>
                      <c:pt idx="19">
                        <c:v>45278</c:v>
                      </c:pt>
                      <c:pt idx="20">
                        <c:v>45279</c:v>
                      </c:pt>
                      <c:pt idx="21">
                        <c:v>45280</c:v>
                      </c:pt>
                      <c:pt idx="22">
                        <c:v>45281</c:v>
                      </c:pt>
                      <c:pt idx="23">
                        <c:v>45282</c:v>
                      </c:pt>
                      <c:pt idx="24">
                        <c:v>45283</c:v>
                      </c:pt>
                      <c:pt idx="25">
                        <c:v>45284</c:v>
                      </c:pt>
                      <c:pt idx="26">
                        <c:v>45285</c:v>
                      </c:pt>
                      <c:pt idx="27">
                        <c:v>45286</c:v>
                      </c:pt>
                      <c:pt idx="28">
                        <c:v>45287</c:v>
                      </c:pt>
                      <c:pt idx="29">
                        <c:v>45288</c:v>
                      </c:pt>
                      <c:pt idx="30">
                        <c:v>45289</c:v>
                      </c:pt>
                      <c:pt idx="31">
                        <c:v>45290</c:v>
                      </c:pt>
                      <c:pt idx="32">
                        <c:v>45291</c:v>
                      </c:pt>
                    </c:numCache>
                  </c:numRef>
                </c:val>
                <c:smooth val="0"/>
                <c:extLst>
                  <c:ext xmlns:c16="http://schemas.microsoft.com/office/drawing/2014/chart" uri="{C3380CC4-5D6E-409C-BE32-E72D297353CC}">
                    <c16:uniqueId val="{00000009-9BE7-4707-800C-CD0F375AC09D}"/>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'PC PV 월별 비교'!$D$3</c15:sqref>
                        </c15:formulaRef>
                      </c:ext>
                    </c:extLst>
                    <c:strCache>
                      <c:ptCount val="1"/>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비교'!$D$4:$D$41</c15:sqref>
                        </c15:formulaRef>
                      </c:ext>
                    </c:extLst>
                    <c:numCache>
                      <c:formatCode>aaa</c:formatCode>
                      <c:ptCount val="38"/>
                      <c:pt idx="0" formatCode="General">
                        <c:v>0</c:v>
                      </c:pt>
                      <c:pt idx="2">
                        <c:v>45261</c:v>
                      </c:pt>
                      <c:pt idx="3">
                        <c:v>45262</c:v>
                      </c:pt>
                      <c:pt idx="4">
                        <c:v>45263</c:v>
                      </c:pt>
                      <c:pt idx="5">
                        <c:v>45264</c:v>
                      </c:pt>
                      <c:pt idx="6">
                        <c:v>45265</c:v>
                      </c:pt>
                      <c:pt idx="7">
                        <c:v>45266</c:v>
                      </c:pt>
                      <c:pt idx="8">
                        <c:v>45267</c:v>
                      </c:pt>
                      <c:pt idx="9">
                        <c:v>45268</c:v>
                      </c:pt>
                      <c:pt idx="10">
                        <c:v>45269</c:v>
                      </c:pt>
                      <c:pt idx="11">
                        <c:v>45270</c:v>
                      </c:pt>
                      <c:pt idx="12">
                        <c:v>45271</c:v>
                      </c:pt>
                      <c:pt idx="13">
                        <c:v>45272</c:v>
                      </c:pt>
                      <c:pt idx="14">
                        <c:v>45273</c:v>
                      </c:pt>
                      <c:pt idx="15">
                        <c:v>45274</c:v>
                      </c:pt>
                      <c:pt idx="16">
                        <c:v>45275</c:v>
                      </c:pt>
                      <c:pt idx="17">
                        <c:v>45276</c:v>
                      </c:pt>
                      <c:pt idx="18">
                        <c:v>45277</c:v>
                      </c:pt>
                      <c:pt idx="19">
                        <c:v>45278</c:v>
                      </c:pt>
                      <c:pt idx="20">
                        <c:v>45279</c:v>
                      </c:pt>
                      <c:pt idx="21">
                        <c:v>45280</c:v>
                      </c:pt>
                      <c:pt idx="22">
                        <c:v>45281</c:v>
                      </c:pt>
                      <c:pt idx="23">
                        <c:v>45282</c:v>
                      </c:pt>
                      <c:pt idx="24">
                        <c:v>45283</c:v>
                      </c:pt>
                      <c:pt idx="25">
                        <c:v>45284</c:v>
                      </c:pt>
                      <c:pt idx="26">
                        <c:v>45285</c:v>
                      </c:pt>
                      <c:pt idx="27">
                        <c:v>45286</c:v>
                      </c:pt>
                      <c:pt idx="28">
                        <c:v>45287</c:v>
                      </c:pt>
                      <c:pt idx="29">
                        <c:v>45288</c:v>
                      </c:pt>
                      <c:pt idx="30">
                        <c:v>45289</c:v>
                      </c:pt>
                      <c:pt idx="31">
                        <c:v>45290</c:v>
                      </c:pt>
                      <c:pt idx="32">
                        <c:v>45291</c:v>
                      </c:pt>
                    </c:numCache>
                  </c:numRef>
                </c:val>
                <c:smooth val="0"/>
                <c:extLst xmlns:c15="http://schemas.microsoft.com/office/drawing/2012/chart">
                  <c:ext xmlns:c16="http://schemas.microsoft.com/office/drawing/2014/chart" uri="{C3380CC4-5D6E-409C-BE32-E72D297353CC}">
                    <c16:uniqueId val="{0000000A-9BE7-4707-800C-CD0F375AC09D}"/>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'PC PV 월별 비교'!$F$3</c15:sqref>
                        </c15:formulaRef>
                      </c:ext>
                    </c:extLst>
                    <c:strCache>
                      <c:ptCount val="1"/>
                      <c:pt idx="0">
                        <c:v>1월</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비교'!$F$4:$F$41</c15:sqref>
                        </c15:formulaRef>
                      </c:ext>
                    </c:extLst>
                    <c:numCache>
                      <c:formatCode>m/d/yyyy</c:formatCode>
                      <c:ptCount val="38"/>
                      <c:pt idx="0" formatCode="General">
                        <c:v>0</c:v>
                      </c:pt>
                      <c:pt idx="5">
                        <c:v>45292</c:v>
                      </c:pt>
                      <c:pt idx="6">
                        <c:v>45293</c:v>
                      </c:pt>
                      <c:pt idx="7">
                        <c:v>45294</c:v>
                      </c:pt>
                      <c:pt idx="8">
                        <c:v>45295</c:v>
                      </c:pt>
                      <c:pt idx="9">
                        <c:v>45296</c:v>
                      </c:pt>
                      <c:pt idx="10">
                        <c:v>45297</c:v>
                      </c:pt>
                      <c:pt idx="11">
                        <c:v>45298</c:v>
                      </c:pt>
                      <c:pt idx="12">
                        <c:v>45299</c:v>
                      </c:pt>
                      <c:pt idx="13">
                        <c:v>45300</c:v>
                      </c:pt>
                      <c:pt idx="14">
                        <c:v>45301</c:v>
                      </c:pt>
                      <c:pt idx="15">
                        <c:v>45302</c:v>
                      </c:pt>
                      <c:pt idx="16">
                        <c:v>45303</c:v>
                      </c:pt>
                      <c:pt idx="17">
                        <c:v>45304</c:v>
                      </c:pt>
                      <c:pt idx="18">
                        <c:v>45305</c:v>
                      </c:pt>
                      <c:pt idx="19">
                        <c:v>45306</c:v>
                      </c:pt>
                      <c:pt idx="20">
                        <c:v>45307</c:v>
                      </c:pt>
                      <c:pt idx="21">
                        <c:v>45308</c:v>
                      </c:pt>
                      <c:pt idx="22">
                        <c:v>45309</c:v>
                      </c:pt>
                      <c:pt idx="23">
                        <c:v>45310</c:v>
                      </c:pt>
                      <c:pt idx="24">
                        <c:v>45311</c:v>
                      </c:pt>
                      <c:pt idx="25">
                        <c:v>45312</c:v>
                      </c:pt>
                      <c:pt idx="26">
                        <c:v>45313</c:v>
                      </c:pt>
                      <c:pt idx="27">
                        <c:v>45314</c:v>
                      </c:pt>
                      <c:pt idx="28">
                        <c:v>45315</c:v>
                      </c:pt>
                      <c:pt idx="29">
                        <c:v>45316</c:v>
                      </c:pt>
                      <c:pt idx="30">
                        <c:v>45317</c:v>
                      </c:pt>
                      <c:pt idx="31">
                        <c:v>45318</c:v>
                      </c:pt>
                      <c:pt idx="32">
                        <c:v>45319</c:v>
                      </c:pt>
                      <c:pt idx="33">
                        <c:v>45320</c:v>
                      </c:pt>
                      <c:pt idx="34">
                        <c:v>45321</c:v>
                      </c:pt>
                      <c:pt idx="35">
                        <c:v>45322</c:v>
                      </c:pt>
                    </c:numCache>
                  </c:numRef>
                </c:val>
                <c:smooth val="0"/>
                <c:extLst xmlns:c15="http://schemas.microsoft.com/office/drawing/2012/chart">
                  <c:ext xmlns:c16="http://schemas.microsoft.com/office/drawing/2014/chart" uri="{C3380CC4-5D6E-409C-BE32-E72D297353CC}">
                    <c16:uniqueId val="{0000000C-9BE7-4707-800C-CD0F375AC09D}"/>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'PC PV 월별 비교'!$G$3</c15:sqref>
                        </c15:formulaRef>
                      </c:ext>
                    </c:extLst>
                    <c:strCache>
                      <c:ptCount val="1"/>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비교'!$G$4:$G$41</c15:sqref>
                        </c15:formulaRef>
                      </c:ext>
                    </c:extLst>
                    <c:numCache>
                      <c:formatCode>aaa</c:formatCode>
                      <c:ptCount val="38"/>
                      <c:pt idx="0" formatCode="General">
                        <c:v>0</c:v>
                      </c:pt>
                      <c:pt idx="5">
                        <c:v>45292</c:v>
                      </c:pt>
                      <c:pt idx="6">
                        <c:v>45293</c:v>
                      </c:pt>
                      <c:pt idx="7">
                        <c:v>45294</c:v>
                      </c:pt>
                      <c:pt idx="8">
                        <c:v>45295</c:v>
                      </c:pt>
                      <c:pt idx="9">
                        <c:v>45296</c:v>
                      </c:pt>
                      <c:pt idx="10">
                        <c:v>45297</c:v>
                      </c:pt>
                      <c:pt idx="11">
                        <c:v>45298</c:v>
                      </c:pt>
                      <c:pt idx="12">
                        <c:v>45299</c:v>
                      </c:pt>
                      <c:pt idx="13">
                        <c:v>45300</c:v>
                      </c:pt>
                      <c:pt idx="14">
                        <c:v>45301</c:v>
                      </c:pt>
                      <c:pt idx="15">
                        <c:v>45302</c:v>
                      </c:pt>
                      <c:pt idx="16">
                        <c:v>45303</c:v>
                      </c:pt>
                      <c:pt idx="17">
                        <c:v>45304</c:v>
                      </c:pt>
                      <c:pt idx="18">
                        <c:v>45305</c:v>
                      </c:pt>
                      <c:pt idx="19">
                        <c:v>45306</c:v>
                      </c:pt>
                      <c:pt idx="20">
                        <c:v>45307</c:v>
                      </c:pt>
                      <c:pt idx="21">
                        <c:v>45308</c:v>
                      </c:pt>
                      <c:pt idx="22">
                        <c:v>45309</c:v>
                      </c:pt>
                      <c:pt idx="23">
                        <c:v>45310</c:v>
                      </c:pt>
                      <c:pt idx="24">
                        <c:v>45311</c:v>
                      </c:pt>
                      <c:pt idx="25">
                        <c:v>45312</c:v>
                      </c:pt>
                      <c:pt idx="26">
                        <c:v>45313</c:v>
                      </c:pt>
                      <c:pt idx="27">
                        <c:v>45314</c:v>
                      </c:pt>
                      <c:pt idx="28">
                        <c:v>45315</c:v>
                      </c:pt>
                      <c:pt idx="29">
                        <c:v>45316</c:v>
                      </c:pt>
                      <c:pt idx="30">
                        <c:v>45317</c:v>
                      </c:pt>
                      <c:pt idx="31">
                        <c:v>45318</c:v>
                      </c:pt>
                      <c:pt idx="32">
                        <c:v>45319</c:v>
                      </c:pt>
                      <c:pt idx="33">
                        <c:v>45320</c:v>
                      </c:pt>
                      <c:pt idx="34">
                        <c:v>45321</c:v>
                      </c:pt>
                      <c:pt idx="35">
                        <c:v>45322</c:v>
                      </c:pt>
                    </c:numCache>
                  </c:numRef>
                </c:val>
                <c:smooth val="0"/>
                <c:extLst xmlns:c15="http://schemas.microsoft.com/office/drawing/2012/chart">
                  <c:ext xmlns:c16="http://schemas.microsoft.com/office/drawing/2014/chart" uri="{C3380CC4-5D6E-409C-BE32-E72D297353CC}">
                    <c16:uniqueId val="{0000000D-9BE7-4707-800C-CD0F375AC09D}"/>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'PC PV 월별 비교'!$I$3</c15:sqref>
                        </c15:formulaRef>
                      </c:ext>
                    </c:extLst>
                    <c:strCache>
                      <c:ptCount val="1"/>
                      <c:pt idx="0">
                        <c:v>2월</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비교'!$I$4:$I$41</c15:sqref>
                        </c15:formulaRef>
                      </c:ext>
                    </c:extLst>
                    <c:numCache>
                      <c:formatCode>m/d/yyyy</c:formatCode>
                      <c:ptCount val="38"/>
                      <c:pt idx="0" formatCode="General">
                        <c:v>0</c:v>
                      </c:pt>
                      <c:pt idx="1">
                        <c:v>45323</c:v>
                      </c:pt>
                      <c:pt idx="2">
                        <c:v>45324</c:v>
                      </c:pt>
                      <c:pt idx="3">
                        <c:v>45325</c:v>
                      </c:pt>
                      <c:pt idx="4">
                        <c:v>45326</c:v>
                      </c:pt>
                      <c:pt idx="5">
                        <c:v>45327</c:v>
                      </c:pt>
                      <c:pt idx="6">
                        <c:v>45328</c:v>
                      </c:pt>
                      <c:pt idx="7">
                        <c:v>45329</c:v>
                      </c:pt>
                      <c:pt idx="8">
                        <c:v>45330</c:v>
                      </c:pt>
                      <c:pt idx="9">
                        <c:v>45331</c:v>
                      </c:pt>
                      <c:pt idx="10">
                        <c:v>45332</c:v>
                      </c:pt>
                      <c:pt idx="11">
                        <c:v>45333</c:v>
                      </c:pt>
                      <c:pt idx="12">
                        <c:v>45334</c:v>
                      </c:pt>
                      <c:pt idx="13">
                        <c:v>45335</c:v>
                      </c:pt>
                      <c:pt idx="14">
                        <c:v>45336</c:v>
                      </c:pt>
                      <c:pt idx="15">
                        <c:v>45337</c:v>
                      </c:pt>
                      <c:pt idx="16">
                        <c:v>45338</c:v>
                      </c:pt>
                      <c:pt idx="17">
                        <c:v>45339</c:v>
                      </c:pt>
                      <c:pt idx="18">
                        <c:v>45340</c:v>
                      </c:pt>
                      <c:pt idx="19">
                        <c:v>45341</c:v>
                      </c:pt>
                      <c:pt idx="20">
                        <c:v>45342</c:v>
                      </c:pt>
                      <c:pt idx="21">
                        <c:v>45343</c:v>
                      </c:pt>
                      <c:pt idx="22">
                        <c:v>45344</c:v>
                      </c:pt>
                      <c:pt idx="23">
                        <c:v>45345</c:v>
                      </c:pt>
                      <c:pt idx="24">
                        <c:v>45346</c:v>
                      </c:pt>
                      <c:pt idx="25">
                        <c:v>45347</c:v>
                      </c:pt>
                      <c:pt idx="26">
                        <c:v>45348</c:v>
                      </c:pt>
                      <c:pt idx="27">
                        <c:v>45349</c:v>
                      </c:pt>
                      <c:pt idx="28">
                        <c:v>45350</c:v>
                      </c:pt>
                      <c:pt idx="29">
                        <c:v>45351</c:v>
                      </c:pt>
                      <c:pt idx="30">
                        <c:v>0</c:v>
                      </c:pt>
                      <c:pt idx="31">
                        <c:v>0</c:v>
                      </c:pt>
                      <c:pt idx="32">
                        <c:v>0</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F-9BE7-4707-800C-CD0F375AC09D}"/>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'PC PV 월별 비교'!$J$3</c15:sqref>
                        </c15:formulaRef>
                      </c:ext>
                    </c:extLst>
                    <c:strCache>
                      <c:ptCount val="1"/>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비교'!$J$4:$J$41</c15:sqref>
                        </c15:formulaRef>
                      </c:ext>
                    </c:extLst>
                    <c:numCache>
                      <c:formatCode>aaa</c:formatCode>
                      <c:ptCount val="38"/>
                      <c:pt idx="0" formatCode="General">
                        <c:v>0</c:v>
                      </c:pt>
                      <c:pt idx="1">
                        <c:v>45323</c:v>
                      </c:pt>
                      <c:pt idx="2">
                        <c:v>45324</c:v>
                      </c:pt>
                      <c:pt idx="3">
                        <c:v>45325</c:v>
                      </c:pt>
                      <c:pt idx="4">
                        <c:v>45326</c:v>
                      </c:pt>
                      <c:pt idx="5">
                        <c:v>45327</c:v>
                      </c:pt>
                      <c:pt idx="6">
                        <c:v>45328</c:v>
                      </c:pt>
                      <c:pt idx="7">
                        <c:v>45329</c:v>
                      </c:pt>
                      <c:pt idx="8">
                        <c:v>45330</c:v>
                      </c:pt>
                      <c:pt idx="9">
                        <c:v>45331</c:v>
                      </c:pt>
                      <c:pt idx="10">
                        <c:v>45332</c:v>
                      </c:pt>
                      <c:pt idx="11">
                        <c:v>45333</c:v>
                      </c:pt>
                      <c:pt idx="12">
                        <c:v>45334</c:v>
                      </c:pt>
                      <c:pt idx="13">
                        <c:v>45335</c:v>
                      </c:pt>
                      <c:pt idx="14">
                        <c:v>45336</c:v>
                      </c:pt>
                      <c:pt idx="15">
                        <c:v>45337</c:v>
                      </c:pt>
                      <c:pt idx="16">
                        <c:v>45338</c:v>
                      </c:pt>
                      <c:pt idx="17">
                        <c:v>45339</c:v>
                      </c:pt>
                      <c:pt idx="18">
                        <c:v>45340</c:v>
                      </c:pt>
                      <c:pt idx="19">
                        <c:v>45341</c:v>
                      </c:pt>
                      <c:pt idx="20">
                        <c:v>45342</c:v>
                      </c:pt>
                      <c:pt idx="21">
                        <c:v>45343</c:v>
                      </c:pt>
                      <c:pt idx="22">
                        <c:v>45344</c:v>
                      </c:pt>
                      <c:pt idx="23">
                        <c:v>45345</c:v>
                      </c:pt>
                      <c:pt idx="24">
                        <c:v>45346</c:v>
                      </c:pt>
                      <c:pt idx="25">
                        <c:v>45347</c:v>
                      </c:pt>
                      <c:pt idx="26">
                        <c:v>45348</c:v>
                      </c:pt>
                      <c:pt idx="27">
                        <c:v>45349</c:v>
                      </c:pt>
                      <c:pt idx="28">
                        <c:v>45350</c:v>
                      </c:pt>
                      <c:pt idx="29">
                        <c:v>45351</c:v>
                      </c:pt>
                      <c:pt idx="30">
                        <c:v>0</c:v>
                      </c:pt>
                      <c:pt idx="31">
                        <c:v>0</c:v>
                      </c:pt>
                      <c:pt idx="32">
                        <c:v>0</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10-9BE7-4707-800C-CD0F375AC09D}"/>
                  </c:ext>
                </c:extLst>
              </c15:ser>
            </c15:filteredLineSeries>
          </c:ext>
        </c:extLst>
      </c:lineChart>
      <c:catAx>
        <c:axId val="53153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26961840"/>
        <c:crosses val="autoZero"/>
        <c:auto val="1"/>
        <c:lblAlgn val="ctr"/>
        <c:lblOffset val="100"/>
        <c:noMultiLvlLbl val="0"/>
      </c:catAx>
      <c:valAx>
        <c:axId val="52696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31538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월간비교!$A$1</c:f>
          <c:strCache>
            <c:ptCount val="1"/>
            <c:pt idx="0">
              <c:v>[1·2·3월 페이지 지표 비교]</c:v>
            </c:pt>
          </c:strCache>
        </c:strRef>
      </c:tx>
      <c:layout>
        <c:manualLayout>
          <c:xMode val="edge"/>
          <c:yMode val="edge"/>
          <c:x val="0.51462534398449933"/>
          <c:y val="1.2496651364828667E-2"/>
        </c:manualLayout>
      </c:layout>
      <c:overlay val="0"/>
      <c:spPr>
        <a:noFill/>
        <a:ln>
          <a:noFill/>
        </a:ln>
        <a:effectLst/>
      </c:spPr>
      <c:txPr>
        <a:bodyPr rot="0" spcFirstLastPara="1" vertOverflow="ellipsis" vert="horz" wrap="square" anchor="ctr" anchorCtr="1"/>
        <a:lstStyle/>
        <a:p>
          <a:pPr>
            <a:defRPr sz="1862" b="0" i="0" u="none" strike="noStrike" kern="1200" spc="0" baseline="0">
              <a:solidFill>
                <a:schemeClr val="tx1">
                  <a:lumMod val="65000"/>
                  <a:lumOff val="35000"/>
                </a:schemeClr>
              </a:solidFill>
              <a:latin typeface="나눔바른고딕" panose="020B0603020101020101" pitchFamily="50" charset="-127"/>
              <a:ea typeface="나눔바른고딕" panose="020B0603020101020101" pitchFamily="50" charset="-127"/>
              <a:cs typeface="+mn-cs"/>
            </a:defRPr>
          </a:pPr>
          <a:endParaRPr lang="ko-KR"/>
        </a:p>
      </c:txPr>
    </c:title>
    <c:autoTitleDeleted val="0"/>
    <c:plotArea>
      <c:layout/>
      <c:barChart>
        <c:barDir val="col"/>
        <c:grouping val="clustered"/>
        <c:varyColors val="0"/>
        <c:ser>
          <c:idx val="0"/>
          <c:order val="0"/>
          <c:tx>
            <c:strRef>
              <c:f>월간비교!$J$28</c:f>
              <c:strCache>
                <c:ptCount val="1"/>
                <c:pt idx="0">
                  <c:v>1월</c:v>
                </c:pt>
              </c:strCache>
            </c:strRef>
          </c:tx>
          <c:spPr>
            <a:solidFill>
              <a:srgbClr val="00B0F0"/>
            </a:solidFill>
            <a:ln>
              <a:noFill/>
            </a:ln>
            <a:effectLst/>
          </c:spPr>
          <c:invertIfNegative val="0"/>
          <c:cat>
            <c:strRef>
              <c:f>월간비교!$I$29:$I$32</c:f>
              <c:strCache>
                <c:ptCount val="4"/>
                <c:pt idx="0">
                  <c:v>Total Page Views</c:v>
                </c:pt>
                <c:pt idx="1">
                  <c:v>PC Page Views</c:v>
                </c:pt>
                <c:pt idx="2">
                  <c:v>Mobile Page Views</c:v>
                </c:pt>
                <c:pt idx="3">
                  <c:v>Total Page Visitors</c:v>
                </c:pt>
              </c:strCache>
            </c:strRef>
          </c:cat>
          <c:val>
            <c:numRef>
              <c:f>월간비교!$J$29:$J$32</c:f>
              <c:numCache>
                <c:formatCode>General</c:formatCode>
                <c:ptCount val="4"/>
                <c:pt idx="0">
                  <c:v>10498</c:v>
                </c:pt>
                <c:pt idx="1">
                  <c:v>6482</c:v>
                </c:pt>
                <c:pt idx="2">
                  <c:v>4016</c:v>
                </c:pt>
                <c:pt idx="3">
                  <c:v>4648</c:v>
                </c:pt>
              </c:numCache>
            </c:numRef>
          </c:val>
          <c:extLst>
            <c:ext xmlns:c16="http://schemas.microsoft.com/office/drawing/2014/chart" uri="{C3380CC4-5D6E-409C-BE32-E72D297353CC}">
              <c16:uniqueId val="{00000000-A6CD-465B-9FC9-5D7C6DD020FF}"/>
            </c:ext>
          </c:extLst>
        </c:ser>
        <c:ser>
          <c:idx val="1"/>
          <c:order val="1"/>
          <c:tx>
            <c:strRef>
              <c:f>월간비교!$K$28</c:f>
              <c:strCache>
                <c:ptCount val="1"/>
                <c:pt idx="0">
                  <c:v>2월</c:v>
                </c:pt>
              </c:strCache>
            </c:strRef>
          </c:tx>
          <c:spPr>
            <a:solidFill>
              <a:srgbClr val="0070C0"/>
            </a:solidFill>
            <a:ln>
              <a:noFill/>
            </a:ln>
            <a:effectLst/>
          </c:spPr>
          <c:invertIfNegative val="0"/>
          <c:cat>
            <c:strRef>
              <c:f>월간비교!$I$29:$I$32</c:f>
              <c:strCache>
                <c:ptCount val="4"/>
                <c:pt idx="0">
                  <c:v>Total Page Views</c:v>
                </c:pt>
                <c:pt idx="1">
                  <c:v>PC Page Views</c:v>
                </c:pt>
                <c:pt idx="2">
                  <c:v>Mobile Page Views</c:v>
                </c:pt>
                <c:pt idx="3">
                  <c:v>Total Page Visitors</c:v>
                </c:pt>
              </c:strCache>
            </c:strRef>
          </c:cat>
          <c:val>
            <c:numRef>
              <c:f>월간비교!$K$29:$K$32</c:f>
              <c:numCache>
                <c:formatCode>General</c:formatCode>
                <c:ptCount val="4"/>
                <c:pt idx="0">
                  <c:v>11078</c:v>
                </c:pt>
                <c:pt idx="1">
                  <c:v>6414</c:v>
                </c:pt>
                <c:pt idx="2">
                  <c:v>4664</c:v>
                </c:pt>
                <c:pt idx="3">
                  <c:v>4914</c:v>
                </c:pt>
              </c:numCache>
            </c:numRef>
          </c:val>
          <c:extLst>
            <c:ext xmlns:c16="http://schemas.microsoft.com/office/drawing/2014/chart" uri="{C3380CC4-5D6E-409C-BE32-E72D297353CC}">
              <c16:uniqueId val="{00000001-A6CD-465B-9FC9-5D7C6DD020FF}"/>
            </c:ext>
          </c:extLst>
        </c:ser>
        <c:ser>
          <c:idx val="2"/>
          <c:order val="2"/>
          <c:tx>
            <c:strRef>
              <c:f>월간비교!$L$28</c:f>
              <c:strCache>
                <c:ptCount val="1"/>
                <c:pt idx="0">
                  <c:v>3월</c:v>
                </c:pt>
              </c:strCache>
            </c:strRef>
          </c:tx>
          <c:spPr>
            <a:solidFill>
              <a:srgbClr val="002060"/>
            </a:solidFill>
            <a:ln>
              <a:noFill/>
            </a:ln>
            <a:effectLst/>
          </c:spPr>
          <c:invertIfNegative val="0"/>
          <c:cat>
            <c:strRef>
              <c:f>월간비교!$I$29:$I$32</c:f>
              <c:strCache>
                <c:ptCount val="4"/>
                <c:pt idx="0">
                  <c:v>Total Page Views</c:v>
                </c:pt>
                <c:pt idx="1">
                  <c:v>PC Page Views</c:v>
                </c:pt>
                <c:pt idx="2">
                  <c:v>Mobile Page Views</c:v>
                </c:pt>
                <c:pt idx="3">
                  <c:v>Total Page Visitors</c:v>
                </c:pt>
              </c:strCache>
            </c:strRef>
          </c:cat>
          <c:val>
            <c:numRef>
              <c:f>월간비교!$L$29:$L$32</c:f>
              <c:numCache>
                <c:formatCode>General</c:formatCode>
                <c:ptCount val="4"/>
                <c:pt idx="0">
                  <c:v>13305</c:v>
                </c:pt>
                <c:pt idx="1">
                  <c:v>7280</c:v>
                </c:pt>
                <c:pt idx="2">
                  <c:v>6025</c:v>
                </c:pt>
                <c:pt idx="3">
                  <c:v>5246</c:v>
                </c:pt>
              </c:numCache>
            </c:numRef>
          </c:val>
          <c:extLst>
            <c:ext xmlns:c16="http://schemas.microsoft.com/office/drawing/2014/chart" uri="{C3380CC4-5D6E-409C-BE32-E72D297353CC}">
              <c16:uniqueId val="{00000002-A6CD-465B-9FC9-5D7C6DD020FF}"/>
            </c:ext>
          </c:extLst>
        </c:ser>
        <c:dLbls>
          <c:showLegendKey val="0"/>
          <c:showVal val="0"/>
          <c:showCatName val="0"/>
          <c:showSerName val="0"/>
          <c:showPercent val="0"/>
          <c:showBubbleSize val="0"/>
        </c:dLbls>
        <c:gapWidth val="150"/>
        <c:axId val="586594688"/>
        <c:axId val="586589792"/>
      </c:barChart>
      <c:catAx>
        <c:axId val="5865946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나눔바른고딕" panose="020B0603020101020101" pitchFamily="50" charset="-127"/>
                <a:ea typeface="나눔바른고딕" panose="020B0603020101020101" pitchFamily="50" charset="-127"/>
                <a:cs typeface="+mn-cs"/>
              </a:defRPr>
            </a:pPr>
            <a:endParaRPr lang="ko-KR"/>
          </a:p>
        </c:txPr>
        <c:crossAx val="586589792"/>
        <c:crosses val="autoZero"/>
        <c:auto val="1"/>
        <c:lblAlgn val="ctr"/>
        <c:lblOffset val="100"/>
        <c:noMultiLvlLbl val="0"/>
      </c:catAx>
      <c:valAx>
        <c:axId val="586589792"/>
        <c:scaling>
          <c:orientation val="minMax"/>
          <c:min val="10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나눔바른고딕" panose="020B0603020101020101" pitchFamily="50" charset="-127"/>
                <a:ea typeface="나눔바른고딕" panose="020B0603020101020101" pitchFamily="50" charset="-127"/>
                <a:cs typeface="+mn-cs"/>
              </a:defRPr>
            </a:pPr>
            <a:endParaRPr lang="ko-KR"/>
          </a:p>
        </c:txPr>
        <c:crossAx val="586594688"/>
        <c:crosses val="autoZero"/>
        <c:crossBetween val="between"/>
      </c:valAx>
      <c:spPr>
        <a:noFill/>
        <a:ln>
          <a:noFill/>
        </a:ln>
        <a:effectLst/>
      </c:spPr>
    </c:plotArea>
    <c:legend>
      <c:legendPos val="b"/>
      <c:layout>
        <c:manualLayout>
          <c:xMode val="edge"/>
          <c:yMode val="edge"/>
          <c:x val="4.971854864640273E-3"/>
          <c:y val="1.9744709156429296E-2"/>
          <c:w val="0.19627421462962422"/>
          <c:h val="6.7999741211078032E-2"/>
        </c:manualLayout>
      </c:layout>
      <c:overlay val="0"/>
      <c:spPr>
        <a:noFill/>
        <a:ln>
          <a:noFill/>
        </a:ln>
        <a:effectLst/>
      </c:spPr>
      <c:txPr>
        <a:bodyPr rot="0" spcFirstLastPara="1" vertOverflow="ellipsis" vert="horz" wrap="square" anchor="ctr" anchorCtr="1"/>
        <a:lstStyle/>
        <a:p>
          <a:pPr>
            <a:defRPr sz="1197" b="0" i="0" u="none" strike="noStrike" kern="1200" baseline="0">
              <a:solidFill>
                <a:schemeClr val="tx1">
                  <a:lumMod val="65000"/>
                  <a:lumOff val="35000"/>
                </a:schemeClr>
              </a:solidFill>
              <a:latin typeface="나눔바른고딕" panose="020B0603020101020101" pitchFamily="50" charset="-127"/>
              <a:ea typeface="나눔바른고딕" panose="020B0603020101020101" pitchFamily="50" charset="-127"/>
              <a:cs typeface="+mn-cs"/>
            </a:defRPr>
          </a:pPr>
          <a:endParaRPr lang="ko-KR"/>
        </a:p>
      </c:txPr>
    </c:legend>
    <c:plotVisOnly val="1"/>
    <c:dispBlanksAs val="gap"/>
    <c:showDLblsOverMax val="0"/>
  </c:chart>
  <c:spPr>
    <a:solidFill>
      <a:schemeClr val="bg1">
        <a:lumMod val="95000"/>
      </a:schemeClr>
    </a:solidFill>
    <a:ln w="9525" cap="flat" cmpd="sng" algn="ctr">
      <a:noFill/>
      <a:round/>
    </a:ln>
    <a:effectLst/>
  </c:spPr>
  <c:txPr>
    <a:bodyPr/>
    <a:lstStyle/>
    <a:p>
      <a:pPr>
        <a:defRPr/>
      </a:pPr>
      <a:endParaRPr lang="ko-K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872192247962728"/>
          <c:y val="7.7986976422902421E-2"/>
          <c:w val="0.70011367093066068"/>
          <c:h val="0.68422782379426383"/>
        </c:manualLayout>
      </c:layout>
      <c:barChart>
        <c:barDir val="col"/>
        <c:grouping val="clustered"/>
        <c:varyColors val="0"/>
        <c:ser>
          <c:idx val="0"/>
          <c:order val="0"/>
          <c:tx>
            <c:strRef>
              <c:f>월간비교!$J$28</c:f>
              <c:strCache>
                <c:ptCount val="1"/>
                <c:pt idx="0">
                  <c:v>1월</c:v>
                </c:pt>
              </c:strCache>
            </c:strRef>
          </c:tx>
          <c:spPr>
            <a:solidFill>
              <a:srgbClr val="00B0F0"/>
            </a:solidFill>
            <a:ln>
              <a:noFill/>
            </a:ln>
            <a:effectLst/>
          </c:spPr>
          <c:invertIfNegative val="0"/>
          <c:cat>
            <c:strRef>
              <c:f>월간비교!$I$33</c:f>
              <c:strCache>
                <c:ptCount val="1"/>
                <c:pt idx="0">
                  <c:v>콘텐츠 건 수</c:v>
                </c:pt>
              </c:strCache>
            </c:strRef>
          </c:cat>
          <c:val>
            <c:numRef>
              <c:f>월간비교!$J$33</c:f>
              <c:numCache>
                <c:formatCode>General</c:formatCode>
                <c:ptCount val="1"/>
                <c:pt idx="0">
                  <c:v>16</c:v>
                </c:pt>
              </c:numCache>
            </c:numRef>
          </c:val>
          <c:extLst>
            <c:ext xmlns:c16="http://schemas.microsoft.com/office/drawing/2014/chart" uri="{C3380CC4-5D6E-409C-BE32-E72D297353CC}">
              <c16:uniqueId val="{00000000-2D88-42BF-B23D-3DFC8BF7152C}"/>
            </c:ext>
          </c:extLst>
        </c:ser>
        <c:ser>
          <c:idx val="1"/>
          <c:order val="1"/>
          <c:tx>
            <c:strRef>
              <c:f>월간비교!$K$28</c:f>
              <c:strCache>
                <c:ptCount val="1"/>
                <c:pt idx="0">
                  <c:v>2월</c:v>
                </c:pt>
              </c:strCache>
            </c:strRef>
          </c:tx>
          <c:spPr>
            <a:solidFill>
              <a:srgbClr val="0070C0"/>
            </a:solidFill>
            <a:ln>
              <a:noFill/>
            </a:ln>
            <a:effectLst/>
          </c:spPr>
          <c:invertIfNegative val="0"/>
          <c:cat>
            <c:strRef>
              <c:f>월간비교!$I$33</c:f>
              <c:strCache>
                <c:ptCount val="1"/>
                <c:pt idx="0">
                  <c:v>콘텐츠 건 수</c:v>
                </c:pt>
              </c:strCache>
            </c:strRef>
          </c:cat>
          <c:val>
            <c:numRef>
              <c:f>월간비교!$K$33</c:f>
              <c:numCache>
                <c:formatCode>General</c:formatCode>
                <c:ptCount val="1"/>
                <c:pt idx="0">
                  <c:v>25</c:v>
                </c:pt>
              </c:numCache>
            </c:numRef>
          </c:val>
          <c:extLst>
            <c:ext xmlns:c16="http://schemas.microsoft.com/office/drawing/2014/chart" uri="{C3380CC4-5D6E-409C-BE32-E72D297353CC}">
              <c16:uniqueId val="{00000001-2D88-42BF-B23D-3DFC8BF7152C}"/>
            </c:ext>
          </c:extLst>
        </c:ser>
        <c:ser>
          <c:idx val="2"/>
          <c:order val="2"/>
          <c:tx>
            <c:strRef>
              <c:f>월간비교!$L$28</c:f>
              <c:strCache>
                <c:ptCount val="1"/>
                <c:pt idx="0">
                  <c:v>3월</c:v>
                </c:pt>
              </c:strCache>
            </c:strRef>
          </c:tx>
          <c:spPr>
            <a:solidFill>
              <a:srgbClr val="002060"/>
            </a:solidFill>
            <a:ln>
              <a:noFill/>
            </a:ln>
            <a:effectLst/>
          </c:spPr>
          <c:invertIfNegative val="0"/>
          <c:cat>
            <c:strRef>
              <c:f>월간비교!$I$33</c:f>
              <c:strCache>
                <c:ptCount val="1"/>
                <c:pt idx="0">
                  <c:v>콘텐츠 건 수</c:v>
                </c:pt>
              </c:strCache>
            </c:strRef>
          </c:cat>
          <c:val>
            <c:numRef>
              <c:f>월간비교!$L$33</c:f>
              <c:numCache>
                <c:formatCode>General</c:formatCode>
                <c:ptCount val="1"/>
                <c:pt idx="0">
                  <c:v>29</c:v>
                </c:pt>
              </c:numCache>
            </c:numRef>
          </c:val>
          <c:extLst>
            <c:ext xmlns:c16="http://schemas.microsoft.com/office/drawing/2014/chart" uri="{C3380CC4-5D6E-409C-BE32-E72D297353CC}">
              <c16:uniqueId val="{00000002-2D88-42BF-B23D-3DFC8BF7152C}"/>
            </c:ext>
          </c:extLst>
        </c:ser>
        <c:dLbls>
          <c:showLegendKey val="0"/>
          <c:showVal val="0"/>
          <c:showCatName val="0"/>
          <c:showSerName val="0"/>
          <c:showPercent val="0"/>
          <c:showBubbleSize val="0"/>
        </c:dLbls>
        <c:gapWidth val="150"/>
        <c:axId val="248865296"/>
        <c:axId val="586601216"/>
      </c:barChart>
      <c:catAx>
        <c:axId val="2488652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나눔바른고딕" panose="020B0603020101020101" pitchFamily="50" charset="-127"/>
                <a:ea typeface="나눔바른고딕" panose="020B0603020101020101" pitchFamily="50" charset="-127"/>
                <a:cs typeface="+mn-cs"/>
              </a:defRPr>
            </a:pPr>
            <a:endParaRPr lang="ko-KR"/>
          </a:p>
        </c:txPr>
        <c:crossAx val="586601216"/>
        <c:crosses val="autoZero"/>
        <c:auto val="1"/>
        <c:lblAlgn val="ctr"/>
        <c:lblOffset val="100"/>
        <c:noMultiLvlLbl val="0"/>
      </c:catAx>
      <c:valAx>
        <c:axId val="586601216"/>
        <c:scaling>
          <c:orientation val="minMax"/>
          <c:max val="26"/>
          <c:min val="14"/>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나눔바른고딕" panose="020B0603020101020101" pitchFamily="50" charset="-127"/>
                <a:ea typeface="나눔바른고딕" panose="020B0603020101020101" pitchFamily="50" charset="-127"/>
                <a:cs typeface="+mn-cs"/>
              </a:defRPr>
            </a:pPr>
            <a:endParaRPr lang="ko-KR"/>
          </a:p>
        </c:txPr>
        <c:crossAx val="248865296"/>
        <c:crosses val="autoZero"/>
        <c:crossBetween val="between"/>
        <c:majorUnit val="2"/>
      </c:valAx>
      <c:spPr>
        <a:noFill/>
        <a:ln>
          <a:noFill/>
        </a:ln>
        <a:effectLst/>
      </c:spPr>
    </c:plotArea>
    <c:plotVisOnly val="1"/>
    <c:dispBlanksAs val="gap"/>
    <c:showDLblsOverMax val="0"/>
  </c:chart>
  <c:spPr>
    <a:solidFill>
      <a:schemeClr val="bg1">
        <a:lumMod val="95000"/>
      </a:schemeClr>
    </a:solidFill>
    <a:ln w="9525" cap="flat" cmpd="sng" algn="ctr">
      <a:noFill/>
      <a:round/>
    </a:ln>
    <a:effectLst/>
  </c:spPr>
  <c:txPr>
    <a:bodyPr/>
    <a:lstStyle/>
    <a:p>
      <a:pPr>
        <a:defRPr/>
      </a:pPr>
      <a:endParaRPr lang="ko-K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ko-KR" altLang="en-US" sz="1400" b="1" i="0" u="none" strike="noStrike" kern="1200" spc="0" baseline="0" dirty="0" err="1">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월별 오가닉</a:t>
            </a:r>
            <a:r>
              <a:rPr lang="ko-KR" altLang="en-US"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 </a:t>
            </a:r>
            <a:r>
              <a:rPr lang="en-US" altLang="ko-KR"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Total</a:t>
            </a:r>
            <a:r>
              <a:rPr lang="ko-KR" altLang="en-US"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 </a:t>
            </a:r>
            <a:r>
              <a:rPr lang="en-US" altLang="ko-KR"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Impression </a:t>
            </a:r>
            <a:r>
              <a:rPr lang="ko-KR" altLang="en-US"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및 </a:t>
            </a:r>
            <a:r>
              <a:rPr lang="en-US" altLang="ko-KR"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Engagement </a:t>
            </a:r>
            <a:r>
              <a:rPr lang="ko-KR" altLang="en-US"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rPr>
              <a:t>추이</a:t>
            </a:r>
            <a:endParaRPr lang="ko-KR" altLang="ko-KR" sz="1400" b="1" i="0" u="none" strike="noStrike" kern="1200" spc="0" baseline="0" dirty="0">
              <a:ln>
                <a:solidFill>
                  <a:schemeClr val="bg1">
                    <a:alpha val="10000"/>
                  </a:schemeClr>
                </a:solidFill>
              </a:ln>
              <a:solidFill>
                <a:prstClr val="black">
                  <a:lumMod val="65000"/>
                  <a:lumOff val="35000"/>
                </a:prstClr>
              </a:solidFill>
              <a:latin typeface="나눔바른고딕" panose="020B0603020101020101" pitchFamily="50" charset="-127"/>
              <a:ea typeface="나눔바른고딕" panose="020B0603020101020101" pitchFamily="50" charset="-127"/>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barChart>
        <c:barDir val="col"/>
        <c:grouping val="clustered"/>
        <c:varyColors val="0"/>
        <c:ser>
          <c:idx val="0"/>
          <c:order val="0"/>
          <c:tx>
            <c:strRef>
              <c:f>'노출,참여 추이'!$I$25</c:f>
              <c:strCache>
                <c:ptCount val="1"/>
                <c:pt idx="0">
                  <c:v>Impression</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2060"/>
                    </a:solidFill>
                    <a:latin typeface="+mn-lt"/>
                    <a:ea typeface="+mn-ea"/>
                    <a:cs typeface="+mn-cs"/>
                  </a:defRPr>
                </a:pPr>
                <a:endParaRPr lang="ko-K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'노출,참여 추이'!$H$26:$H$40</c:f>
              <c:numCache>
                <c:formatCode>\'yy\ mm</c:formatCode>
                <c:ptCount val="15"/>
                <c:pt idx="0">
                  <c:v>44927</c:v>
                </c:pt>
                <c:pt idx="1">
                  <c:v>44958</c:v>
                </c:pt>
                <c:pt idx="2">
                  <c:v>44986</c:v>
                </c:pt>
                <c:pt idx="3">
                  <c:v>45017</c:v>
                </c:pt>
                <c:pt idx="4">
                  <c:v>45047</c:v>
                </c:pt>
                <c:pt idx="5">
                  <c:v>45078</c:v>
                </c:pt>
                <c:pt idx="6">
                  <c:v>45108</c:v>
                </c:pt>
                <c:pt idx="7">
                  <c:v>45139</c:v>
                </c:pt>
                <c:pt idx="8">
                  <c:v>45170</c:v>
                </c:pt>
                <c:pt idx="9">
                  <c:v>45200</c:v>
                </c:pt>
                <c:pt idx="10">
                  <c:v>45231</c:v>
                </c:pt>
                <c:pt idx="11">
                  <c:v>45261</c:v>
                </c:pt>
                <c:pt idx="12">
                  <c:v>45292</c:v>
                </c:pt>
                <c:pt idx="13">
                  <c:v>45323</c:v>
                </c:pt>
                <c:pt idx="14">
                  <c:v>45352</c:v>
                </c:pt>
              </c:numCache>
            </c:numRef>
          </c:cat>
          <c:val>
            <c:numRef>
              <c:f>'노출,참여 추이'!$I$26:$I$40</c:f>
              <c:numCache>
                <c:formatCode>#,##0_ </c:formatCode>
                <c:ptCount val="15"/>
                <c:pt idx="0">
                  <c:v>105299</c:v>
                </c:pt>
                <c:pt idx="1">
                  <c:v>137799</c:v>
                </c:pt>
                <c:pt idx="2">
                  <c:v>117990</c:v>
                </c:pt>
                <c:pt idx="3">
                  <c:v>120798</c:v>
                </c:pt>
                <c:pt idx="4">
                  <c:v>128565</c:v>
                </c:pt>
                <c:pt idx="5">
                  <c:v>145916</c:v>
                </c:pt>
                <c:pt idx="6">
                  <c:v>111215</c:v>
                </c:pt>
                <c:pt idx="7">
                  <c:v>114968</c:v>
                </c:pt>
                <c:pt idx="8">
                  <c:v>132612</c:v>
                </c:pt>
                <c:pt idx="9">
                  <c:v>138632</c:v>
                </c:pt>
                <c:pt idx="10">
                  <c:v>160929</c:v>
                </c:pt>
                <c:pt idx="11">
                  <c:v>96535</c:v>
                </c:pt>
                <c:pt idx="12">
                  <c:v>120721</c:v>
                </c:pt>
                <c:pt idx="13">
                  <c:v>139143</c:v>
                </c:pt>
                <c:pt idx="14">
                  <c:v>170500</c:v>
                </c:pt>
              </c:numCache>
            </c:numRef>
          </c:val>
          <c:extLst>
            <c:ext xmlns:c16="http://schemas.microsoft.com/office/drawing/2014/chart" uri="{C3380CC4-5D6E-409C-BE32-E72D297353CC}">
              <c16:uniqueId val="{00000009-968F-4A63-B276-588C20B6D8F7}"/>
            </c:ext>
          </c:extLst>
        </c:ser>
        <c:dLbls>
          <c:showLegendKey val="0"/>
          <c:showVal val="0"/>
          <c:showCatName val="0"/>
          <c:showSerName val="0"/>
          <c:showPercent val="0"/>
          <c:showBubbleSize val="0"/>
        </c:dLbls>
        <c:gapWidth val="219"/>
        <c:axId val="672412432"/>
        <c:axId val="655969904"/>
      </c:barChart>
      <c:lineChart>
        <c:grouping val="standard"/>
        <c:varyColors val="0"/>
        <c:ser>
          <c:idx val="1"/>
          <c:order val="1"/>
          <c:tx>
            <c:strRef>
              <c:f>'노출,참여 추이'!$J$25</c:f>
              <c:strCache>
                <c:ptCount val="1"/>
                <c:pt idx="0">
                  <c:v>Engagement</c:v>
                </c:pt>
              </c:strCache>
            </c:strRef>
          </c:tx>
          <c:spPr>
            <a:ln w="28575" cap="rnd">
              <a:solidFill>
                <a:srgbClr val="00B0F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B0F0"/>
                    </a:solidFill>
                    <a:latin typeface="+mn-lt"/>
                    <a:ea typeface="+mn-ea"/>
                    <a:cs typeface="+mn-cs"/>
                  </a:defRPr>
                </a:pPr>
                <a:endParaRPr lang="ko-KR"/>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'노출,참여 추이'!$H$26:$H$40</c:f>
              <c:numCache>
                <c:formatCode>\'yy\ mm</c:formatCode>
                <c:ptCount val="15"/>
                <c:pt idx="0">
                  <c:v>44927</c:v>
                </c:pt>
                <c:pt idx="1">
                  <c:v>44958</c:v>
                </c:pt>
                <c:pt idx="2">
                  <c:v>44986</c:v>
                </c:pt>
                <c:pt idx="3">
                  <c:v>45017</c:v>
                </c:pt>
                <c:pt idx="4">
                  <c:v>45047</c:v>
                </c:pt>
                <c:pt idx="5">
                  <c:v>45078</c:v>
                </c:pt>
                <c:pt idx="6">
                  <c:v>45108</c:v>
                </c:pt>
                <c:pt idx="7">
                  <c:v>45139</c:v>
                </c:pt>
                <c:pt idx="8">
                  <c:v>45170</c:v>
                </c:pt>
                <c:pt idx="9">
                  <c:v>45200</c:v>
                </c:pt>
                <c:pt idx="10">
                  <c:v>45231</c:v>
                </c:pt>
                <c:pt idx="11">
                  <c:v>45261</c:v>
                </c:pt>
                <c:pt idx="12">
                  <c:v>45292</c:v>
                </c:pt>
                <c:pt idx="13">
                  <c:v>45323</c:v>
                </c:pt>
                <c:pt idx="14">
                  <c:v>45352</c:v>
                </c:pt>
              </c:numCache>
            </c:numRef>
          </c:cat>
          <c:val>
            <c:numRef>
              <c:f>'노출,참여 추이'!$J$26:$J$40</c:f>
              <c:numCache>
                <c:formatCode>#,##0_ </c:formatCode>
                <c:ptCount val="15"/>
                <c:pt idx="0">
                  <c:v>6498</c:v>
                </c:pt>
                <c:pt idx="1">
                  <c:v>9888</c:v>
                </c:pt>
                <c:pt idx="2">
                  <c:v>5736</c:v>
                </c:pt>
                <c:pt idx="3">
                  <c:v>10610</c:v>
                </c:pt>
                <c:pt idx="4">
                  <c:v>12673</c:v>
                </c:pt>
                <c:pt idx="5">
                  <c:v>12283</c:v>
                </c:pt>
                <c:pt idx="6">
                  <c:v>6177</c:v>
                </c:pt>
                <c:pt idx="7">
                  <c:v>9620</c:v>
                </c:pt>
                <c:pt idx="8">
                  <c:v>12295</c:v>
                </c:pt>
                <c:pt idx="9">
                  <c:v>16261</c:v>
                </c:pt>
                <c:pt idx="10">
                  <c:v>20617</c:v>
                </c:pt>
                <c:pt idx="11">
                  <c:v>5071</c:v>
                </c:pt>
                <c:pt idx="12">
                  <c:v>7086</c:v>
                </c:pt>
                <c:pt idx="13">
                  <c:v>9922</c:v>
                </c:pt>
                <c:pt idx="14">
                  <c:v>20307</c:v>
                </c:pt>
              </c:numCache>
            </c:numRef>
          </c:val>
          <c:smooth val="0"/>
          <c:extLst>
            <c:ext xmlns:c16="http://schemas.microsoft.com/office/drawing/2014/chart" uri="{C3380CC4-5D6E-409C-BE32-E72D297353CC}">
              <c16:uniqueId val="{0000000A-968F-4A63-B276-588C20B6D8F7}"/>
            </c:ext>
          </c:extLst>
        </c:ser>
        <c:dLbls>
          <c:showLegendKey val="0"/>
          <c:showVal val="0"/>
          <c:showCatName val="0"/>
          <c:showSerName val="0"/>
          <c:showPercent val="0"/>
          <c:showBubbleSize val="0"/>
        </c:dLbls>
        <c:marker val="1"/>
        <c:smooth val="0"/>
        <c:axId val="182843760"/>
        <c:axId val="1003625344"/>
      </c:lineChart>
      <c:dateAx>
        <c:axId val="672412432"/>
        <c:scaling>
          <c:orientation val="minMax"/>
        </c:scaling>
        <c:delete val="0"/>
        <c:axPos val="b"/>
        <c:numFmt formatCode="\'yy\ 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655969904"/>
        <c:crosses val="autoZero"/>
        <c:auto val="1"/>
        <c:lblOffset val="100"/>
        <c:baseTimeUnit val="months"/>
      </c:dateAx>
      <c:valAx>
        <c:axId val="655969904"/>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2060"/>
                </a:solidFill>
                <a:latin typeface="+mn-lt"/>
                <a:ea typeface="+mn-ea"/>
                <a:cs typeface="+mn-cs"/>
              </a:defRPr>
            </a:pPr>
            <a:endParaRPr lang="ko-KR"/>
          </a:p>
        </c:txPr>
        <c:crossAx val="672412432"/>
        <c:crosses val="autoZero"/>
        <c:crossBetween val="between"/>
      </c:valAx>
      <c:valAx>
        <c:axId val="1003625344"/>
        <c:scaling>
          <c:orientation val="minMax"/>
        </c:scaling>
        <c:delete val="0"/>
        <c:axPos val="r"/>
        <c:numFmt formatCode="#,##0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00B0F0"/>
                </a:solidFill>
                <a:latin typeface="+mn-lt"/>
                <a:ea typeface="+mn-ea"/>
                <a:cs typeface="+mn-cs"/>
              </a:defRPr>
            </a:pPr>
            <a:endParaRPr lang="ko-KR"/>
          </a:p>
        </c:txPr>
        <c:crossAx val="182843760"/>
        <c:crosses val="max"/>
        <c:crossBetween val="between"/>
      </c:valAx>
      <c:dateAx>
        <c:axId val="182843760"/>
        <c:scaling>
          <c:orientation val="minMax"/>
        </c:scaling>
        <c:delete val="1"/>
        <c:axPos val="b"/>
        <c:numFmt formatCode="\'yy\ mm" sourceLinked="1"/>
        <c:majorTickMark val="out"/>
        <c:minorTickMark val="none"/>
        <c:tickLblPos val="nextTo"/>
        <c:crossAx val="1003625344"/>
        <c:crosses val="autoZero"/>
        <c:auto val="1"/>
        <c:lblOffset val="100"/>
        <c:baseTimeUnit val="month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sz="1500" dirty="0"/>
              <a:t>[</a:t>
            </a:r>
            <a:r>
              <a:rPr lang="ko-KR" altLang="en-US" sz="1500" dirty="0"/>
              <a:t> </a:t>
            </a:r>
            <a:r>
              <a:rPr lang="en-US" sz="1500" dirty="0"/>
              <a:t>Visitors by </a:t>
            </a:r>
            <a:r>
              <a:rPr lang="en-US" sz="1500" u="sng" dirty="0"/>
              <a:t>JOB Functions</a:t>
            </a:r>
            <a:r>
              <a:rPr lang="ko-KR" altLang="en-US" sz="1500" u="none" dirty="0"/>
              <a:t> </a:t>
            </a:r>
            <a:r>
              <a:rPr lang="en-US" altLang="ko-KR" sz="1500" u="none" dirty="0"/>
              <a:t>]</a:t>
            </a:r>
            <a:endParaRPr lang="ko-KR" sz="1500" u="none" dirty="0"/>
          </a:p>
        </c:rich>
      </c:tx>
      <c:layout>
        <c:manualLayout>
          <c:xMode val="edge"/>
          <c:yMode val="edge"/>
          <c:x val="0.24394430015460841"/>
          <c:y val="2.3947951860845428E-2"/>
        </c:manualLayout>
      </c:layout>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barChart>
        <c:barDir val="bar"/>
        <c:grouping val="clustered"/>
        <c:varyColors val="0"/>
        <c:ser>
          <c:idx val="0"/>
          <c:order val="0"/>
          <c:tx>
            <c:strRef>
              <c:f>'Visitor Demographic'!$L$4</c:f>
              <c:strCache>
                <c:ptCount val="1"/>
                <c:pt idx="0">
                  <c:v>Total Views</c:v>
                </c:pt>
              </c:strCache>
            </c:strRef>
          </c:tx>
          <c:spPr>
            <a:solidFill>
              <a:srgbClr val="002060"/>
            </a:solidFill>
            <a:ln>
              <a:noFill/>
            </a:ln>
            <a:effectLst>
              <a:outerShdw blurRad="57150" dist="19050" dir="5400000" algn="ctr" rotWithShape="0">
                <a:srgbClr val="000000">
                  <a:alpha val="63000"/>
                </a:srgbClr>
              </a:outerShdw>
            </a:effectLst>
          </c:spPr>
          <c:invertIfNegative val="0"/>
          <c:dLbls>
            <c:delete val="1"/>
          </c:dLbls>
          <c:cat>
            <c:strRef>
              <c:f>'Visitor Demographic'!$K$5:$K$14</c:f>
              <c:strCache>
                <c:ptCount val="10"/>
                <c:pt idx="0">
                  <c:v>Engineering</c:v>
                </c:pt>
                <c:pt idx="1">
                  <c:v>Sales</c:v>
                </c:pt>
                <c:pt idx="2">
                  <c:v>Business Development</c:v>
                </c:pt>
                <c:pt idx="3">
                  <c:v>Research</c:v>
                </c:pt>
                <c:pt idx="4">
                  <c:v>Operations</c:v>
                </c:pt>
                <c:pt idx="5">
                  <c:v>Information Technology</c:v>
                </c:pt>
                <c:pt idx="6">
                  <c:v>Marketing</c:v>
                </c:pt>
                <c:pt idx="7">
                  <c:v>Human Resources</c:v>
                </c:pt>
                <c:pt idx="8">
                  <c:v>Media and Communication</c:v>
                </c:pt>
                <c:pt idx="9">
                  <c:v>Education</c:v>
                </c:pt>
              </c:strCache>
            </c:strRef>
          </c:cat>
          <c:val>
            <c:numRef>
              <c:f>'Visitor Demographic'!$L$5:$L$14</c:f>
              <c:numCache>
                <c:formatCode>General</c:formatCode>
                <c:ptCount val="10"/>
                <c:pt idx="0">
                  <c:v>1889</c:v>
                </c:pt>
                <c:pt idx="1">
                  <c:v>1124</c:v>
                </c:pt>
                <c:pt idx="2">
                  <c:v>898</c:v>
                </c:pt>
                <c:pt idx="3">
                  <c:v>744</c:v>
                </c:pt>
                <c:pt idx="4">
                  <c:v>709</c:v>
                </c:pt>
                <c:pt idx="5">
                  <c:v>498</c:v>
                </c:pt>
                <c:pt idx="6">
                  <c:v>457</c:v>
                </c:pt>
                <c:pt idx="7">
                  <c:v>332</c:v>
                </c:pt>
                <c:pt idx="8">
                  <c:v>296</c:v>
                </c:pt>
                <c:pt idx="9">
                  <c:v>267</c:v>
                </c:pt>
              </c:numCache>
            </c:numRef>
          </c:val>
          <c:extLst>
            <c:ext xmlns:c16="http://schemas.microsoft.com/office/drawing/2014/chart" uri="{C3380CC4-5D6E-409C-BE32-E72D297353CC}">
              <c16:uniqueId val="{00000010-0EA8-457E-AF9D-E710CAEE8A16}"/>
            </c:ext>
          </c:extLst>
        </c:ser>
        <c:ser>
          <c:idx val="1"/>
          <c:order val="1"/>
          <c:tx>
            <c:strRef>
              <c:f>'Visitor Demographic'!$M$4</c:f>
              <c:strCache>
                <c:ptCount val="1"/>
                <c:pt idx="0">
                  <c:v>Percentage</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Demographic'!$K$5:$K$14</c:f>
              <c:strCache>
                <c:ptCount val="10"/>
                <c:pt idx="0">
                  <c:v>Engineering</c:v>
                </c:pt>
                <c:pt idx="1">
                  <c:v>Sales</c:v>
                </c:pt>
                <c:pt idx="2">
                  <c:v>Business Development</c:v>
                </c:pt>
                <c:pt idx="3">
                  <c:v>Research</c:v>
                </c:pt>
                <c:pt idx="4">
                  <c:v>Operations</c:v>
                </c:pt>
                <c:pt idx="5">
                  <c:v>Information Technology</c:v>
                </c:pt>
                <c:pt idx="6">
                  <c:v>Marketing</c:v>
                </c:pt>
                <c:pt idx="7">
                  <c:v>Human Resources</c:v>
                </c:pt>
                <c:pt idx="8">
                  <c:v>Media and Communication</c:v>
                </c:pt>
                <c:pt idx="9">
                  <c:v>Education</c:v>
                </c:pt>
              </c:strCache>
            </c:strRef>
          </c:cat>
          <c:val>
            <c:numRef>
              <c:f>'Visitor Demographic'!$M$5:$M$14</c:f>
              <c:numCache>
                <c:formatCode>0.0%</c:formatCode>
                <c:ptCount val="10"/>
                <c:pt idx="0">
                  <c:v>0.20986557049216753</c:v>
                </c:pt>
                <c:pt idx="1">
                  <c:v>0.12487501388734586</c:v>
                </c:pt>
                <c:pt idx="2">
                  <c:v>9.9766692589712255E-2</c:v>
                </c:pt>
                <c:pt idx="3">
                  <c:v>8.2657482501944227E-2</c:v>
                </c:pt>
                <c:pt idx="4">
                  <c:v>7.8769025663815134E-2</c:v>
                </c:pt>
                <c:pt idx="5">
                  <c:v>5.5327185868236865E-2</c:v>
                </c:pt>
                <c:pt idx="6">
                  <c:v>5.0772136429285637E-2</c:v>
                </c:pt>
                <c:pt idx="7">
                  <c:v>3.6884790578824572E-2</c:v>
                </c:pt>
                <c:pt idx="8">
                  <c:v>3.2885234973891793E-2</c:v>
                </c:pt>
                <c:pt idx="9">
                  <c:v>2.9663370736584822E-2</c:v>
                </c:pt>
              </c:numCache>
            </c:numRef>
          </c:val>
          <c:extLst>
            <c:ext xmlns:c16="http://schemas.microsoft.com/office/drawing/2014/chart" uri="{C3380CC4-5D6E-409C-BE32-E72D297353CC}">
              <c16:uniqueId val="{00000013-0EA8-457E-AF9D-E710CAEE8A16}"/>
            </c:ext>
          </c:extLst>
        </c:ser>
        <c:dLbls>
          <c:dLblPos val="outEnd"/>
          <c:showLegendKey val="0"/>
          <c:showVal val="1"/>
          <c:showCatName val="0"/>
          <c:showSerName val="0"/>
          <c:showPercent val="0"/>
          <c:showBubbleSize val="0"/>
        </c:dLbls>
        <c:gapWidth val="150"/>
        <c:axId val="586591968"/>
        <c:axId val="586593600"/>
      </c:barChart>
      <c:catAx>
        <c:axId val="586591968"/>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586593600"/>
        <c:crosses val="autoZero"/>
        <c:auto val="1"/>
        <c:lblAlgn val="ctr"/>
        <c:lblOffset val="100"/>
        <c:noMultiLvlLbl val="0"/>
      </c:catAx>
      <c:valAx>
        <c:axId val="58659360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NanumBarunGothic" panose="020B0603020101020101" pitchFamily="34" charset="-127"/>
                <a:ea typeface="NanumBarunGothic" panose="020B0603020101020101" pitchFamily="34" charset="-127"/>
                <a:cs typeface="+mn-cs"/>
              </a:defRPr>
            </a:pPr>
            <a:endParaRPr lang="ko-KR"/>
          </a:p>
        </c:txPr>
        <c:crossAx val="586591968"/>
        <c:crosses val="autoZero"/>
        <c:crossBetween val="between"/>
      </c:valAx>
      <c:spPr>
        <a:noFill/>
        <a:ln>
          <a:noFill/>
        </a:ln>
        <a:effectLst/>
      </c:spPr>
    </c:plotArea>
    <c:plotVisOnly val="1"/>
    <c:dispBlanksAs val="gap"/>
    <c:showDLblsOverMax val="0"/>
  </c:chart>
  <c:spPr>
    <a:solidFill>
      <a:srgbClr val="F5F5F5"/>
    </a:solidFill>
    <a:ln w="9525" cap="flat" cmpd="sng" algn="ctr">
      <a:noFill/>
      <a:round/>
    </a:ln>
    <a:effectLst/>
  </c:spPr>
  <c:txPr>
    <a:bodyPr/>
    <a:lstStyle/>
    <a:p>
      <a:pPr>
        <a:defRPr>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sz="1500" dirty="0"/>
              <a:t>[</a:t>
            </a:r>
            <a:r>
              <a:rPr lang="ko-KR" altLang="en-US" sz="1500" dirty="0"/>
              <a:t> </a:t>
            </a:r>
            <a:r>
              <a:rPr lang="en-US" sz="1500" dirty="0"/>
              <a:t>Visitors by </a:t>
            </a:r>
            <a:r>
              <a:rPr lang="en-US" sz="1500" u="sng" dirty="0"/>
              <a:t>Industry</a:t>
            </a:r>
            <a:r>
              <a:rPr lang="en-US" altLang="ko-KR" sz="1500" u="none" dirty="0"/>
              <a:t>]</a:t>
            </a:r>
            <a:endParaRPr lang="ko-KR" sz="1500" u="none" dirty="0"/>
          </a:p>
        </c:rich>
      </c:tx>
      <c:layout>
        <c:manualLayout>
          <c:xMode val="edge"/>
          <c:yMode val="edge"/>
          <c:x val="0.31911561953066397"/>
          <c:y val="2.3947951860845428E-2"/>
        </c:manualLayout>
      </c:layout>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barChart>
        <c:barDir val="bar"/>
        <c:grouping val="clustered"/>
        <c:varyColors val="0"/>
        <c:ser>
          <c:idx val="0"/>
          <c:order val="0"/>
          <c:tx>
            <c:strRef>
              <c:f>'Visitor Demographic'!$V$4</c:f>
              <c:strCache>
                <c:ptCount val="1"/>
                <c:pt idx="0">
                  <c:v>Total Views</c:v>
                </c:pt>
              </c:strCache>
            </c:strRef>
          </c:tx>
          <c:spPr>
            <a:solidFill>
              <a:srgbClr val="0070C0"/>
            </a:solidFill>
            <a:ln>
              <a:noFill/>
            </a:ln>
            <a:effectLst>
              <a:outerShdw blurRad="57150" dist="19050" dir="5400000" algn="ctr" rotWithShape="0">
                <a:srgbClr val="000000">
                  <a:alpha val="63000"/>
                </a:srgbClr>
              </a:outerShdw>
            </a:effectLst>
          </c:spPr>
          <c:invertIfNegative val="0"/>
          <c:dLbls>
            <c:delete val="1"/>
          </c:dLbls>
          <c:cat>
            <c:strRef>
              <c:f>'Visitor Demographic'!$U$5:$U$14</c:f>
              <c:strCache>
                <c:ptCount val="10"/>
                <c:pt idx="0">
                  <c:v>Semiconductor Manufacturing</c:v>
                </c:pt>
                <c:pt idx="1">
                  <c:v>IT Services and IT Consulting</c:v>
                </c:pt>
                <c:pt idx="2">
                  <c:v>Software Development</c:v>
                </c:pt>
                <c:pt idx="3">
                  <c:v>Advertising Services</c:v>
                </c:pt>
                <c:pt idx="4">
                  <c:v>Appliances, Electrical, and Electronics Manufacturing</c:v>
                </c:pt>
                <c:pt idx="5">
                  <c:v>Business Consulting and Services</c:v>
                </c:pt>
                <c:pt idx="6">
                  <c:v>Financial Services</c:v>
                </c:pt>
                <c:pt idx="7">
                  <c:v>Higher Education</c:v>
                </c:pt>
                <c:pt idx="8">
                  <c:v>Staffing and Recruiting</c:v>
                </c:pt>
                <c:pt idx="9">
                  <c:v>Computers and Electronics Manufacturing</c:v>
                </c:pt>
              </c:strCache>
            </c:strRef>
          </c:cat>
          <c:val>
            <c:numRef>
              <c:f>'Visitor Demographic'!$V$5:$V$14</c:f>
              <c:numCache>
                <c:formatCode>General</c:formatCode>
                <c:ptCount val="10"/>
                <c:pt idx="0">
                  <c:v>2931</c:v>
                </c:pt>
                <c:pt idx="1">
                  <c:v>1424</c:v>
                </c:pt>
                <c:pt idx="2">
                  <c:v>1406</c:v>
                </c:pt>
                <c:pt idx="3">
                  <c:v>632</c:v>
                </c:pt>
                <c:pt idx="4">
                  <c:v>436</c:v>
                </c:pt>
                <c:pt idx="5">
                  <c:v>341</c:v>
                </c:pt>
                <c:pt idx="6">
                  <c:v>325</c:v>
                </c:pt>
                <c:pt idx="7">
                  <c:v>290</c:v>
                </c:pt>
                <c:pt idx="8">
                  <c:v>285</c:v>
                </c:pt>
                <c:pt idx="9">
                  <c:v>258</c:v>
                </c:pt>
              </c:numCache>
            </c:numRef>
          </c:val>
          <c:extLst>
            <c:ext xmlns:c16="http://schemas.microsoft.com/office/drawing/2014/chart" uri="{C3380CC4-5D6E-409C-BE32-E72D297353CC}">
              <c16:uniqueId val="{0000000C-AADB-4BAF-B335-DEC61DF454F7}"/>
            </c:ext>
          </c:extLst>
        </c:ser>
        <c:ser>
          <c:idx val="1"/>
          <c:order val="1"/>
          <c:tx>
            <c:strRef>
              <c:f>'Visitor Demographic'!$W$4</c:f>
              <c:strCache>
                <c:ptCount val="1"/>
                <c:pt idx="0">
                  <c:v>Percentage</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Demographic'!$U$5:$U$14</c:f>
              <c:strCache>
                <c:ptCount val="10"/>
                <c:pt idx="0">
                  <c:v>Semiconductor Manufacturing</c:v>
                </c:pt>
                <c:pt idx="1">
                  <c:v>IT Services and IT Consulting</c:v>
                </c:pt>
                <c:pt idx="2">
                  <c:v>Software Development</c:v>
                </c:pt>
                <c:pt idx="3">
                  <c:v>Advertising Services</c:v>
                </c:pt>
                <c:pt idx="4">
                  <c:v>Appliances, Electrical, and Electronics Manufacturing</c:v>
                </c:pt>
                <c:pt idx="5">
                  <c:v>Business Consulting and Services</c:v>
                </c:pt>
                <c:pt idx="6">
                  <c:v>Financial Services</c:v>
                </c:pt>
                <c:pt idx="7">
                  <c:v>Higher Education</c:v>
                </c:pt>
                <c:pt idx="8">
                  <c:v>Staffing and Recruiting</c:v>
                </c:pt>
                <c:pt idx="9">
                  <c:v>Computers and Electronics Manufacturing</c:v>
                </c:pt>
              </c:strCache>
            </c:strRef>
          </c:cat>
          <c:val>
            <c:numRef>
              <c:f>'Visitor Demographic'!$W$5:$W$14</c:f>
              <c:numCache>
                <c:formatCode>0.0%</c:formatCode>
                <c:ptCount val="10"/>
                <c:pt idx="0">
                  <c:v>0.22355274197238958</c:v>
                </c:pt>
                <c:pt idx="1">
                  <c:v>0.10861108992449088</c:v>
                </c:pt>
                <c:pt idx="2">
                  <c:v>0.10723819693387232</c:v>
                </c:pt>
                <c:pt idx="3">
                  <c:v>4.8203798337274048E-2</c:v>
                </c:pt>
                <c:pt idx="4">
                  <c:v>3.3254519106094123E-2</c:v>
                </c:pt>
                <c:pt idx="5">
                  <c:v>2.6008694988940585E-2</c:v>
                </c:pt>
                <c:pt idx="6">
                  <c:v>2.4788345663946304E-2</c:v>
                </c:pt>
                <c:pt idx="7">
                  <c:v>2.2118831515521319E-2</c:v>
                </c:pt>
                <c:pt idx="8">
                  <c:v>2.1737472351460604E-2</c:v>
                </c:pt>
                <c:pt idx="9">
                  <c:v>1.9678132865532758E-2</c:v>
                </c:pt>
              </c:numCache>
            </c:numRef>
          </c:val>
          <c:extLst>
            <c:ext xmlns:c16="http://schemas.microsoft.com/office/drawing/2014/chart" uri="{C3380CC4-5D6E-409C-BE32-E72D297353CC}">
              <c16:uniqueId val="{0000000D-AADB-4BAF-B335-DEC61DF454F7}"/>
            </c:ext>
          </c:extLst>
        </c:ser>
        <c:dLbls>
          <c:dLblPos val="outEnd"/>
          <c:showLegendKey val="0"/>
          <c:showVal val="1"/>
          <c:showCatName val="0"/>
          <c:showSerName val="0"/>
          <c:showPercent val="0"/>
          <c:showBubbleSize val="0"/>
        </c:dLbls>
        <c:gapWidth val="150"/>
        <c:axId val="586599584"/>
        <c:axId val="586588704"/>
      </c:barChart>
      <c:catAx>
        <c:axId val="586599584"/>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586588704"/>
        <c:crosses val="autoZero"/>
        <c:auto val="1"/>
        <c:lblAlgn val="ctr"/>
        <c:lblOffset val="100"/>
        <c:noMultiLvlLbl val="0"/>
      </c:catAx>
      <c:valAx>
        <c:axId val="586588704"/>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NanumBarunGothic" panose="020B0603020101020101" pitchFamily="34" charset="-127"/>
                <a:ea typeface="NanumBarunGothic" panose="020B0603020101020101" pitchFamily="34" charset="-127"/>
                <a:cs typeface="+mn-cs"/>
              </a:defRPr>
            </a:pPr>
            <a:endParaRPr lang="ko-KR"/>
          </a:p>
        </c:txPr>
        <c:crossAx val="586599584"/>
        <c:crosses val="autoZero"/>
        <c:crossBetween val="between"/>
      </c:valAx>
      <c:spPr>
        <a:noFill/>
        <a:ln>
          <a:noFill/>
        </a:ln>
        <a:effectLst/>
      </c:spPr>
    </c:plotArea>
    <c:plotVisOnly val="1"/>
    <c:dispBlanksAs val="gap"/>
    <c:showDLblsOverMax val="0"/>
  </c:chart>
  <c:spPr>
    <a:solidFill>
      <a:srgbClr val="F5F5F5"/>
    </a:solidFill>
    <a:ln w="9525" cap="flat" cmpd="sng" algn="ctr">
      <a:noFill/>
      <a:round/>
    </a:ln>
    <a:effectLst/>
  </c:spPr>
  <c:txPr>
    <a:bodyPr/>
    <a:lstStyle/>
    <a:p>
      <a:pPr>
        <a:defRPr>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Reversed" id="21">
  <a:schemeClr val="accent1"/>
</cs:colorStyle>
</file>

<file path=xl/charts/colors9.xml><?xml version="1.0" encoding="utf-8"?>
<cs:colorStyle xmlns:cs="http://schemas.microsoft.com/office/drawing/2012/chartStyle" xmlns:a="http://schemas.openxmlformats.org/drawingml/2006/main" meth="withinLinearReversed" id="21">
  <a:schemeClr val="accent1"/>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9</xdr:col>
      <xdr:colOff>764216</xdr:colOff>
      <xdr:row>9</xdr:row>
      <xdr:rowOff>199196</xdr:rowOff>
    </xdr:from>
    <xdr:to>
      <xdr:col>24</xdr:col>
      <xdr:colOff>55011</xdr:colOff>
      <xdr:row>23</xdr:row>
      <xdr:rowOff>133649</xdr:rowOff>
    </xdr:to>
    <xdr:graphicFrame macro="">
      <xdr:nvGraphicFramePr>
        <xdr:cNvPr id="2" name="차트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121023</xdr:colOff>
      <xdr:row>13</xdr:row>
      <xdr:rowOff>133910</xdr:rowOff>
    </xdr:from>
    <xdr:to>
      <xdr:col>22</xdr:col>
      <xdr:colOff>250874</xdr:colOff>
      <xdr:row>33</xdr:row>
      <xdr:rowOff>3414</xdr:rowOff>
    </xdr:to>
    <xdr:graphicFrame macro="">
      <xdr:nvGraphicFramePr>
        <xdr:cNvPr id="4" name="차트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0.77413</cdr:x>
      <cdr:y>0.01402</cdr:y>
    </cdr:from>
    <cdr:to>
      <cdr:x>0.99259</cdr:x>
      <cdr:y>0.14024</cdr:y>
    </cdr:to>
    <cdr:sp macro="" textlink="">
      <cdr:nvSpPr>
        <cdr:cNvPr id="2" name="TextBox 1"/>
        <cdr:cNvSpPr txBox="1"/>
      </cdr:nvSpPr>
      <cdr:spPr>
        <a:xfrm xmlns:a="http://schemas.openxmlformats.org/drawingml/2006/main">
          <a:off x="8892477" y="44028"/>
          <a:ext cx="2509520" cy="396240"/>
        </a:xfrm>
        <a:prstGeom xmlns:a="http://schemas.openxmlformats.org/drawingml/2006/main" prst="rect">
          <a:avLst/>
        </a:prstGeom>
      </cdr:spPr>
      <cdr:txBody>
        <a:bodyPr xmlns:a="http://schemas.openxmlformats.org/drawingml/2006/main" vertOverflow="clip" vert="horz" wrap="square" lIns="91440" tIns="45720" rIns="91440" bIns="45720" rtlCol="0">
          <a:normAutofit/>
        </a:bodyPr>
        <a:lstStyle xmlns:a="http://schemas.openxmlformats.org/drawingml/2006/main"/>
        <a:p xmlns:a="http://schemas.openxmlformats.org/drawingml/2006/main">
          <a:pPr algn="r"/>
          <a:r>
            <a:rPr lang="en-US" altLang="ko-KR"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*SK </a:t>
          </a:r>
          <a:r>
            <a:rPr lang="ko-KR" altLang="en-US" sz="800" dirty="0" err="1">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하이닉스</a:t>
          </a:r>
          <a:r>
            <a:rPr lang="ko-KR" altLang="en-US"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 링크드인 페이지</a:t>
          </a:r>
          <a:endParaRPr lang="en-US" altLang="ko-KR" sz="800" b="1" dirty="0">
            <a:ln>
              <a:solidFill>
                <a:schemeClr val="bg1">
                  <a:alpha val="10000"/>
                </a:schemeClr>
              </a:solidFill>
            </a:ln>
            <a:solidFill>
              <a:schemeClr val="tx1"/>
            </a:solidFill>
            <a:latin typeface="나눔바른고딕" panose="020B0603020101020101" pitchFamily="50" charset="-127"/>
            <a:ea typeface="나눔바른고딕" panose="020B0603020101020101" pitchFamily="50" charset="-127"/>
          </a:endParaRPr>
        </a:p>
        <a:p xmlns:a="http://schemas.openxmlformats.org/drawingml/2006/main">
          <a:pPr algn="r"/>
          <a:r>
            <a:rPr lang="en-US" altLang="ko-KR"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2024.01.01 ~ 2024.01.31</a:t>
          </a:r>
          <a:endParaRPr lang="ko-KR" altLang="en-US"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endParaRPr>
        </a:p>
      </cdr:txBody>
    </cdr:sp>
  </cdr:relSizeAnchor>
  <cdr:relSizeAnchor xmlns:cdr="http://schemas.openxmlformats.org/drawingml/2006/chartDrawing">
    <cdr:from>
      <cdr:x>0.00263</cdr:x>
      <cdr:y>0.00629</cdr:y>
    </cdr:from>
    <cdr:to>
      <cdr:x>0.18631</cdr:x>
      <cdr:y>0.06929</cdr:y>
    </cdr:to>
    <cdr:sp macro="" textlink="">
      <cdr:nvSpPr>
        <cdr:cNvPr id="3" name="TextBox 2"/>
        <cdr:cNvSpPr txBox="1"/>
      </cdr:nvSpPr>
      <cdr:spPr>
        <a:xfrm xmlns:a="http://schemas.openxmlformats.org/drawingml/2006/main">
          <a:off x="26894" y="27377"/>
          <a:ext cx="1876318" cy="274167"/>
        </a:xfrm>
        <a:prstGeom xmlns:a="http://schemas.openxmlformats.org/drawingml/2006/main" prst="rect">
          <a:avLst/>
        </a:prstGeom>
        <a:ln xmlns:a="http://schemas.openxmlformats.org/drawingml/2006/main">
          <a:noFill/>
        </a:ln>
      </cdr:spPr>
      <cdr:txBody>
        <a:bodyPr xmlns:a="http://schemas.openxmlformats.org/drawingml/2006/main" vertOverflow="clip" vert="horz" wrap="square" lIns="91440" tIns="45720" rIns="91440" bIns="45720" rtlCol="0">
          <a:normAutofit/>
        </a:bodyPr>
        <a:lstStyle xmlns:a="http://schemas.openxmlformats.org/drawingml/2006/main"/>
        <a:p xmlns:a="http://schemas.openxmlformats.org/drawingml/2006/main">
          <a:pPr algn="just"/>
          <a:r>
            <a:rPr lang="en-US" altLang="ko-KR"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 X: </a:t>
          </a:r>
          <a:r>
            <a:rPr lang="ko-KR" altLang="en-US"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일자 </a:t>
          </a:r>
          <a:r>
            <a:rPr lang="en-US" altLang="ko-KR"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 Y: </a:t>
          </a:r>
          <a:r>
            <a:rPr lang="ko-KR" altLang="en-US"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신규 팔로워 유입 수 </a:t>
          </a:r>
          <a:r>
            <a:rPr lang="en-US" altLang="ko-KR"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rPr>
            <a:t>)</a:t>
          </a:r>
          <a:endParaRPr lang="ko-KR" altLang="en-US" sz="800" dirty="0">
            <a:ln>
              <a:solidFill>
                <a:schemeClr val="bg1">
                  <a:alpha val="10000"/>
                </a:schemeClr>
              </a:solidFill>
            </a:ln>
            <a:solidFill>
              <a:schemeClr val="bg2">
                <a:lumMod val="50000"/>
              </a:schemeClr>
            </a:solidFill>
            <a:latin typeface="나눔바른고딕" panose="020B0603020101020101" pitchFamily="50" charset="-127"/>
            <a:ea typeface="나눔바른고딕" panose="020B0603020101020101" pitchFamily="50" charset="-127"/>
          </a:endParaRPr>
        </a:p>
      </cdr:txBody>
    </cdr:sp>
  </cdr:relSizeAnchor>
</c:userShapes>
</file>

<file path=xl/drawings/drawing4.xml><?xml version="1.0" encoding="utf-8"?>
<xdr:wsDr xmlns:xdr="http://schemas.openxmlformats.org/drawingml/2006/spreadsheetDrawing" xmlns:a="http://schemas.openxmlformats.org/drawingml/2006/main">
  <xdr:twoCellAnchor>
    <xdr:from>
      <xdr:col>5</xdr:col>
      <xdr:colOff>104775</xdr:colOff>
      <xdr:row>14</xdr:row>
      <xdr:rowOff>28575</xdr:rowOff>
    </xdr:from>
    <xdr:to>
      <xdr:col>20</xdr:col>
      <xdr:colOff>135368</xdr:colOff>
      <xdr:row>32</xdr:row>
      <xdr:rowOff>169105</xdr:rowOff>
    </xdr:to>
    <xdr:graphicFrame macro="">
      <xdr:nvGraphicFramePr>
        <xdr:cNvPr id="3" name="차트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22</xdr:col>
      <xdr:colOff>27214</xdr:colOff>
      <xdr:row>10</xdr:row>
      <xdr:rowOff>63499</xdr:rowOff>
    </xdr:from>
    <xdr:to>
      <xdr:col>38</xdr:col>
      <xdr:colOff>708933</xdr:colOff>
      <xdr:row>31</xdr:row>
      <xdr:rowOff>195036</xdr:rowOff>
    </xdr:to>
    <xdr:graphicFrame macro="">
      <xdr:nvGraphicFramePr>
        <xdr:cNvPr id="3" name="차트 2">
          <a:extLst>
            <a:ext uri="{FF2B5EF4-FFF2-40B4-BE49-F238E27FC236}">
              <a16:creationId xmlns:a16="http://schemas.microsoft.com/office/drawing/2014/main" id="{8C43005E-7AC7-4603-852A-3843DE2D56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18</xdr:col>
      <xdr:colOff>511174</xdr:colOff>
      <xdr:row>9</xdr:row>
      <xdr:rowOff>114300</xdr:rowOff>
    </xdr:from>
    <xdr:to>
      <xdr:col>35</xdr:col>
      <xdr:colOff>298450</xdr:colOff>
      <xdr:row>31</xdr:row>
      <xdr:rowOff>76200</xdr:rowOff>
    </xdr:to>
    <xdr:graphicFrame macro="">
      <xdr:nvGraphicFramePr>
        <xdr:cNvPr id="3" name="차트 2">
          <a:extLst>
            <a:ext uri="{FF2B5EF4-FFF2-40B4-BE49-F238E27FC236}">
              <a16:creationId xmlns:a16="http://schemas.microsoft.com/office/drawing/2014/main" id="{55EA6231-92AF-D85E-9BCD-179F59714B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69850</xdr:colOff>
      <xdr:row>6</xdr:row>
      <xdr:rowOff>114300</xdr:rowOff>
    </xdr:from>
    <xdr:to>
      <xdr:col>12</xdr:col>
      <xdr:colOff>1059136</xdr:colOff>
      <xdr:row>25</xdr:row>
      <xdr:rowOff>51889</xdr:rowOff>
    </xdr:to>
    <xdr:graphicFrame macro="">
      <xdr:nvGraphicFramePr>
        <xdr:cNvPr id="2" name="차트 1">
          <a:extLst>
            <a:ext uri="{FF2B5EF4-FFF2-40B4-BE49-F238E27FC236}">
              <a16:creationId xmlns:a16="http://schemas.microsoft.com/office/drawing/2014/main" id="{559DA9D5-B6C7-5DEA-2149-25C852A6F3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1231900</xdr:colOff>
      <xdr:row>6</xdr:row>
      <xdr:rowOff>139700</xdr:rowOff>
    </xdr:from>
    <xdr:to>
      <xdr:col>16</xdr:col>
      <xdr:colOff>199740</xdr:colOff>
      <xdr:row>25</xdr:row>
      <xdr:rowOff>77289</xdr:rowOff>
    </xdr:to>
    <xdr:graphicFrame macro="">
      <xdr:nvGraphicFramePr>
        <xdr:cNvPr id="3" name="차트 2">
          <a:extLst>
            <a:ext uri="{FF2B5EF4-FFF2-40B4-BE49-F238E27FC236}">
              <a16:creationId xmlns:a16="http://schemas.microsoft.com/office/drawing/2014/main" id="{06B4BF9B-A7C9-94B3-C983-DB7225B9A5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530224</xdr:colOff>
      <xdr:row>3</xdr:row>
      <xdr:rowOff>146050</xdr:rowOff>
    </xdr:from>
    <xdr:to>
      <xdr:col>19</xdr:col>
      <xdr:colOff>12699</xdr:colOff>
      <xdr:row>21</xdr:row>
      <xdr:rowOff>6350</xdr:rowOff>
    </xdr:to>
    <xdr:graphicFrame macro="">
      <xdr:nvGraphicFramePr>
        <xdr:cNvPr id="3" name="차트 2">
          <a:extLst>
            <a:ext uri="{FF2B5EF4-FFF2-40B4-BE49-F238E27FC236}">
              <a16:creationId xmlns:a16="http://schemas.microsoft.com/office/drawing/2014/main" id="{8BB4956C-E1B7-8A3E-507C-7C4B242D1D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8</xdr:col>
      <xdr:colOff>641350</xdr:colOff>
      <xdr:row>16</xdr:row>
      <xdr:rowOff>44450</xdr:rowOff>
    </xdr:from>
    <xdr:to>
      <xdr:col>14</xdr:col>
      <xdr:colOff>613225</xdr:colOff>
      <xdr:row>35</xdr:row>
      <xdr:rowOff>184884</xdr:rowOff>
    </xdr:to>
    <xdr:graphicFrame macro="">
      <xdr:nvGraphicFramePr>
        <xdr:cNvPr id="2" name="차트 1">
          <a:extLst>
            <a:ext uri="{FF2B5EF4-FFF2-40B4-BE49-F238E27FC236}">
              <a16:creationId xmlns:a16="http://schemas.microsoft.com/office/drawing/2014/main" id="{87876798-E1EB-0E04-8213-99BF1B0D81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469900</xdr:colOff>
      <xdr:row>16</xdr:row>
      <xdr:rowOff>38100</xdr:rowOff>
    </xdr:from>
    <xdr:to>
      <xdr:col>21</xdr:col>
      <xdr:colOff>816425</xdr:colOff>
      <xdr:row>35</xdr:row>
      <xdr:rowOff>178534</xdr:rowOff>
    </xdr:to>
    <xdr:graphicFrame macro="">
      <xdr:nvGraphicFramePr>
        <xdr:cNvPr id="4" name="차트 3">
          <a:extLst>
            <a:ext uri="{FF2B5EF4-FFF2-40B4-BE49-F238E27FC236}">
              <a16:creationId xmlns:a16="http://schemas.microsoft.com/office/drawing/2014/main" id="{EA081C5E-6E7F-C677-B4C2-C2C8CF5B65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79998168889431442"/>
  </sheetPr>
  <dimension ref="A1:AA85"/>
  <sheetViews>
    <sheetView zoomScale="85" zoomScaleNormal="85" workbookViewId="0">
      <selection activeCell="L29" sqref="L29"/>
    </sheetView>
  </sheetViews>
  <sheetFormatPr defaultRowHeight="16.5"/>
  <cols>
    <col min="1" max="1" width="11.125" bestFit="1" customWidth="1"/>
    <col min="2" max="2" width="16" style="7" customWidth="1"/>
    <col min="3" max="3" width="18.625" style="7" customWidth="1"/>
    <col min="7" max="10" width="12.625" customWidth="1"/>
    <col min="13" max="13" width="13.625" customWidth="1"/>
  </cols>
  <sheetData>
    <row r="1" spans="1:27">
      <c r="A1" s="2"/>
      <c r="G1" s="224" t="s">
        <v>4</v>
      </c>
      <c r="H1" s="224" t="s">
        <v>5</v>
      </c>
      <c r="I1" s="224" t="s">
        <v>6</v>
      </c>
      <c r="J1" s="224" t="s">
        <v>7</v>
      </c>
      <c r="K1" s="224" t="s">
        <v>21</v>
      </c>
      <c r="L1" s="224" t="s">
        <v>83</v>
      </c>
      <c r="M1" s="225"/>
    </row>
    <row r="2" spans="1:27" ht="17.25" thickBot="1">
      <c r="A2" s="2"/>
      <c r="G2" s="19">
        <f>followers!H1</f>
        <v>45352</v>
      </c>
      <c r="H2" s="20">
        <f>SUM(followers!C:C)</f>
        <v>1279</v>
      </c>
      <c r="I2" s="20">
        <f>SUM(followers!B:B)</f>
        <v>661</v>
      </c>
      <c r="J2" s="20">
        <f>SUM(followers!D:D)</f>
        <v>1940</v>
      </c>
      <c r="K2" s="79">
        <v>300</v>
      </c>
      <c r="L2" s="79">
        <v>68</v>
      </c>
      <c r="M2" s="80"/>
    </row>
    <row r="3" spans="1:27">
      <c r="A3" s="16" t="s">
        <v>8</v>
      </c>
      <c r="B3" s="17" t="s">
        <v>9</v>
      </c>
      <c r="C3" s="64" t="s">
        <v>121</v>
      </c>
    </row>
    <row r="4" spans="1:27" ht="17.25" thickBot="1">
      <c r="A4" s="76">
        <v>44835</v>
      </c>
      <c r="B4" s="77">
        <v>70404</v>
      </c>
      <c r="C4" s="77"/>
      <c r="M4" s="21" t="s">
        <v>15</v>
      </c>
    </row>
    <row r="5" spans="1:27">
      <c r="A5" s="76">
        <v>44866</v>
      </c>
      <c r="B5" s="77">
        <v>71106</v>
      </c>
      <c r="C5" s="77"/>
      <c r="G5" s="345" t="s">
        <v>10</v>
      </c>
      <c r="H5" s="346"/>
      <c r="I5" s="347"/>
      <c r="M5" s="22" t="str">
        <f>TEXT(followers!H3,"yyyy.mm.dd")&amp;" ~ "&amp;TEXT(followers!H2,"yyyy.mm.dd")</f>
        <v>2023.09.30 ~ 2024.03.31</v>
      </c>
      <c r="AA5" s="262"/>
    </row>
    <row r="6" spans="1:27">
      <c r="A6" s="76">
        <v>44896</v>
      </c>
      <c r="B6" s="77">
        <v>71735</v>
      </c>
      <c r="C6" s="77"/>
      <c r="G6" s="10" t="s">
        <v>11</v>
      </c>
      <c r="H6" s="5" t="s">
        <v>12</v>
      </c>
      <c r="I6" s="11" t="s">
        <v>13</v>
      </c>
      <c r="AA6" s="263"/>
    </row>
    <row r="7" spans="1:27" ht="17.25" thickBot="1">
      <c r="A7" s="76">
        <v>44927</v>
      </c>
      <c r="B7" s="77">
        <v>72472</v>
      </c>
      <c r="C7" s="77">
        <v>72472</v>
      </c>
      <c r="G7" s="19">
        <f>followers!H1</f>
        <v>45352</v>
      </c>
      <c r="H7" s="23" t="str">
        <f>IF(G7=INDEX(A:A,COUNTA(A:A)+2),"",INDEX(B:B,COUNTA(B:B)+2)+J2-K2)</f>
        <v/>
      </c>
      <c r="I7" s="24" t="str">
        <f>IF(G7=INDEX(A:A,COUNTA(A:A)+2),"",INDEX(C:C,COUNTA(C:C)+5)+H2)</f>
        <v/>
      </c>
      <c r="AA7" s="263"/>
    </row>
    <row r="8" spans="1:27">
      <c r="A8" s="76">
        <v>44958</v>
      </c>
      <c r="B8" s="77">
        <v>74323</v>
      </c>
      <c r="C8" s="77">
        <v>73566</v>
      </c>
      <c r="D8" s="7"/>
      <c r="AA8" s="262"/>
    </row>
    <row r="9" spans="1:27" ht="17.25" customHeight="1">
      <c r="A9" s="76">
        <v>44986</v>
      </c>
      <c r="B9" s="77">
        <v>79682</v>
      </c>
      <c r="C9" s="77">
        <v>75272</v>
      </c>
      <c r="G9" s="12" t="s">
        <v>22</v>
      </c>
    </row>
    <row r="10" spans="1:27">
      <c r="A10" s="76">
        <v>45017</v>
      </c>
      <c r="B10" s="77">
        <v>81070</v>
      </c>
      <c r="C10" s="77">
        <v>76294</v>
      </c>
    </row>
    <row r="11" spans="1:27">
      <c r="A11" s="76">
        <v>45047</v>
      </c>
      <c r="B11" s="77">
        <v>82605</v>
      </c>
      <c r="C11" s="77">
        <v>77280</v>
      </c>
      <c r="G11" s="27" t="str">
        <f>TEXT(EOMONTH(followers!H1,0)+1,"yyyy년 m월 d일")&amp;" 기준 팔로워 "&amp;TEXT(H49,"#,###")&amp;"명 달성 (전년 比 "&amp;TEXT((H49-H38)/H38,"#.#%")&amp;" 증가, 전월 比 "&amp;TEXT((H49-H48)/H48,"#.#%")&amp;" 증가)"</f>
        <v>2024년 4월 1일 기준 팔로워 98,407명 달성 (전년 比 21.4% 증가, 전월 比 1.7% 증가)</v>
      </c>
    </row>
    <row r="12" spans="1:27">
      <c r="A12" s="76">
        <v>45078</v>
      </c>
      <c r="B12" s="77">
        <v>85127</v>
      </c>
      <c r="C12" s="77">
        <v>78433</v>
      </c>
      <c r="G12" s="27" t="str">
        <f>"팔로워 "&amp;TEXT(J2,"#,##0"&amp;"명 (")&amp;TEXT(J2/(INDEX(B:B,COUNTA(B:B)+2)),"0.0%")&amp;") 증가"</f>
        <v>팔로워 1,940명 (2.0%) 증가</v>
      </c>
      <c r="H12" s="28"/>
    </row>
    <row r="13" spans="1:27">
      <c r="A13" s="76">
        <v>45108</v>
      </c>
      <c r="B13" s="77">
        <v>86371</v>
      </c>
      <c r="C13" s="77">
        <v>79382</v>
      </c>
      <c r="G13" s="29" t="str">
        <f>"(오가닉 "&amp;TEXT(H2,"#,##0")&amp;"명, 광고 "&amp;TEXT(I2:I2,"#,##0")&amp;"명)"</f>
        <v>(오가닉 1,279명, 광고 661명)</v>
      </c>
      <c r="AA13" t="s">
        <v>84</v>
      </c>
    </row>
    <row r="14" spans="1:27">
      <c r="A14" s="76">
        <v>45139</v>
      </c>
      <c r="B14" s="77">
        <v>88176</v>
      </c>
      <c r="C14" s="77">
        <v>80463</v>
      </c>
      <c r="G14" s="348" t="str">
        <f>"총 "&amp;MAX(contents!V:V)&amp;"건의 콘텐츠 발행 (Repost "&amp;COUNTIF('8p'!E:E,"REPOST")&amp;"건)"</f>
        <v>총 29건의 콘텐츠 발행 (Repost 2건)</v>
      </c>
      <c r="H14" s="348"/>
      <c r="I14" s="348"/>
    </row>
    <row r="15" spans="1:27">
      <c r="A15" s="76">
        <v>45170</v>
      </c>
      <c r="B15" s="77">
        <v>86573</v>
      </c>
      <c r="C15" s="77">
        <v>81510</v>
      </c>
      <c r="G15" s="260" t="str">
        <f>"- Products 카테고리 "&amp;COUNTIF('8p'!H:H,"Products")&amp;"건"</f>
        <v>- Products 카테고리 10건</v>
      </c>
      <c r="H15" s="260" t="str">
        <f>"- Interest 카테고리 "&amp;COUNTIF('8p'!H:H,"Interest")&amp;"건"</f>
        <v>- Interest 카테고리 4건</v>
      </c>
      <c r="I15" s="260" t="str">
        <f>"- News 카테고리 "&amp;COUNTIF('8p'!H:H,"News")&amp;"건"</f>
        <v>- News 카테고리 2건</v>
      </c>
    </row>
    <row r="16" spans="1:27">
      <c r="A16" s="76">
        <v>45200</v>
      </c>
      <c r="B16" s="77">
        <v>89234</v>
      </c>
      <c r="C16" s="77">
        <v>82805</v>
      </c>
      <c r="G16" s="260" t="str">
        <f>"- Seasonal 카테고리 "&amp;COUNTIF('8p'!H:H,"Seasonal")&amp;"건"</f>
        <v>- Seasonal 카테고리 4건</v>
      </c>
      <c r="H16" s="260" t="str">
        <f>"- Events 카테고리 "&amp;COUNTIF('8p'!H:H,"Events")&amp;"건"</f>
        <v>- Events 카테고리 9건</v>
      </c>
      <c r="I16" s="261"/>
    </row>
    <row r="17" spans="1:14">
      <c r="A17" s="76">
        <v>45231</v>
      </c>
      <c r="B17" s="77">
        <v>91659</v>
      </c>
      <c r="C17" s="77">
        <v>84407</v>
      </c>
    </row>
    <row r="18" spans="1:14">
      <c r="A18" s="76">
        <v>45261</v>
      </c>
      <c r="B18" s="77">
        <v>93101</v>
      </c>
      <c r="C18" s="77">
        <v>85319</v>
      </c>
    </row>
    <row r="19" spans="1:14">
      <c r="A19" s="76">
        <v>45292</v>
      </c>
      <c r="B19" s="77">
        <v>94705</v>
      </c>
      <c r="C19" s="77">
        <v>86458</v>
      </c>
    </row>
    <row r="20" spans="1:14">
      <c r="A20" s="78">
        <v>45323</v>
      </c>
      <c r="B20" s="77">
        <v>96767</v>
      </c>
      <c r="C20" s="77">
        <v>87626</v>
      </c>
      <c r="G20" s="26"/>
    </row>
    <row r="21" spans="1:14">
      <c r="A21" s="76">
        <v>45352</v>
      </c>
      <c r="B21" s="77">
        <v>98407</v>
      </c>
      <c r="C21" s="77">
        <v>88905</v>
      </c>
    </row>
    <row r="22" spans="1:14">
      <c r="A22" s="76"/>
      <c r="B22" s="77"/>
      <c r="C22" s="77"/>
      <c r="G22" s="66" t="s">
        <v>19</v>
      </c>
    </row>
    <row r="23" spans="1:14">
      <c r="A23" s="76"/>
      <c r="B23" s="77"/>
      <c r="C23" s="77"/>
      <c r="G23" s="65" t="str">
        <f>IF('6p'!S2&gt;'6p'!T2,"페이지 View "&amp;TEXT(ABS((('6p'!S2-'6p'!T2)/'6p'!T2)),"0.0%")&amp;" 증가 ("&amp;TEXT('6p'!T2,"#,##0")&amp;" → "&amp;TEXT('6p'!S2,"#,##0")&amp;")","페이지 View "&amp;TEXT(ABS((('6p'!S2-'6p'!T2)/'6p'!T2)),"0.0%")&amp;" 감소 ("&amp;TEXT('6p'!T2,"#,##0")&amp;" → "&amp;TEXT('6p'!S2,"#,##0")&amp;")")</f>
        <v>페이지 View 20.1% 증가 (11,078 → 13,305)</v>
      </c>
    </row>
    <row r="24" spans="1:14">
      <c r="A24" s="76"/>
      <c r="B24" s="77"/>
      <c r="C24" s="77"/>
      <c r="G24" s="65" t="str">
        <f>IF('6p'!S3&gt;'6p'!T3,"페이지 순 방문자 수 "&amp;TEXT(('6p'!S3-'6p'!T3)/'6p'!T3,"0.0%")&amp;" 증가 ("&amp;TEXT('6p'!T3,"#,##0")&amp;" → "&amp;TEXT('6p'!S3,"#,##0")&amp;")","페이지 순 방문자 수 "&amp;TEXT(('6p'!S3-'6p'!T3)/'6p'!T3,"0.0%")&amp;" 감소 ("&amp;TEXT('6p'!T3,"#,##0")&amp;" → "&amp;TEXT('6p'!S3,"#,##0")&amp;")")</f>
        <v>페이지 순 방문자 수 6.8% 증가 (4,914 → 5,246)</v>
      </c>
    </row>
    <row r="25" spans="1:14">
      <c r="A25" s="76"/>
      <c r="B25" s="77"/>
      <c r="C25" s="77"/>
    </row>
    <row r="26" spans="1:14">
      <c r="A26" s="76"/>
      <c r="B26" s="77"/>
      <c r="C26" s="77"/>
      <c r="H26" s="28"/>
      <c r="K26" s="28"/>
    </row>
    <row r="27" spans="1:14">
      <c r="A27" s="76"/>
      <c r="B27" s="77"/>
      <c r="C27" s="77"/>
    </row>
    <row r="28" spans="1:14">
      <c r="A28" s="76"/>
      <c r="B28" s="77"/>
      <c r="C28" s="77"/>
      <c r="G28" s="66" t="s">
        <v>20</v>
      </c>
    </row>
    <row r="29" spans="1:14">
      <c r="A29" s="76"/>
      <c r="B29" s="77"/>
      <c r="C29" s="77"/>
      <c r="G29" s="65" t="str">
        <f>IF('contents(daily)'!X3&gt;'contents(daily)'!Y3,"Impression 약 "&amp;TEXT((('contents(daily)'!X3-'contents(daily)'!Y3)/'contents(daily)'!Y3),"0.0%")&amp;" 증가 ("&amp;TEXT('contents(daily)'!Y3,"#,##0")&amp;" --&gt; "&amp;TEXT('contents(daily)'!X3,"#,##0")&amp;")","Impression 약 "&amp;TEXT(ABS((('contents(daily)'!X3-'contents(daily)'!Y3)/'contents(daily)'!Y3)),"0.0%")&amp;" 감소 ("&amp;TEXT('contents(daily)'!Y3,"#,##0")&amp;" --&gt; "&amp;TEXT('contents(daily)'!X3,"#,##0")&amp;")")</f>
        <v>Impression 약 22.5% 증가 (139,143 --&gt; 170,500)</v>
      </c>
    </row>
    <row r="30" spans="1:14">
      <c r="A30" s="76"/>
      <c r="B30" s="77"/>
      <c r="C30" s="77"/>
      <c r="G30" s="65" t="str">
        <f>IF('contents(daily)'!X3&gt;'contents(daily)'!Y3,"Engagement 약 "&amp;TEXT((('contents(daily)'!X4-'contents(daily)'!Y4)/'contents(daily)'!Y4),"0.0%")&amp;" 증가 ("&amp;TEXT('contents(daily)'!Y4,"#,##0")&amp;" --&gt; "&amp;TEXT('contents(daily)'!X4,"#,##0")&amp;")","Engagement 약 "&amp;TEXT(ABS((('contents(daily)'!X4-'contents(daily)'!Y4)/'contents(daily)'!Y4)),"0.0%")&amp;" 감소 ("&amp;TEXT('contents(daily)'!Y4,"#,##0")&amp;" --&gt; "&amp;TEXT('contents(daily)'!X4,"#,##0")&amp;")")</f>
        <v>Engagement 약 104.7% 증가 (9,922 --&gt; 20,307)</v>
      </c>
      <c r="M30" s="92"/>
    </row>
    <row r="31" spans="1:14">
      <c r="A31" s="78"/>
      <c r="B31" s="77"/>
      <c r="C31" s="77"/>
      <c r="G31" s="65" t="str">
        <f>IF('contents(daily)'!X5&gt;'contents(daily)'!Y5,"총 클릭 수 약 "&amp;TEXT(ABS(('contents(daily)'!X5-'contents(daily)'!Y5)/'contents(daily)'!Y5),"0.0%")&amp;" 증가","총 클릭 수 약 "&amp;TEXT(ABS(('contents(daily)'!X5-'contents(daily)'!Y5)/'contents(daily)'!Y5),"0.0%")&amp;" 감소")</f>
        <v>총 클릭 수 약 116.7% 증가</v>
      </c>
      <c r="N31" t="s">
        <v>123</v>
      </c>
    </row>
    <row r="32" spans="1:14">
      <c r="A32" s="76"/>
      <c r="B32" s="77"/>
      <c r="C32" s="77"/>
    </row>
    <row r="33" spans="1:13">
      <c r="A33" s="76"/>
      <c r="B33" s="77"/>
      <c r="C33" s="77"/>
      <c r="M33" s="25"/>
    </row>
    <row r="34" spans="1:13">
      <c r="A34" s="76"/>
      <c r="B34" s="77"/>
      <c r="C34" s="77"/>
    </row>
    <row r="35" spans="1:13" ht="17.25" thickBot="1">
      <c r="A35" s="76"/>
      <c r="B35" s="77"/>
      <c r="C35" s="77"/>
    </row>
    <row r="36" spans="1:13">
      <c r="A36" s="76"/>
      <c r="B36" s="77"/>
      <c r="C36" s="77"/>
      <c r="G36" s="167" t="s">
        <v>4</v>
      </c>
      <c r="H36" s="168" t="s">
        <v>9</v>
      </c>
      <c r="I36" s="169" t="s">
        <v>5</v>
      </c>
    </row>
    <row r="37" spans="1:13">
      <c r="A37" s="76"/>
      <c r="B37" s="77"/>
      <c r="C37" s="77"/>
      <c r="G37" s="165" cm="1">
        <f t="array" ref="G37">INDEX(A:A,COUNTA(A:A)-10)</f>
        <v>44986</v>
      </c>
      <c r="H37" s="37" cm="1">
        <f t="array" ref="H37">INDEX(B:B,COUNTA(B:B)-10)</f>
        <v>79682</v>
      </c>
      <c r="I37" s="170" cm="1">
        <f t="array" ref="I37">INDEX(C:C,COUNTA(C:C)-7)</f>
        <v>75272</v>
      </c>
    </row>
    <row r="38" spans="1:13">
      <c r="A38" s="76"/>
      <c r="B38" s="77"/>
      <c r="C38" s="77"/>
      <c r="G38" s="165" cm="1">
        <f t="array" ref="G38">INDEX(A:A,COUNTA(A:A)-9)</f>
        <v>45017</v>
      </c>
      <c r="H38" s="37" cm="1">
        <f t="array" ref="H38">INDEX(B:B,COUNTA(B:B)-9)</f>
        <v>81070</v>
      </c>
      <c r="I38" s="170" cm="1">
        <f t="array" ref="I38">INDEX(C:C,COUNTA(C:C)-6)</f>
        <v>76294</v>
      </c>
    </row>
    <row r="39" spans="1:13">
      <c r="A39" s="76"/>
      <c r="B39" s="77"/>
      <c r="C39" s="77"/>
      <c r="G39" s="165" cm="1">
        <f t="array" ref="G39">INDEX(A:A,COUNTA(A:A)-8)</f>
        <v>45047</v>
      </c>
      <c r="H39" s="37" cm="1">
        <f t="array" ref="H39">INDEX(B:B,COUNTA(B:B)-8)</f>
        <v>82605</v>
      </c>
      <c r="I39" s="170" cm="1">
        <f t="array" ref="I39">INDEX(C:C,COUNTA(C:C)-5)</f>
        <v>77280</v>
      </c>
    </row>
    <row r="40" spans="1:13">
      <c r="A40" s="76"/>
      <c r="B40" s="77"/>
      <c r="C40" s="77"/>
      <c r="G40" s="165" cm="1">
        <f t="array" ref="G40">INDEX(A:A,COUNTA(A:A)-7)</f>
        <v>45078</v>
      </c>
      <c r="H40" s="37" cm="1">
        <f t="array" ref="H40">INDEX(B:B,COUNTA(B:B)-7)</f>
        <v>85127</v>
      </c>
      <c r="I40" s="170" cm="1">
        <f t="array" ref="I40">INDEX(C:C,COUNTA(C:C)-4)</f>
        <v>78433</v>
      </c>
    </row>
    <row r="41" spans="1:13">
      <c r="A41" s="76"/>
      <c r="B41" s="77"/>
      <c r="C41" s="77"/>
      <c r="G41" s="165" cm="1">
        <f t="array" ref="G41">INDEX(A:A,COUNTA(A:A)-6)</f>
        <v>45108</v>
      </c>
      <c r="H41" s="37" cm="1">
        <f t="array" ref="H41">INDEX(B:B,COUNTA(B:B)-6)</f>
        <v>86371</v>
      </c>
      <c r="I41" s="170" cm="1">
        <f t="array" ref="I41">INDEX(C:C,COUNTA(C:C)-3)</f>
        <v>79382</v>
      </c>
    </row>
    <row r="42" spans="1:13">
      <c r="A42" s="78"/>
      <c r="B42" s="77"/>
      <c r="C42" s="77"/>
      <c r="G42" s="165" cm="1">
        <f t="array" ref="G42">INDEX(A:A,COUNTA(A:A)-5)</f>
        <v>45139</v>
      </c>
      <c r="H42" s="37" cm="1">
        <f t="array" ref="H42">INDEX(B:B,COUNTA(B:B)-5)</f>
        <v>88176</v>
      </c>
      <c r="I42" s="170" cm="1">
        <f t="array" ref="I42">INDEX(C:C,COUNTA(C:C)-2)</f>
        <v>80463</v>
      </c>
    </row>
    <row r="43" spans="1:13">
      <c r="A43" s="76"/>
      <c r="B43" s="77"/>
      <c r="C43" s="77"/>
      <c r="G43" s="165" cm="1">
        <f t="array" ref="G43">INDEX(A:A,COUNTA(A:A)-4)</f>
        <v>45170</v>
      </c>
      <c r="H43" s="37" cm="1">
        <f t="array" ref="H43">INDEX(B:B,COUNTA(B:B)-4)</f>
        <v>86573</v>
      </c>
      <c r="I43" s="170" cm="1">
        <f t="array" ref="I43">INDEX(C:C,COUNTA(C:C)-1)</f>
        <v>81510</v>
      </c>
    </row>
    <row r="44" spans="1:13">
      <c r="A44" s="76"/>
      <c r="B44" s="77"/>
      <c r="C44" s="77"/>
      <c r="G44" s="165" cm="1">
        <f t="array" ref="G44">INDEX(A:A,COUNTA(A:A)-3)</f>
        <v>45200</v>
      </c>
      <c r="H44" s="37" cm="1">
        <f t="array" ref="H44">INDEX(B:B,COUNTA(B:B)-3)</f>
        <v>89234</v>
      </c>
      <c r="I44" s="170" cm="1">
        <f t="array" ref="I44">INDEX(C:C,COUNTA(C:C))</f>
        <v>82805</v>
      </c>
    </row>
    <row r="45" spans="1:13">
      <c r="A45" s="76"/>
      <c r="B45" s="77"/>
      <c r="C45" s="77"/>
      <c r="G45" s="165" cm="1">
        <f t="array" ref="G45">INDEX(A:A,COUNTA(A:A)-2)</f>
        <v>45231</v>
      </c>
      <c r="H45" s="37" cm="1">
        <f t="array" ref="H45">INDEX(B:B,COUNTA(B:B)-2)</f>
        <v>91659</v>
      </c>
      <c r="I45" s="170" cm="1">
        <f t="array" ref="I45">INDEX(C:C,COUNTA(C:C)+1)</f>
        <v>84407</v>
      </c>
    </row>
    <row r="46" spans="1:13">
      <c r="A46" s="76"/>
      <c r="B46" s="77"/>
      <c r="C46" s="77"/>
      <c r="G46" s="165" cm="1">
        <f t="array" ref="G46">INDEX(A:A,COUNTA(A:A)-1)</f>
        <v>45261</v>
      </c>
      <c r="H46" s="37" cm="1">
        <f t="array" ref="H46">INDEX(B:B,COUNTA(B:B)-1)</f>
        <v>93101</v>
      </c>
      <c r="I46" s="170" cm="1">
        <f t="array" ref="I46">INDEX(C:C,COUNTA(C:C)+2)</f>
        <v>85319</v>
      </c>
    </row>
    <row r="47" spans="1:13">
      <c r="A47" s="76"/>
      <c r="B47" s="77"/>
      <c r="C47" s="77"/>
      <c r="G47" s="165" cm="1">
        <f t="array" ref="G47">INDEX(A:A,COUNTA(A:A))</f>
        <v>45292</v>
      </c>
      <c r="H47" s="37" cm="1">
        <f t="array" ref="H47">INDEX(B:B,COUNTA(B:B))</f>
        <v>94705</v>
      </c>
      <c r="I47" s="170" cm="1">
        <f t="array" ref="I47">INDEX(C:C,COUNTA(C:C)+3)</f>
        <v>86458</v>
      </c>
    </row>
    <row r="48" spans="1:13">
      <c r="A48" s="76"/>
      <c r="B48" s="77"/>
      <c r="C48" s="77"/>
      <c r="G48" s="165" cm="1">
        <f t="array" ref="G48">INDEX(A:A,COUNTA(A:A)+1)</f>
        <v>45323</v>
      </c>
      <c r="H48" s="37" cm="1">
        <f t="array" ref="H48">INDEX(B:B,COUNTA(B:B)+1)</f>
        <v>96767</v>
      </c>
      <c r="I48" s="170" cm="1">
        <f t="array" ref="I48">INDEX(C:C,COUNTA(C:C)+4)</f>
        <v>87626</v>
      </c>
    </row>
    <row r="49" spans="1:9" ht="17.25" thickBot="1">
      <c r="A49" s="76"/>
      <c r="B49" s="77"/>
      <c r="C49" s="77"/>
      <c r="G49" s="19" cm="1">
        <f t="array" ref="G49">INDEX(A:A,COUNTA(A:A)+2)</f>
        <v>45352</v>
      </c>
      <c r="H49" s="23" cm="1">
        <f t="array" ref="H49">INDEX(B:B,COUNTA(B:B)+2)</f>
        <v>98407</v>
      </c>
      <c r="I49" s="24" cm="1">
        <f t="array" ref="I49">INDEX(C:C,COUNTA(C:C)+5)</f>
        <v>88905</v>
      </c>
    </row>
    <row r="50" spans="1:9">
      <c r="A50" s="76"/>
      <c r="B50" s="77"/>
      <c r="C50" s="77"/>
    </row>
    <row r="51" spans="1:9">
      <c r="A51" s="76"/>
      <c r="B51" s="77"/>
      <c r="C51" s="77"/>
    </row>
    <row r="52" spans="1:9">
      <c r="A52" s="76"/>
      <c r="B52" s="77"/>
      <c r="C52" s="77"/>
    </row>
    <row r="53" spans="1:9">
      <c r="A53" s="78"/>
      <c r="B53" s="77"/>
      <c r="C53" s="77"/>
    </row>
    <row r="54" spans="1:9">
      <c r="A54" s="76"/>
      <c r="B54" s="77"/>
      <c r="C54" s="77"/>
    </row>
    <row r="55" spans="1:9">
      <c r="A55" s="76"/>
      <c r="B55" s="77"/>
      <c r="C55" s="77"/>
    </row>
    <row r="56" spans="1:9">
      <c r="A56" s="76"/>
      <c r="B56" s="77"/>
      <c r="C56" s="77"/>
    </row>
    <row r="57" spans="1:9">
      <c r="A57" s="76"/>
      <c r="B57" s="77"/>
      <c r="C57" s="77"/>
    </row>
    <row r="58" spans="1:9">
      <c r="A58" s="76"/>
      <c r="B58" s="77"/>
      <c r="C58" s="77"/>
    </row>
    <row r="59" spans="1:9">
      <c r="A59" s="76"/>
      <c r="B59" s="77"/>
      <c r="C59" s="77"/>
    </row>
    <row r="60" spans="1:9">
      <c r="A60" s="76"/>
      <c r="B60" s="77"/>
      <c r="C60" s="77"/>
    </row>
    <row r="61" spans="1:9">
      <c r="A61" s="76"/>
      <c r="B61" s="77"/>
      <c r="C61" s="77"/>
    </row>
    <row r="62" spans="1:9">
      <c r="A62" s="76"/>
      <c r="B62" s="77"/>
      <c r="C62" s="77"/>
    </row>
    <row r="63" spans="1:9">
      <c r="A63" s="76"/>
      <c r="B63" s="77"/>
      <c r="C63" s="77"/>
    </row>
    <row r="64" spans="1:9">
      <c r="A64" s="78"/>
      <c r="B64" s="77"/>
      <c r="C64" s="77"/>
    </row>
    <row r="65" spans="1:3">
      <c r="A65" s="76"/>
      <c r="B65" s="77"/>
      <c r="C65" s="77"/>
    </row>
    <row r="66" spans="1:3">
      <c r="A66" s="76"/>
      <c r="B66" s="77"/>
      <c r="C66" s="77"/>
    </row>
    <row r="67" spans="1:3">
      <c r="A67" s="76"/>
      <c r="B67" s="77"/>
      <c r="C67" s="77"/>
    </row>
    <row r="68" spans="1:3">
      <c r="A68" s="76"/>
      <c r="B68" s="77"/>
      <c r="C68" s="77"/>
    </row>
    <row r="69" spans="1:3">
      <c r="A69" s="76"/>
      <c r="B69" s="77"/>
      <c r="C69" s="77"/>
    </row>
    <row r="70" spans="1:3">
      <c r="A70" s="76"/>
      <c r="B70" s="77"/>
      <c r="C70" s="77"/>
    </row>
    <row r="71" spans="1:3">
      <c r="A71" s="76"/>
      <c r="B71" s="77"/>
      <c r="C71" s="77"/>
    </row>
    <row r="72" spans="1:3">
      <c r="A72" s="76"/>
      <c r="B72" s="77"/>
      <c r="C72" s="77"/>
    </row>
    <row r="73" spans="1:3">
      <c r="A73" s="76"/>
      <c r="B73" s="77"/>
      <c r="C73" s="77"/>
    </row>
    <row r="74" spans="1:3">
      <c r="A74" s="2"/>
    </row>
    <row r="75" spans="1:3">
      <c r="A75" s="1"/>
    </row>
    <row r="76" spans="1:3">
      <c r="A76" s="2"/>
    </row>
    <row r="77" spans="1:3">
      <c r="A77" s="2"/>
    </row>
    <row r="78" spans="1:3">
      <c r="A78" s="2"/>
    </row>
    <row r="79" spans="1:3">
      <c r="A79" s="2"/>
    </row>
    <row r="80" spans="1:3">
      <c r="A80" s="2"/>
    </row>
    <row r="81" spans="1:1">
      <c r="A81" s="2"/>
    </row>
    <row r="82" spans="1:1">
      <c r="A82" s="2"/>
    </row>
    <row r="83" spans="1:1">
      <c r="A83" s="2"/>
    </row>
    <row r="84" spans="1:1">
      <c r="A84" s="2"/>
    </row>
    <row r="85" spans="1:1">
      <c r="A85" s="2"/>
    </row>
  </sheetData>
  <mergeCells count="2">
    <mergeCell ref="G5:I5"/>
    <mergeCell ref="G14:I14"/>
  </mergeCells>
  <phoneticPr fontId="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79998168889431442"/>
  </sheetPr>
  <dimension ref="A2:P44"/>
  <sheetViews>
    <sheetView zoomScale="70" zoomScaleNormal="70" workbookViewId="0">
      <selection activeCell="B11" sqref="B11"/>
    </sheetView>
  </sheetViews>
  <sheetFormatPr defaultRowHeight="16.5"/>
  <cols>
    <col min="1" max="1" width="11.125" style="6" bestFit="1" customWidth="1"/>
    <col min="2" max="2" width="24.125" bestFit="1" customWidth="1"/>
    <col min="3" max="3" width="29.375" bestFit="1" customWidth="1"/>
    <col min="7" max="7" width="11.625" customWidth="1"/>
  </cols>
  <sheetData>
    <row r="2" spans="1:16">
      <c r="B2" s="30" t="str">
        <f>TEXT(followers!H2+1,"m월 d일")&amp;" 기준 총 팔로워 현황 "&amp;TEXT(INDEX('3p'!B:B,COUNTA('3p'!B:B)+2),"#,##0")&amp;"명 (광고 유입 포함 전월 대비 "&amp;TEXT(VALUE('3p'!J2/INDEX('3p'!B:B,COUNTA('3p'!B:B)+1)),"0.0%")&amp;" 증가)"</f>
        <v>4월 1일 기준 총 팔로워 현황 98,407명 (광고 유입 포함 전월 대비 2.0% 증가)</v>
      </c>
    </row>
    <row r="3" spans="1:16">
      <c r="B3" s="33" t="str">
        <f>IF((INDEX('3p'!C:C,COUNTA('3p'!C:C)+5)-(INDEX('3p'!C:C,COUNTA('3p'!C:C)+4)))/((INDEX('3p'!C:C,COUNTA('3p'!C:C)+4)-(INDEX('3p'!C:C,COUNTA('3p'!C:C)+3))))-1&gt;0,MONTH(followers!H1)&amp;"월 총 신규 팔로워 유입 수는 "&amp;TEXT('3p'!J2,"#,##0")&amp;"명으로, 이 중 오가닉은 "&amp;TEXT('3p'!H2,"#,##0")&amp;"명 (오가닉 팔로워 전월 比 "&amp;TEXT(ABS((INDEX('3p'!C:C,COUNTA('3p'!C:C)+5)-(INDEX('3p'!C:C,COUNTA('3p'!C:C)+4)))/((INDEX('3p'!C:C,COUNTA('3p'!C:C)+4)-(INDEX('3p'!C:C,COUNTA('3p'!C:C)+3))))-1),"0.0%")&amp;" 증가)",MONTH(followers!H1)&amp;"월 총 신규 팔로워 유입 수는 "&amp;TEXT('3p'!J2,"#,##0")&amp;"명으로, 이 중 오가닉은 "&amp;TEXT('3p'!H2,"#,##0")&amp;"명 (오가닉 팔로워 전월 比 "&amp;TEXT(ABS((INDEX('3p'!C:C,COUNTA('3p'!C:C)+5)-(INDEX('3p'!C:C,COUNTA('3p'!C:C)+4)))/((INDEX('3p'!C:C,COUNTA('3p'!C:C)+4)-(INDEX('3p'!C:C,COUNTA('3p'!C:C)+3))))-1),"0.0%")&amp;" 감소)")</f>
        <v>3월 총 신규 팔로워 유입 수는 1,940명으로, 이 중 오가닉은 1,279명 (오가닉 팔로워 전월 比 9.5% 증가)</v>
      </c>
    </row>
    <row r="4" spans="1:16">
      <c r="B4" s="94" t="str">
        <f>IF(('3p'!K2/'3p'!J2)-('3p'!L2/(INDEX('3p'!B:B,COUNTA('3p'!B:B)+1)-INDEX('3p'!B:B,COUNTA('3p'!B:B))))&gt;0,"최종 "&amp;MONTH(followers!H1)&amp;"월 신규 팔로워는 "&amp;TEXT('3p'!J2-'3p'!K2,"#,##0")&amp;"명으로 집계 (이탈자 "&amp;TEXT('3p'!K2,"#,##0")&amp;"명, 유입 대비 이탈율 "&amp;TEXT('3p'!K2/'3p'!J2,"0.0%")&amp;": 전월대비 "&amp;TEXT('3p'!K2/'3p'!J2,"0.0%")&amp;": 전월대비 "&amp;TEXT(ABS((('3p'!K2/'3p'!J2)-('3p'!L2/(INDEX('3p'!B:B,COUNTA('3p'!B:B)+1)-INDEX('3p'!B:B,COUNTA('3p'!B:B)))))),"0.0%p")&amp;" 증가 / 단, 이탈자의 팔로우 유입 경로(오가닉 여부) 식별 제한)","최종 "&amp;MONTH(followers!H1)&amp;"월 신규 팔로워는 "&amp;TEXT('3p'!J2-'3p'!K2,"#,##0")&amp;"명으로 집계 (이탈자 "&amp;TEXT('3p'!K2,"#,##0")&amp;"명, 유입 대비 이탈율 "&amp;TEXT('3p'!K2/'3p'!J2,"0.0%")&amp;": 전월대비 "&amp;TEXT(ABS((('3p'!K2/'3p'!J2)-('3p'!L2/(INDEX('3p'!B:B,COUNTA('3p'!B:B)+1)-INDEX('3p'!B:B,COUNTA('3p'!B:B)))))),"0.0%p")&amp;" 감소 / 단, 이탈자의 팔로우 유입 경로(오가닉 여부) 식별 제한)")</f>
        <v>최종 3월 신규 팔로워는 1,640명으로 집계 (이탈자 300명, 유입 대비 이탈율 15.5%: 전월대비 15.5%: 전월대비 12.2%p 증가 / 단, 이탈자의 팔로우 유입 경로(오가닉 여부) 식별 제한)</v>
      </c>
    </row>
    <row r="7" spans="1:16">
      <c r="P7" s="34" t="s">
        <v>14</v>
      </c>
    </row>
    <row r="8" spans="1:16">
      <c r="P8" s="34" t="str">
        <f>TEXT(followers!H1,"yyyy.mm.dd")&amp;" ~ "&amp;TEXT(followers!H2,"yyyy.mm.dd")</f>
        <v>2024.03.01 ~ 2024.03.31</v>
      </c>
    </row>
    <row r="10" spans="1:16">
      <c r="A10" s="51"/>
      <c r="B10" s="18" t="str">
        <f>MONTH(followers!H1)&amp;"월 신규 오가닉 팔로워 수"</f>
        <v>3월 신규 오가닉 팔로워 수</v>
      </c>
      <c r="C10" s="18" t="str">
        <f>MONTH(followers!H1)&amp;"월 신규 오가닉+광고 팔로워 수"</f>
        <v>3월 신규 오가닉+광고 팔로워 수</v>
      </c>
      <c r="D10" s="18" t="s">
        <v>95</v>
      </c>
      <c r="E10" s="25" t="s">
        <v>94</v>
      </c>
    </row>
    <row r="11" spans="1:16">
      <c r="A11" s="52" t="str">
        <f>IF(B11="","",TEXT(followers!E2,"d")&amp;CHAR(10)&amp;TEXT(followers!E2,"aaa"))</f>
        <v>1
금</v>
      </c>
      <c r="B11" s="18">
        <f>IF(followers!C2="","",followers!C2)</f>
        <v>32</v>
      </c>
      <c r="C11" s="18">
        <f>IF(followers!D2="","",followers!D2)</f>
        <v>65</v>
      </c>
      <c r="D11" s="18" t="e">
        <f>IF(COUNTIFS(contents!AA:AA,G:G,contents!C:C,"sponsored")&gt;0,C11+15,NA())</f>
        <v>#N/A</v>
      </c>
      <c r="E11" t="str">
        <f>IF(COUNTIFS(contents!W:W,followers!E2)&gt;0,"Yes","")</f>
        <v/>
      </c>
      <c r="F11" t="str">
        <f>TEXT(followers!E2,"aaa")</f>
        <v>금</v>
      </c>
      <c r="G11" s="6">
        <f>followers!E2</f>
        <v>45352</v>
      </c>
    </row>
    <row r="12" spans="1:16">
      <c r="A12" s="52" t="str">
        <f>IF(B12="","",TEXT(followers!E3,"d")&amp;CHAR(10)&amp;TEXT(followers!E3,"aaa"))</f>
        <v>2
토</v>
      </c>
      <c r="B12" s="18">
        <f>IF(followers!C3="","",followers!C3)</f>
        <v>30</v>
      </c>
      <c r="C12" s="18">
        <f>IF(followers!D3="","",followers!D3)</f>
        <v>46</v>
      </c>
      <c r="D12" s="18" t="e">
        <f>IF(COUNTIFS(contents!AA:AA,G:G,contents!C:C,"sponsored")&gt;0,C12+15,NA())</f>
        <v>#N/A</v>
      </c>
      <c r="E12" t="str">
        <f>IF(COUNTIFS(contents!W:W,followers!E3)&gt;0,"Yes","")</f>
        <v/>
      </c>
      <c r="F12" t="str">
        <f>TEXT(followers!E3,"aaa")</f>
        <v>토</v>
      </c>
      <c r="G12" s="6">
        <f>followers!E3</f>
        <v>45353</v>
      </c>
    </row>
    <row r="13" spans="1:16">
      <c r="A13" s="52" t="str">
        <f>IF(B13="","",TEXT(followers!E4,"d")&amp;CHAR(10)&amp;TEXT(followers!E4,"aaa"))</f>
        <v>3
일</v>
      </c>
      <c r="B13" s="18">
        <f>IF(followers!C4="","",followers!C4)</f>
        <v>31</v>
      </c>
      <c r="C13" s="18">
        <f>IF(followers!D4="","",followers!D4)</f>
        <v>48</v>
      </c>
      <c r="D13" s="18" t="e">
        <f>IF(COUNTIFS(contents!AA:AA,G:G,contents!C:C,"sponsored")&gt;0,C13+15,NA())</f>
        <v>#N/A</v>
      </c>
      <c r="E13" t="str">
        <f>IF(COUNTIFS(contents!W:W,followers!E4)&gt;0,"Yes","")</f>
        <v/>
      </c>
      <c r="F13" t="str">
        <f>TEXT(followers!E4,"aaa")</f>
        <v>일</v>
      </c>
      <c r="G13" s="6">
        <f>followers!E4</f>
        <v>45354</v>
      </c>
    </row>
    <row r="14" spans="1:16">
      <c r="A14" s="52" t="str">
        <f>IF(B14="","",TEXT(followers!E5,"d")&amp;CHAR(10)&amp;TEXT(followers!E5,"aaa"))</f>
        <v>4
월</v>
      </c>
      <c r="B14" s="18">
        <f>IF(followers!C5="","",followers!C5)</f>
        <v>37</v>
      </c>
      <c r="C14" s="18">
        <f>IF(followers!D5="","",followers!D5)</f>
        <v>75</v>
      </c>
      <c r="D14" s="18">
        <f>IF(COUNTIFS(contents!AA:AA,G:G,contents!C:C,"sponsored")&gt;0,C14+15,NA())</f>
        <v>90</v>
      </c>
      <c r="E14" t="str">
        <f>IF(COUNTIFS(contents!W:W,followers!E5)&gt;0,"Yes","")</f>
        <v>Yes</v>
      </c>
      <c r="F14" t="str">
        <f>TEXT(followers!E5,"aaa")</f>
        <v>월</v>
      </c>
      <c r="G14" s="6">
        <f>followers!E5</f>
        <v>45355</v>
      </c>
    </row>
    <row r="15" spans="1:16">
      <c r="A15" s="52" t="str">
        <f>IF(B15="","",TEXT(followers!E6,"d")&amp;CHAR(10)&amp;TEXT(followers!E6,"aaa"))</f>
        <v>5
화</v>
      </c>
      <c r="B15" s="18">
        <f>IF(followers!C6="","",followers!C6)</f>
        <v>41</v>
      </c>
      <c r="C15" s="18">
        <f>IF(followers!D6="","",followers!D6)</f>
        <v>65</v>
      </c>
      <c r="D15" s="18" t="e">
        <f>IF(COUNTIFS(contents!AA:AA,G:G,contents!C:C,"sponsored")&gt;0,C15+15,NA())</f>
        <v>#N/A</v>
      </c>
      <c r="E15" t="str">
        <f>IF(COUNTIFS(contents!W:W,followers!E6)&gt;0,"Yes","")</f>
        <v>Yes</v>
      </c>
      <c r="F15" t="str">
        <f>TEXT(followers!E6,"aaa")</f>
        <v>화</v>
      </c>
      <c r="G15" s="6">
        <f>followers!E6</f>
        <v>45356</v>
      </c>
    </row>
    <row r="16" spans="1:16">
      <c r="A16" s="52" t="str">
        <f>IF(B16="","",TEXT(followers!E7,"d")&amp;CHAR(10)&amp;TEXT(followers!E7,"aaa"))</f>
        <v>6
수</v>
      </c>
      <c r="B16" s="18">
        <f>IF(followers!C7="","",followers!C7)</f>
        <v>39</v>
      </c>
      <c r="C16" s="18">
        <f>IF(followers!D7="","",followers!D7)</f>
        <v>72</v>
      </c>
      <c r="D16" s="18" t="e">
        <f>IF(COUNTIFS(contents!AA:AA,G:G,contents!C:C,"sponsored")&gt;0,C16+15,NA())</f>
        <v>#N/A</v>
      </c>
      <c r="E16" t="str">
        <f>IF(COUNTIFS(contents!W:W,followers!E7)&gt;0,"Yes","")</f>
        <v/>
      </c>
      <c r="F16" t="str">
        <f>TEXT(followers!E7,"aaa")</f>
        <v>수</v>
      </c>
      <c r="G16" s="6">
        <f>followers!E7</f>
        <v>45357</v>
      </c>
    </row>
    <row r="17" spans="1:7">
      <c r="A17" s="52" t="str">
        <f>IF(B17="","",TEXT(followers!E8,"d")&amp;CHAR(10)&amp;TEXT(followers!E8,"aaa"))</f>
        <v>7
목</v>
      </c>
      <c r="B17" s="18">
        <f>IF(followers!C8="","",followers!C8)</f>
        <v>35</v>
      </c>
      <c r="C17" s="18">
        <f>IF(followers!D8="","",followers!D8)</f>
        <v>65</v>
      </c>
      <c r="D17" s="18" t="e">
        <f>IF(COUNTIFS(contents!AA:AA,G:G,contents!C:C,"sponsored")&gt;0,C17+15,NA())</f>
        <v>#N/A</v>
      </c>
      <c r="E17" t="str">
        <f>IF(COUNTIFS(contents!W:W,followers!E8)&gt;0,"Yes","")</f>
        <v>Yes</v>
      </c>
      <c r="F17" t="str">
        <f>TEXT(followers!E8,"aaa")</f>
        <v>목</v>
      </c>
      <c r="G17" s="6">
        <f>followers!E8</f>
        <v>45358</v>
      </c>
    </row>
    <row r="18" spans="1:7">
      <c r="A18" s="52" t="str">
        <f>IF(B18="","",TEXT(followers!E9,"d")&amp;CHAR(10)&amp;TEXT(followers!E9,"aaa"))</f>
        <v>8
금</v>
      </c>
      <c r="B18" s="18">
        <f>IF(followers!C9="","",followers!C9)</f>
        <v>37</v>
      </c>
      <c r="C18" s="18">
        <f>IF(followers!D9="","",followers!D9)</f>
        <v>61</v>
      </c>
      <c r="D18" s="18" t="e">
        <f>IF(COUNTIFS(contents!AA:AA,G:G,contents!C:C,"sponsored")&gt;0,C18+15,NA())</f>
        <v>#N/A</v>
      </c>
      <c r="E18" t="str">
        <f>IF(COUNTIFS(contents!W:W,followers!E9)&gt;0,"Yes","")</f>
        <v>Yes</v>
      </c>
      <c r="F18" t="str">
        <f>TEXT(followers!E9,"aaa")</f>
        <v>금</v>
      </c>
      <c r="G18" s="6">
        <f>followers!E9</f>
        <v>45359</v>
      </c>
    </row>
    <row r="19" spans="1:7">
      <c r="A19" s="52" t="str">
        <f>IF(B19="","",TEXT(followers!E10,"d")&amp;CHAR(10)&amp;TEXT(followers!E10,"aaa"))</f>
        <v>9
토</v>
      </c>
      <c r="B19" s="18">
        <f>IF(followers!C10="","",followers!C10)</f>
        <v>30</v>
      </c>
      <c r="C19" s="18">
        <f>IF(followers!D10="","",followers!D10)</f>
        <v>52</v>
      </c>
      <c r="D19" s="18" t="e">
        <f>IF(COUNTIFS(contents!AA:AA,G:G,contents!C:C,"sponsored")&gt;0,C19+15,NA())</f>
        <v>#N/A</v>
      </c>
      <c r="E19" t="str">
        <f>IF(COUNTIFS(contents!W:W,followers!E10)&gt;0,"Yes","")</f>
        <v/>
      </c>
      <c r="F19" t="str">
        <f>TEXT(followers!E10,"aaa")</f>
        <v>토</v>
      </c>
      <c r="G19" s="6">
        <f>followers!E10</f>
        <v>45360</v>
      </c>
    </row>
    <row r="20" spans="1:7">
      <c r="A20" s="52" t="str">
        <f>IF(B20="","",TEXT(followers!E11,"d")&amp;CHAR(10)&amp;TEXT(followers!E11,"aaa"))</f>
        <v>10
일</v>
      </c>
      <c r="B20" s="18">
        <f>IF(followers!C11="","",followers!C11)</f>
        <v>33</v>
      </c>
      <c r="C20" s="18">
        <f>IF(followers!D11="","",followers!D11)</f>
        <v>46</v>
      </c>
      <c r="D20" s="18" t="e">
        <f>IF(COUNTIFS(contents!AA:AA,G:G,contents!C:C,"sponsored")&gt;0,C20+15,NA())</f>
        <v>#N/A</v>
      </c>
      <c r="E20" t="str">
        <f>IF(COUNTIFS(contents!W:W,followers!E11)&gt;0,"Yes","")</f>
        <v/>
      </c>
      <c r="F20" t="str">
        <f>TEXT(followers!E11,"aaa")</f>
        <v>일</v>
      </c>
      <c r="G20" s="6">
        <f>followers!E11</f>
        <v>45361</v>
      </c>
    </row>
    <row r="21" spans="1:7">
      <c r="A21" s="52" t="str">
        <f>IF(B21="","",TEXT(followers!E12,"d")&amp;CHAR(10)&amp;TEXT(followers!E12,"aaa"))</f>
        <v>11
월</v>
      </c>
      <c r="B21" s="18">
        <f>IF(followers!C12="","",followers!C12)</f>
        <v>39</v>
      </c>
      <c r="C21" s="18">
        <f>IF(followers!D12="","",followers!D12)</f>
        <v>74</v>
      </c>
      <c r="D21" s="18" t="e">
        <f>IF(COUNTIFS(contents!AA:AA,G:G,contents!C:C,"sponsored")&gt;0,C21+15,NA())</f>
        <v>#N/A</v>
      </c>
      <c r="E21" t="str">
        <f>IF(COUNTIFS(contents!W:W,followers!E12)&gt;0,"Yes","")</f>
        <v>Yes</v>
      </c>
      <c r="F21" t="str">
        <f>TEXT(followers!E12,"aaa")</f>
        <v>월</v>
      </c>
      <c r="G21" s="6">
        <f>followers!E12</f>
        <v>45362</v>
      </c>
    </row>
    <row r="22" spans="1:7">
      <c r="A22" s="52" t="str">
        <f>IF(B22="","",TEXT(followers!E13,"d")&amp;CHAR(10)&amp;TEXT(followers!E13,"aaa"))</f>
        <v>12
화</v>
      </c>
      <c r="B22" s="18">
        <f>IF(followers!C13="","",followers!C13)</f>
        <v>44</v>
      </c>
      <c r="C22" s="18">
        <f>IF(followers!D13="","",followers!D13)</f>
        <v>68</v>
      </c>
      <c r="D22" s="18" t="e">
        <f>IF(COUNTIFS(contents!AA:AA,G:G,contents!C:C,"sponsored")&gt;0,C22+15,NA())</f>
        <v>#N/A</v>
      </c>
      <c r="E22" t="str">
        <f>IF(COUNTIFS(contents!W:W,followers!E13)&gt;0,"Yes","")</f>
        <v/>
      </c>
      <c r="F22" t="str">
        <f>TEXT(followers!E13,"aaa")</f>
        <v>화</v>
      </c>
      <c r="G22" s="6">
        <f>followers!E13</f>
        <v>45363</v>
      </c>
    </row>
    <row r="23" spans="1:7">
      <c r="A23" s="52" t="str">
        <f>IF(B23="","",TEXT(followers!E14,"d")&amp;CHAR(10)&amp;TEXT(followers!E14,"aaa"))</f>
        <v>13
수</v>
      </c>
      <c r="B23" s="18">
        <f>IF(followers!C14="","",followers!C14)</f>
        <v>39</v>
      </c>
      <c r="C23" s="18">
        <f>IF(followers!D14="","",followers!D14)</f>
        <v>56</v>
      </c>
      <c r="D23" s="18" t="e">
        <f>IF(COUNTIFS(contents!AA:AA,G:G,contents!C:C,"sponsored")&gt;0,C23+15,NA())</f>
        <v>#N/A</v>
      </c>
      <c r="E23" t="str">
        <f>IF(COUNTIFS(contents!W:W,followers!E14)&gt;0,"Yes","")</f>
        <v>Yes</v>
      </c>
      <c r="F23" t="str">
        <f>TEXT(followers!E14,"aaa")</f>
        <v>수</v>
      </c>
      <c r="G23" s="6">
        <f>followers!E14</f>
        <v>45364</v>
      </c>
    </row>
    <row r="24" spans="1:7">
      <c r="A24" s="52" t="str">
        <f>IF(B24="","",TEXT(followers!E15,"d")&amp;CHAR(10)&amp;TEXT(followers!E15,"aaa"))</f>
        <v>14
목</v>
      </c>
      <c r="B24" s="18">
        <f>IF(followers!C15="","",followers!C15)</f>
        <v>28</v>
      </c>
      <c r="C24" s="18">
        <f>IF(followers!D15="","",followers!D15)</f>
        <v>50</v>
      </c>
      <c r="D24" s="18" t="e">
        <f>IF(COUNTIFS(contents!AA:AA,G:G,contents!C:C,"sponsored")&gt;0,C24+15,NA())</f>
        <v>#N/A</v>
      </c>
      <c r="E24" t="str">
        <f>IF(COUNTIFS(contents!W:W,followers!E15)&gt;0,"Yes","")</f>
        <v>Yes</v>
      </c>
      <c r="F24" t="str">
        <f>TEXT(followers!E15,"aaa")</f>
        <v>목</v>
      </c>
      <c r="G24" s="6">
        <f>followers!E15</f>
        <v>45365</v>
      </c>
    </row>
    <row r="25" spans="1:7">
      <c r="A25" s="52" t="str">
        <f>IF(B25="","",TEXT(followers!E16,"d")&amp;CHAR(10)&amp;TEXT(followers!E16,"aaa"))</f>
        <v>15
금</v>
      </c>
      <c r="B25" s="18">
        <f>IF(followers!C16="","",followers!C16)</f>
        <v>32</v>
      </c>
      <c r="C25" s="18">
        <f>IF(followers!D16="","",followers!D16)</f>
        <v>51</v>
      </c>
      <c r="D25" s="18" t="e">
        <f>IF(COUNTIFS(contents!AA:AA,G:G,contents!C:C,"sponsored")&gt;0,C25+15,NA())</f>
        <v>#N/A</v>
      </c>
      <c r="E25" t="str">
        <f>IF(COUNTIFS(contents!W:W,followers!E16)&gt;0,"Yes","")</f>
        <v>Yes</v>
      </c>
      <c r="F25" t="str">
        <f>TEXT(followers!E16,"aaa")</f>
        <v>금</v>
      </c>
      <c r="G25" s="6">
        <f>followers!E16</f>
        <v>45366</v>
      </c>
    </row>
    <row r="26" spans="1:7">
      <c r="A26" s="52" t="str">
        <f>IF(B26="","",TEXT(followers!E17,"d")&amp;CHAR(10)&amp;TEXT(followers!E17,"aaa"))</f>
        <v>16
토</v>
      </c>
      <c r="B26" s="18">
        <f>IF(followers!C17="","",followers!C17)</f>
        <v>33</v>
      </c>
      <c r="C26" s="18">
        <f>IF(followers!D17="","",followers!D17)</f>
        <v>43</v>
      </c>
      <c r="D26" s="18" t="e">
        <f>IF(COUNTIFS(contents!AA:AA,G:G,contents!C:C,"sponsored")&gt;0,C26+15,NA())</f>
        <v>#N/A</v>
      </c>
      <c r="E26" t="str">
        <f>IF(COUNTIFS(contents!W:W,followers!E17)&gt;0,"Yes","")</f>
        <v/>
      </c>
      <c r="F26" t="str">
        <f>TEXT(followers!E17,"aaa")</f>
        <v>토</v>
      </c>
      <c r="G26" s="6">
        <f>followers!E17</f>
        <v>45367</v>
      </c>
    </row>
    <row r="27" spans="1:7">
      <c r="A27" s="52" t="str">
        <f>IF(B27="","",TEXT(followers!E18,"d")&amp;CHAR(10)&amp;TEXT(followers!E18,"aaa"))</f>
        <v>17
일</v>
      </c>
      <c r="B27" s="18">
        <f>IF(followers!C18="","",followers!C18)</f>
        <v>27</v>
      </c>
      <c r="C27" s="18">
        <f>IF(followers!D18="","",followers!D18)</f>
        <v>41</v>
      </c>
      <c r="D27" s="18" t="e">
        <f>IF(COUNTIFS(contents!AA:AA,G:G,contents!C:C,"sponsored")&gt;0,C27+15,NA())</f>
        <v>#N/A</v>
      </c>
      <c r="E27" t="str">
        <f>IF(COUNTIFS(contents!W:W,followers!E18)&gt;0,"Yes","")</f>
        <v/>
      </c>
      <c r="F27" t="str">
        <f>TEXT(followers!E18,"aaa")</f>
        <v>일</v>
      </c>
      <c r="G27" s="6">
        <f>followers!E18</f>
        <v>45368</v>
      </c>
    </row>
    <row r="28" spans="1:7">
      <c r="A28" s="52" t="str">
        <f>IF(B28="","",TEXT(followers!E19,"d")&amp;CHAR(10)&amp;TEXT(followers!E19,"aaa"))</f>
        <v>18
월</v>
      </c>
      <c r="B28" s="18">
        <f>IF(followers!C19="","",followers!C19)</f>
        <v>34</v>
      </c>
      <c r="C28" s="18">
        <f>IF(followers!D19="","",followers!D19)</f>
        <v>57</v>
      </c>
      <c r="D28" s="18" t="e">
        <f>IF(COUNTIFS(contents!AA:AA,G:G,contents!C:C,"sponsored")&gt;0,C28+15,NA())</f>
        <v>#N/A</v>
      </c>
      <c r="E28" t="str">
        <f>IF(COUNTIFS(contents!W:W,followers!E19)&gt;0,"Yes","")</f>
        <v>Yes</v>
      </c>
      <c r="F28" t="str">
        <f>TEXT(followers!E19,"aaa")</f>
        <v>월</v>
      </c>
      <c r="G28" s="6">
        <f>followers!E19</f>
        <v>45369</v>
      </c>
    </row>
    <row r="29" spans="1:7">
      <c r="A29" s="52" t="str">
        <f>IF(B29="","",TEXT(followers!E20,"d")&amp;CHAR(10)&amp;TEXT(followers!E20,"aaa"))</f>
        <v>19
화</v>
      </c>
      <c r="B29" s="18">
        <f>IF(followers!C20="","",followers!C20)</f>
        <v>31</v>
      </c>
      <c r="C29" s="18">
        <f>IF(followers!D20="","",followers!D20)</f>
        <v>57</v>
      </c>
      <c r="D29" s="18" t="e">
        <f>IF(COUNTIFS(contents!AA:AA,G:G,contents!C:C,"sponsored")&gt;0,C29+15,NA())</f>
        <v>#N/A</v>
      </c>
      <c r="E29" t="str">
        <f>IF(COUNTIFS(contents!W:W,followers!E20)&gt;0,"Yes","")</f>
        <v>Yes</v>
      </c>
      <c r="F29" t="str">
        <f>TEXT(followers!E20,"aaa")</f>
        <v>화</v>
      </c>
      <c r="G29" s="6">
        <f>followers!E20</f>
        <v>45370</v>
      </c>
    </row>
    <row r="30" spans="1:7">
      <c r="A30" s="52" t="str">
        <f>IF(B30="","",TEXT(followers!E21,"d")&amp;CHAR(10)&amp;TEXT(followers!E21,"aaa"))</f>
        <v>20
수</v>
      </c>
      <c r="B30" s="18">
        <f>IF(followers!C21="","",followers!C21)</f>
        <v>41</v>
      </c>
      <c r="C30" s="18">
        <f>IF(followers!D21="","",followers!D21)</f>
        <v>58</v>
      </c>
      <c r="D30" s="18" t="e">
        <f>IF(COUNTIFS(contents!AA:AA,G:G,contents!C:C,"sponsored")&gt;0,C30+15,NA())</f>
        <v>#N/A</v>
      </c>
      <c r="E30" t="str">
        <f>IF(COUNTIFS(contents!W:W,followers!E21)&gt;0,"Yes","")</f>
        <v>Yes</v>
      </c>
      <c r="F30" t="str">
        <f>TEXT(followers!E21,"aaa")</f>
        <v>수</v>
      </c>
      <c r="G30" s="6">
        <f>followers!E21</f>
        <v>45371</v>
      </c>
    </row>
    <row r="31" spans="1:7">
      <c r="A31" s="52" t="str">
        <f>IF(B31="","",TEXT(followers!E22,"d")&amp;CHAR(10)&amp;TEXT(followers!E22,"aaa"))</f>
        <v>21
목</v>
      </c>
      <c r="B31" s="18">
        <f>IF(followers!C22="","",followers!C22)</f>
        <v>57</v>
      </c>
      <c r="C31" s="18">
        <f>IF(followers!D22="","",followers!D22)</f>
        <v>76</v>
      </c>
      <c r="D31" s="18" t="e">
        <f>IF(COUNTIFS(contents!AA:AA,G:G,contents!C:C,"sponsored")&gt;0,C31+15,NA())</f>
        <v>#N/A</v>
      </c>
      <c r="E31" t="str">
        <f>IF(COUNTIFS(contents!W:W,followers!E22)&gt;0,"Yes","")</f>
        <v>Yes</v>
      </c>
      <c r="F31" t="str">
        <f>TEXT(followers!E22,"aaa")</f>
        <v>목</v>
      </c>
      <c r="G31" s="6">
        <f>followers!E22</f>
        <v>45372</v>
      </c>
    </row>
    <row r="32" spans="1:7">
      <c r="A32" s="52" t="str">
        <f>IF(B32="","",TEXT(followers!E23,"d")&amp;CHAR(10)&amp;TEXT(followers!E23,"aaa"))</f>
        <v>22
금</v>
      </c>
      <c r="B32" s="18">
        <f>IF(followers!C23="","",followers!C23)</f>
        <v>47</v>
      </c>
      <c r="C32" s="18">
        <f>IF(followers!D23="","",followers!D23)</f>
        <v>54</v>
      </c>
      <c r="D32" s="18" t="e">
        <f>IF(COUNTIFS(contents!AA:AA,G:G,contents!C:C,"sponsored")&gt;0,C32+15,NA())</f>
        <v>#N/A</v>
      </c>
      <c r="E32" t="str">
        <f>IF(COUNTIFS(contents!W:W,followers!E23)&gt;0,"Yes","")</f>
        <v>Yes</v>
      </c>
      <c r="F32" t="str">
        <f>TEXT(followers!E23,"aaa")</f>
        <v>금</v>
      </c>
      <c r="G32" s="6">
        <f>followers!E23</f>
        <v>45373</v>
      </c>
    </row>
    <row r="33" spans="1:7">
      <c r="A33" s="52" t="str">
        <f>IF(B33="","",TEXT(followers!E24,"d")&amp;CHAR(10)&amp;TEXT(followers!E24,"aaa"))</f>
        <v>23
토</v>
      </c>
      <c r="B33" s="18">
        <f>IF(followers!C24="","",followers!C24)</f>
        <v>43</v>
      </c>
      <c r="C33" s="18">
        <f>IF(followers!D24="","",followers!D24)</f>
        <v>48</v>
      </c>
      <c r="D33" s="18" t="e">
        <f>IF(COUNTIFS(contents!AA:AA,G:G,contents!C:C,"sponsored")&gt;0,C33+15,NA())</f>
        <v>#N/A</v>
      </c>
      <c r="E33" t="str">
        <f>IF(COUNTIFS(contents!W:W,followers!E24)&gt;0,"Yes","")</f>
        <v/>
      </c>
      <c r="F33" t="str">
        <f>TEXT(followers!E24,"aaa")</f>
        <v>토</v>
      </c>
      <c r="G33" s="6">
        <f>followers!E24</f>
        <v>45374</v>
      </c>
    </row>
    <row r="34" spans="1:7">
      <c r="A34" s="52" t="str">
        <f>IF(B34="","",TEXT(followers!E25,"d")&amp;CHAR(10)&amp;TEXT(followers!E25,"aaa"))</f>
        <v>24
일</v>
      </c>
      <c r="B34" s="18">
        <f>IF(followers!C25="","",followers!C25)</f>
        <v>24</v>
      </c>
      <c r="C34" s="18">
        <f>IF(followers!D25="","",followers!D25)</f>
        <v>34</v>
      </c>
      <c r="D34" s="18" t="e">
        <f>IF(COUNTIFS(contents!AA:AA,G:G,contents!C:C,"sponsored")&gt;0,C34+15,NA())</f>
        <v>#N/A</v>
      </c>
      <c r="E34" t="str">
        <f>IF(COUNTIFS(contents!W:W,followers!E25)&gt;0,"Yes","")</f>
        <v/>
      </c>
      <c r="F34" t="str">
        <f>TEXT(followers!E25,"aaa")</f>
        <v>일</v>
      </c>
      <c r="G34" s="6">
        <f>followers!E25</f>
        <v>45375</v>
      </c>
    </row>
    <row r="35" spans="1:7">
      <c r="A35" s="52" t="str">
        <f>IF(B35="","",TEXT(followers!E26,"d")&amp;CHAR(10)&amp;TEXT(followers!E26,"aaa"))</f>
        <v>25
월</v>
      </c>
      <c r="B35" s="18">
        <f>IF(followers!C26="","",followers!C26)</f>
        <v>38</v>
      </c>
      <c r="C35" s="18">
        <f>IF(followers!D26="","",followers!D26)</f>
        <v>64</v>
      </c>
      <c r="D35" s="18">
        <f>IF(COUNTIFS(contents!AA:AA,G:G,contents!C:C,"sponsored")&gt;0,C35+15,NA())</f>
        <v>79</v>
      </c>
      <c r="E35" t="str">
        <f>IF(COUNTIFS(contents!W:W,followers!E26)&gt;0,"Yes","")</f>
        <v>Yes</v>
      </c>
      <c r="F35" t="str">
        <f>TEXT(followers!E26,"aaa")</f>
        <v>월</v>
      </c>
      <c r="G35" s="6">
        <f>followers!E26</f>
        <v>45376</v>
      </c>
    </row>
    <row r="36" spans="1:7">
      <c r="A36" s="52" t="str">
        <f>IF(B36="","",TEXT(followers!E27,"d")&amp;CHAR(10)&amp;TEXT(followers!E27,"aaa"))</f>
        <v>26
화</v>
      </c>
      <c r="B36" s="18">
        <f>IF(followers!C27="","",followers!C27)</f>
        <v>70</v>
      </c>
      <c r="C36" s="18">
        <f>IF(followers!D27="","",followers!D27)</f>
        <v>95</v>
      </c>
      <c r="D36" s="18" t="e">
        <f>IF(COUNTIFS(contents!AA:AA,G:G,contents!C:C,"sponsored")&gt;0,C36+15,NA())</f>
        <v>#N/A</v>
      </c>
      <c r="E36" t="str">
        <f>IF(COUNTIFS(contents!W:W,followers!E27)&gt;0,"Yes","")</f>
        <v>Yes</v>
      </c>
      <c r="F36" t="str">
        <f>TEXT(followers!E27,"aaa")</f>
        <v>화</v>
      </c>
      <c r="G36" s="6">
        <f>followers!E27</f>
        <v>45377</v>
      </c>
    </row>
    <row r="37" spans="1:7">
      <c r="A37" s="52" t="str">
        <f>IF(B37="","",TEXT(followers!E28,"d")&amp;CHAR(10)&amp;TEXT(followers!E28,"aaa"))</f>
        <v>27
수</v>
      </c>
      <c r="B37" s="18">
        <f>IF(followers!C28="","",followers!C28)</f>
        <v>90</v>
      </c>
      <c r="C37" s="18">
        <f>IF(followers!D28="","",followers!D28)</f>
        <v>118</v>
      </c>
      <c r="D37" s="18" t="e">
        <f>IF(COUNTIFS(contents!AA:AA,G:G,contents!C:C,"sponsored")&gt;0,C37+15,NA())</f>
        <v>#N/A</v>
      </c>
      <c r="E37" t="str">
        <f>IF(COUNTIFS(contents!W:W,followers!E28)&gt;0,"Yes","")</f>
        <v>Yes</v>
      </c>
      <c r="F37" t="str">
        <f>TEXT(followers!E28,"aaa")</f>
        <v>수</v>
      </c>
      <c r="G37" s="6">
        <f>followers!E28</f>
        <v>45378</v>
      </c>
    </row>
    <row r="38" spans="1:7">
      <c r="A38" s="52" t="str">
        <f>IF(B38="","",TEXT(followers!E29,"d")&amp;CHAR(10)&amp;TEXT(followers!E29,"aaa"))</f>
        <v>28
목</v>
      </c>
      <c r="B38" s="18">
        <f>IF(followers!C29="","",followers!C29)</f>
        <v>69</v>
      </c>
      <c r="C38" s="18">
        <f>IF(followers!D29="","",followers!D29)</f>
        <v>97</v>
      </c>
      <c r="D38" s="18" t="e">
        <f>IF(COUNTIFS(contents!AA:AA,G:G,contents!C:C,"sponsored")&gt;0,C38+15,NA())</f>
        <v>#N/A</v>
      </c>
      <c r="E38" t="str">
        <f>IF(COUNTIFS(contents!W:W,followers!E29)&gt;0,"Yes","")</f>
        <v>Yes</v>
      </c>
      <c r="F38" t="str">
        <f>TEXT(followers!E29,"aaa")</f>
        <v>목</v>
      </c>
      <c r="G38" s="6">
        <f>followers!E29</f>
        <v>45379</v>
      </c>
    </row>
    <row r="39" spans="1:7">
      <c r="A39" s="52" t="str">
        <f>IF(B39="","",TEXT(followers!E30,"d")&amp;CHAR(10)&amp;TEXT(followers!E30,"aaa"))</f>
        <v>29
금</v>
      </c>
      <c r="B39" s="18">
        <f>IF(followers!C30="","",followers!C30)</f>
        <v>70</v>
      </c>
      <c r="C39" s="18">
        <f>IF(followers!D30="","",followers!D30)</f>
        <v>96</v>
      </c>
      <c r="D39" s="18" t="e">
        <f>IF(COUNTIFS(contents!AA:AA,G:G,contents!C:C,"sponsored")&gt;0,C39+15,NA())</f>
        <v>#N/A</v>
      </c>
      <c r="E39" t="str">
        <f>IF(COUNTIFS(contents!W:W,followers!E30)&gt;0,"Yes","")</f>
        <v>Yes</v>
      </c>
      <c r="F39" t="str">
        <f>TEXT(followers!E30,"aaa")</f>
        <v>금</v>
      </c>
      <c r="G39" s="6">
        <f>followers!E30</f>
        <v>45380</v>
      </c>
    </row>
    <row r="40" spans="1:7">
      <c r="A40" s="52" t="str">
        <f>IF(B40="","",TEXT(followers!E31,"d")&amp;CHAR(10)&amp;TEXT(followers!E31,"aaa"))</f>
        <v>30
토</v>
      </c>
      <c r="B40" s="18">
        <f>IF(followers!C31="","",followers!C31)</f>
        <v>44</v>
      </c>
      <c r="C40" s="18">
        <f>IF(followers!D31="","",followers!D31)</f>
        <v>62</v>
      </c>
      <c r="D40" s="18" t="e">
        <f>IF(COUNTIFS(contents!AA:AA,G:G,contents!C:C,"sponsored")&gt;0,C40+15,NA())</f>
        <v>#N/A</v>
      </c>
      <c r="E40" t="str">
        <f>IF(COUNTIFS(contents!W:W,followers!E31)&gt;0,"Yes","")</f>
        <v/>
      </c>
      <c r="F40" t="str">
        <f>TEXT(followers!E31,"aaa")</f>
        <v>토</v>
      </c>
      <c r="G40" s="6">
        <f>followers!E31</f>
        <v>45381</v>
      </c>
    </row>
    <row r="41" spans="1:7">
      <c r="A41" s="52" t="str">
        <f>IF(B41="","",TEXT(followers!E32,"d")&amp;CHAR(10)&amp;TEXT(followers!E32,"aaa"))</f>
        <v>31
일</v>
      </c>
      <c r="B41" s="18">
        <f>IF(followers!C32="","",followers!C32)</f>
        <v>34</v>
      </c>
      <c r="C41" s="18">
        <f>IF(followers!D32="","",followers!D32)</f>
        <v>46</v>
      </c>
      <c r="D41" s="18" t="e">
        <f>IF(COUNTIFS(contents!AA:AA,G:G,contents!C:C,"sponsored")&gt;0,C41+15,NA())</f>
        <v>#N/A</v>
      </c>
      <c r="E41" t="str">
        <f>IF(COUNTIFS(contents!W:W,followers!E32)&gt;0,"Yes","")</f>
        <v/>
      </c>
      <c r="F41" t="str">
        <f>TEXT(followers!E32,"aaa")</f>
        <v>일</v>
      </c>
      <c r="G41" s="6">
        <f>followers!E32</f>
        <v>45382</v>
      </c>
    </row>
    <row r="44" spans="1:7">
      <c r="E44" s="25" t="s">
        <v>96</v>
      </c>
    </row>
  </sheetData>
  <phoneticPr fontId="2"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79998168889431442"/>
  </sheetPr>
  <dimension ref="A1:H32"/>
  <sheetViews>
    <sheetView zoomScale="70" zoomScaleNormal="70" workbookViewId="0">
      <selection activeCell="B2" sqref="B2:B32"/>
    </sheetView>
  </sheetViews>
  <sheetFormatPr defaultRowHeight="16.5"/>
  <cols>
    <col min="1" max="1" width="11.125" style="3" bestFit="1" customWidth="1"/>
    <col min="2" max="3" width="9" style="3"/>
    <col min="4" max="4" width="9" style="4"/>
    <col min="5" max="5" width="10.875" bestFit="1" customWidth="1"/>
    <col min="8" max="8" width="11.125" bestFit="1" customWidth="1"/>
  </cols>
  <sheetData>
    <row r="1" spans="1:8">
      <c r="A1" s="3" t="s">
        <v>0</v>
      </c>
      <c r="B1" s="3" t="s">
        <v>1</v>
      </c>
      <c r="C1" s="3" t="s">
        <v>2</v>
      </c>
      <c r="D1" s="4" t="s">
        <v>3</v>
      </c>
      <c r="G1" s="13" t="s">
        <v>16</v>
      </c>
      <c r="H1" s="128">
        <f>DATE(RIGHT(A2,4),LEFT(A2,2),MID(A2,4,2))</f>
        <v>45352</v>
      </c>
    </row>
    <row r="2" spans="1:8">
      <c r="A2" s="3" t="s">
        <v>623</v>
      </c>
      <c r="B2" s="3">
        <v>33</v>
      </c>
      <c r="C2" s="3">
        <v>32</v>
      </c>
      <c r="D2" s="4">
        <v>65</v>
      </c>
      <c r="E2" s="6">
        <f>DATE(RIGHT(A2,4),LEFT(A2,2),MID(A2,4,2))</f>
        <v>45352</v>
      </c>
      <c r="G2" s="15" t="s">
        <v>17</v>
      </c>
      <c r="H2" s="129">
        <f>EOMONTH(H1,0)</f>
        <v>45382</v>
      </c>
    </row>
    <row r="3" spans="1:8" ht="17.25" thickBot="1">
      <c r="A3" s="91" t="s">
        <v>624</v>
      </c>
      <c r="B3" s="3">
        <v>16</v>
      </c>
      <c r="C3" s="3">
        <v>30</v>
      </c>
      <c r="D3" s="4">
        <v>46</v>
      </c>
      <c r="E3" s="6">
        <f t="shared" ref="E3:E32" si="0">DATE(RIGHT(A3,4),LEFT(A3,2),MID(A3,4,2))</f>
        <v>45353</v>
      </c>
      <c r="G3" s="14" t="s">
        <v>18</v>
      </c>
      <c r="H3" s="130">
        <f>EOMONTH(H1,-6)</f>
        <v>45199</v>
      </c>
    </row>
    <row r="4" spans="1:8">
      <c r="A4" s="3" t="s">
        <v>625</v>
      </c>
      <c r="B4" s="3">
        <v>17</v>
      </c>
      <c r="C4" s="3">
        <v>31</v>
      </c>
      <c r="D4" s="4">
        <v>48</v>
      </c>
      <c r="E4" s="6">
        <f t="shared" si="0"/>
        <v>45354</v>
      </c>
    </row>
    <row r="5" spans="1:8">
      <c r="A5" s="3" t="s">
        <v>626</v>
      </c>
      <c r="B5" s="3">
        <v>38</v>
      </c>
      <c r="C5" s="3">
        <v>37</v>
      </c>
      <c r="D5" s="4">
        <v>75</v>
      </c>
      <c r="E5" s="6">
        <f t="shared" si="0"/>
        <v>45355</v>
      </c>
    </row>
    <row r="6" spans="1:8">
      <c r="A6" s="3" t="s">
        <v>627</v>
      </c>
      <c r="B6" s="3">
        <v>24</v>
      </c>
      <c r="C6" s="3">
        <v>41</v>
      </c>
      <c r="D6" s="4">
        <v>65</v>
      </c>
      <c r="E6" s="6">
        <f t="shared" si="0"/>
        <v>45356</v>
      </c>
    </row>
    <row r="7" spans="1:8">
      <c r="A7" s="3" t="s">
        <v>628</v>
      </c>
      <c r="B7" s="3">
        <v>33</v>
      </c>
      <c r="C7" s="3">
        <v>39</v>
      </c>
      <c r="D7" s="4">
        <v>72</v>
      </c>
      <c r="E7" s="6">
        <f t="shared" si="0"/>
        <v>45357</v>
      </c>
    </row>
    <row r="8" spans="1:8">
      <c r="A8" s="3" t="s">
        <v>629</v>
      </c>
      <c r="B8" s="3">
        <v>30</v>
      </c>
      <c r="C8" s="3">
        <v>35</v>
      </c>
      <c r="D8" s="4">
        <v>65</v>
      </c>
      <c r="E8" s="6">
        <f t="shared" si="0"/>
        <v>45358</v>
      </c>
    </row>
    <row r="9" spans="1:8">
      <c r="A9" s="3" t="s">
        <v>630</v>
      </c>
      <c r="B9" s="3">
        <v>24</v>
      </c>
      <c r="C9" s="3">
        <v>37</v>
      </c>
      <c r="D9" s="4">
        <v>61</v>
      </c>
      <c r="E9" s="6">
        <f t="shared" si="0"/>
        <v>45359</v>
      </c>
    </row>
    <row r="10" spans="1:8">
      <c r="A10" s="3" t="s">
        <v>631</v>
      </c>
      <c r="B10" s="3">
        <v>22</v>
      </c>
      <c r="C10" s="3">
        <v>30</v>
      </c>
      <c r="D10" s="4">
        <v>52</v>
      </c>
      <c r="E10" s="6">
        <f t="shared" si="0"/>
        <v>45360</v>
      </c>
    </row>
    <row r="11" spans="1:8">
      <c r="A11" s="3" t="s">
        <v>632</v>
      </c>
      <c r="B11" s="3">
        <v>13</v>
      </c>
      <c r="C11" s="3">
        <v>33</v>
      </c>
      <c r="D11" s="4">
        <v>46</v>
      </c>
      <c r="E11" s="6">
        <f t="shared" si="0"/>
        <v>45361</v>
      </c>
    </row>
    <row r="12" spans="1:8">
      <c r="A12" s="3" t="s">
        <v>633</v>
      </c>
      <c r="B12" s="3">
        <v>35</v>
      </c>
      <c r="C12" s="3">
        <v>39</v>
      </c>
      <c r="D12" s="4">
        <v>74</v>
      </c>
      <c r="E12" s="6">
        <f t="shared" si="0"/>
        <v>45362</v>
      </c>
    </row>
    <row r="13" spans="1:8">
      <c r="A13" s="3" t="s">
        <v>634</v>
      </c>
      <c r="B13" s="3">
        <v>24</v>
      </c>
      <c r="C13" s="3">
        <v>44</v>
      </c>
      <c r="D13" s="4">
        <v>68</v>
      </c>
      <c r="E13" s="6">
        <f t="shared" si="0"/>
        <v>45363</v>
      </c>
    </row>
    <row r="14" spans="1:8">
      <c r="A14" s="3" t="s">
        <v>635</v>
      </c>
      <c r="B14" s="3">
        <v>17</v>
      </c>
      <c r="C14" s="3">
        <v>39</v>
      </c>
      <c r="D14" s="4">
        <v>56</v>
      </c>
      <c r="E14" s="6">
        <f t="shared" si="0"/>
        <v>45364</v>
      </c>
    </row>
    <row r="15" spans="1:8">
      <c r="A15" s="3" t="s">
        <v>636</v>
      </c>
      <c r="B15" s="3">
        <v>22</v>
      </c>
      <c r="C15" s="3">
        <v>28</v>
      </c>
      <c r="D15" s="4">
        <v>50</v>
      </c>
      <c r="E15" s="6">
        <f t="shared" si="0"/>
        <v>45365</v>
      </c>
    </row>
    <row r="16" spans="1:8">
      <c r="A16" s="3" t="s">
        <v>637</v>
      </c>
      <c r="B16" s="3">
        <v>19</v>
      </c>
      <c r="C16" s="3">
        <v>32</v>
      </c>
      <c r="D16" s="4">
        <v>51</v>
      </c>
      <c r="E16" s="6">
        <f t="shared" si="0"/>
        <v>45366</v>
      </c>
    </row>
    <row r="17" spans="1:5">
      <c r="A17" s="3" t="s">
        <v>638</v>
      </c>
      <c r="B17" s="3">
        <v>10</v>
      </c>
      <c r="C17" s="3">
        <v>33</v>
      </c>
      <c r="D17" s="4">
        <v>43</v>
      </c>
      <c r="E17" s="6">
        <f t="shared" si="0"/>
        <v>45367</v>
      </c>
    </row>
    <row r="18" spans="1:5">
      <c r="A18" s="3" t="s">
        <v>639</v>
      </c>
      <c r="B18" s="3">
        <v>14</v>
      </c>
      <c r="C18" s="3">
        <v>27</v>
      </c>
      <c r="D18" s="4">
        <v>41</v>
      </c>
      <c r="E18" s="6">
        <f t="shared" si="0"/>
        <v>45368</v>
      </c>
    </row>
    <row r="19" spans="1:5">
      <c r="A19" s="3" t="s">
        <v>640</v>
      </c>
      <c r="B19" s="3">
        <v>23</v>
      </c>
      <c r="C19" s="3">
        <v>34</v>
      </c>
      <c r="D19" s="4">
        <v>57</v>
      </c>
      <c r="E19" s="6">
        <f t="shared" si="0"/>
        <v>45369</v>
      </c>
    </row>
    <row r="20" spans="1:5">
      <c r="A20" s="3" t="s">
        <v>641</v>
      </c>
      <c r="B20" s="3">
        <v>26</v>
      </c>
      <c r="C20" s="3">
        <v>31</v>
      </c>
      <c r="D20" s="4">
        <v>57</v>
      </c>
      <c r="E20" s="6">
        <f t="shared" si="0"/>
        <v>45370</v>
      </c>
    </row>
    <row r="21" spans="1:5">
      <c r="A21" s="3" t="s">
        <v>642</v>
      </c>
      <c r="B21" s="3">
        <v>17</v>
      </c>
      <c r="C21" s="3">
        <v>41</v>
      </c>
      <c r="D21" s="4">
        <v>58</v>
      </c>
      <c r="E21" s="6">
        <f t="shared" si="0"/>
        <v>45371</v>
      </c>
    </row>
    <row r="22" spans="1:5">
      <c r="A22" s="3" t="s">
        <v>643</v>
      </c>
      <c r="B22" s="3">
        <v>19</v>
      </c>
      <c r="C22" s="3">
        <v>57</v>
      </c>
      <c r="D22" s="4">
        <v>76</v>
      </c>
      <c r="E22" s="6">
        <f t="shared" si="0"/>
        <v>45372</v>
      </c>
    </row>
    <row r="23" spans="1:5">
      <c r="A23" s="3" t="s">
        <v>644</v>
      </c>
      <c r="B23" s="3">
        <v>7</v>
      </c>
      <c r="C23" s="3">
        <v>47</v>
      </c>
      <c r="D23" s="4">
        <v>54</v>
      </c>
      <c r="E23" s="6">
        <f t="shared" si="0"/>
        <v>45373</v>
      </c>
    </row>
    <row r="24" spans="1:5">
      <c r="A24" s="3" t="s">
        <v>645</v>
      </c>
      <c r="B24" s="3">
        <v>5</v>
      </c>
      <c r="C24" s="3">
        <v>43</v>
      </c>
      <c r="D24" s="4">
        <v>48</v>
      </c>
      <c r="E24" s="6">
        <f t="shared" si="0"/>
        <v>45374</v>
      </c>
    </row>
    <row r="25" spans="1:5">
      <c r="A25" s="3" t="s">
        <v>646</v>
      </c>
      <c r="B25" s="3">
        <v>10</v>
      </c>
      <c r="C25" s="3">
        <v>24</v>
      </c>
      <c r="D25" s="4">
        <v>34</v>
      </c>
      <c r="E25" s="6">
        <f t="shared" si="0"/>
        <v>45375</v>
      </c>
    </row>
    <row r="26" spans="1:5">
      <c r="A26" s="3" t="s">
        <v>647</v>
      </c>
      <c r="B26" s="3">
        <v>26</v>
      </c>
      <c r="C26" s="3">
        <v>38</v>
      </c>
      <c r="D26" s="4">
        <v>64</v>
      </c>
      <c r="E26" s="6">
        <f t="shared" si="0"/>
        <v>45376</v>
      </c>
    </row>
    <row r="27" spans="1:5">
      <c r="A27" s="3" t="s">
        <v>648</v>
      </c>
      <c r="B27" s="3">
        <v>25</v>
      </c>
      <c r="C27" s="3">
        <v>70</v>
      </c>
      <c r="D27" s="4">
        <v>95</v>
      </c>
      <c r="E27" s="6">
        <f t="shared" si="0"/>
        <v>45377</v>
      </c>
    </row>
    <row r="28" spans="1:5">
      <c r="A28" s="3" t="s">
        <v>649</v>
      </c>
      <c r="B28" s="3">
        <v>28</v>
      </c>
      <c r="C28" s="3">
        <v>90</v>
      </c>
      <c r="D28" s="4">
        <v>118</v>
      </c>
      <c r="E28" s="6">
        <f t="shared" si="0"/>
        <v>45378</v>
      </c>
    </row>
    <row r="29" spans="1:5">
      <c r="A29" s="3" t="s">
        <v>650</v>
      </c>
      <c r="B29" s="3">
        <v>28</v>
      </c>
      <c r="C29" s="3">
        <v>69</v>
      </c>
      <c r="D29" s="4">
        <v>97</v>
      </c>
      <c r="E29" s="6">
        <f t="shared" si="0"/>
        <v>45379</v>
      </c>
    </row>
    <row r="30" spans="1:5">
      <c r="A30" s="3" t="s">
        <v>651</v>
      </c>
      <c r="B30" s="3">
        <v>26</v>
      </c>
      <c r="C30" s="3">
        <v>70</v>
      </c>
      <c r="D30" s="4">
        <v>96</v>
      </c>
      <c r="E30" s="6">
        <f t="shared" si="0"/>
        <v>45380</v>
      </c>
    </row>
    <row r="31" spans="1:5">
      <c r="A31" s="3" t="s">
        <v>652</v>
      </c>
      <c r="B31" s="3">
        <v>18</v>
      </c>
      <c r="C31" s="3">
        <v>44</v>
      </c>
      <c r="D31" s="4">
        <v>62</v>
      </c>
      <c r="E31" s="6">
        <f t="shared" si="0"/>
        <v>45381</v>
      </c>
    </row>
    <row r="32" spans="1:5">
      <c r="A32" s="3" t="s">
        <v>152</v>
      </c>
      <c r="B32" s="3">
        <v>12</v>
      </c>
      <c r="C32" s="3">
        <v>34</v>
      </c>
      <c r="D32" s="4">
        <v>46</v>
      </c>
      <c r="E32" s="6">
        <f t="shared" si="0"/>
        <v>45382</v>
      </c>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79998168889431442"/>
  </sheetPr>
  <dimension ref="A1:T41"/>
  <sheetViews>
    <sheetView zoomScale="70" zoomScaleNormal="70" workbookViewId="0">
      <selection activeCell="Y23" sqref="Y23"/>
    </sheetView>
  </sheetViews>
  <sheetFormatPr defaultRowHeight="16.5"/>
  <cols>
    <col min="3" max="3" width="9.625" bestFit="1" customWidth="1"/>
  </cols>
  <sheetData>
    <row r="1" spans="1:20">
      <c r="R1" s="36"/>
      <c r="S1" s="126" t="str">
        <f>MONTH(followers!H1)&amp;"월"</f>
        <v>3월</v>
      </c>
      <c r="T1" s="127" t="str">
        <f>IF((MONTH(followers!H1)-1)=0,"12월",(MONTH(followers!H1)-1)&amp;"월")</f>
        <v>2월</v>
      </c>
    </row>
    <row r="2" spans="1:20">
      <c r="C2" s="30" t="str">
        <f>CONCATENATE(S8,", ",S9)</f>
        <v>3월 총 페이지 View 수 13,305회 (전월 대비 20.1% 증가), 순 방문자 수: 5,246명 (전월 대비 6.8% 증가)</v>
      </c>
      <c r="R2" s="8" t="s">
        <v>66</v>
      </c>
      <c r="S2" s="37">
        <f>SUM(visitors!V:V)</f>
        <v>13305</v>
      </c>
      <c r="T2" s="38">
        <v>11078</v>
      </c>
    </row>
    <row r="3" spans="1:20">
      <c r="C3" s="31" t="str">
        <f>"팔로우 광고 → "&amp;S10&amp;" / 콘텐츠 광고 → "&amp;S11</f>
        <v>팔로우 광고 → PC 페이지 View 수 전월 대비 13.5% 증가 (7,280회) / 콘텐츠 광고 → Mobile 페이지 View 수 전월 대비 29.2% 증가 (6,025회)</v>
      </c>
      <c r="R3" s="8" t="s">
        <v>67</v>
      </c>
      <c r="S3" s="37">
        <f>SUM(visitors!Y:Y)</f>
        <v>5246</v>
      </c>
      <c r="T3" s="38">
        <v>4914</v>
      </c>
    </row>
    <row r="4" spans="1:20">
      <c r="C4" s="47"/>
      <c r="R4" s="8" t="s">
        <v>68</v>
      </c>
      <c r="S4" s="37">
        <f>SUM(visitors!T:T)</f>
        <v>7280</v>
      </c>
      <c r="T4" s="38">
        <v>6414</v>
      </c>
    </row>
    <row r="5" spans="1:20" ht="17.25" thickBot="1">
      <c r="R5" s="9" t="s">
        <v>69</v>
      </c>
      <c r="S5" s="23">
        <f>SUM(visitors!U:U)</f>
        <v>6025</v>
      </c>
      <c r="T5" s="35">
        <v>4664</v>
      </c>
    </row>
    <row r="6" spans="1:20">
      <c r="C6" s="66"/>
    </row>
    <row r="7" spans="1:20">
      <c r="C7" s="32"/>
    </row>
    <row r="8" spans="1:20">
      <c r="S8" s="18" t="str">
        <f>IF(S2&gt;=T2,MONTH(followers!H1)&amp;"월 총 페이지 View 수 "&amp;TEXT(S2,"#,##0")&amp;"회 (전월 대비 "&amp;TEXT(((S2-T2)/T2),"0.0%")&amp;" 증가)",MONTH(followers!H1)&amp;"월 총 페이지 View 수 "&amp;TEXT(S2,"#,##0")&amp;"회 (전월 대비 "&amp;TEXT(ABS(((S2-T2)/T2)),"0.0%")&amp;" 감소)")</f>
        <v>3월 총 페이지 View 수 13,305회 (전월 대비 20.1% 증가)</v>
      </c>
    </row>
    <row r="9" spans="1:20" ht="17.25" thickBot="1">
      <c r="S9" s="18" t="str">
        <f>IF(S3&gt;=T3,"순 방문자 수: "&amp;TEXT(S3,"#,##0")&amp;"명 (전월 대비 "&amp;TEXT(((S3-T3)/T3),"0.0%")&amp;" 증가)","순 방문자 수: "&amp;TEXT(S3,"#,##0")&amp;"명 (전월 대비 "&amp;TEXT(ABS((((S3-T3)/T3))),"0.0%")&amp;" 감소)")</f>
        <v>순 방문자 수: 5,246명 (전월 대비 6.8% 증가)</v>
      </c>
    </row>
    <row r="10" spans="1:20" ht="17.25" thickBot="1">
      <c r="A10" s="48"/>
      <c r="B10" s="49" t="s">
        <v>80</v>
      </c>
      <c r="C10" s="50" t="s">
        <v>81</v>
      </c>
      <c r="D10" s="25" t="s">
        <v>93</v>
      </c>
      <c r="S10" s="18" t="str">
        <f>IF(S4&gt;=T4,"PC 페이지 View 수 전월 대비 "&amp;TEXT(ABS((S4-T4)/T4),"0.0%")&amp;" 증가 ("&amp;TEXT(S4,"#,##0")&amp;"회)","PC 페이지 View 수 전월 대비 "&amp;TEXT(ABS((S4-T4)/T4),"0.0%")&amp;" 감소 ("&amp;TEXT(S4,"#,##0")&amp;"회)")</f>
        <v>PC 페이지 View 수 전월 대비 13.5% 증가 (7,280회)</v>
      </c>
    </row>
    <row r="11" spans="1:20">
      <c r="A11" s="74" t="str">
        <f>IFERROR(IF(B11="","",TEXT(followers!E2,"d")&amp;CHAR(10)&amp;TEXT(followers!E2,"aaa")),"")</f>
        <v>1
금</v>
      </c>
      <c r="B11" s="75">
        <f>IF(visitors!T2="",NA(),visitors!T2)</f>
        <v>179</v>
      </c>
      <c r="C11" s="75">
        <f>IF(visitors!U2="",NA(),visitors!U2)</f>
        <v>146</v>
      </c>
      <c r="D11" s="18" t="str">
        <f>IF(COUNTIFS(contents!W:W,followers!E2)&gt;0,"Yes","")</f>
        <v/>
      </c>
      <c r="S11" s="18" t="str">
        <f>IF(S5&gt;=T5,"Mobile 페이지 View 수 전월 대비 "&amp;TEXT(ABS((S5-T5)/T5),"0.0%")&amp;" 증가 ("&amp;TEXT(S5,"#,##0")&amp;"회)","Mobile 페이지 View 수 전월 대비 "&amp;TEXT(ABS((S5-T5)/T5),"0.0%")&amp;" 감소 ("&amp;TEXT(S5,"#,##0")&amp;"회)")</f>
        <v>Mobile 페이지 View 수 전월 대비 29.2% 증가 (6,025회)</v>
      </c>
    </row>
    <row r="12" spans="1:20">
      <c r="A12" s="74" t="str">
        <f>IFERROR(IF(B12="","",TEXT(followers!E3,"d")&amp;CHAR(10)&amp;TEXT(followers!E3,"aaa")),"")</f>
        <v>2
토</v>
      </c>
      <c r="B12" s="75">
        <f>IF(visitors!T3="",NA(),visitors!T3)</f>
        <v>120</v>
      </c>
      <c r="C12" s="75">
        <f>IF(visitors!U3="",NA(),visitors!U3)</f>
        <v>133</v>
      </c>
      <c r="D12" s="18" t="str">
        <f>IF(COUNTIFS(contents!W:W,followers!E3)&gt;0,"Yes","")</f>
        <v/>
      </c>
    </row>
    <row r="13" spans="1:20">
      <c r="A13" s="74" t="str">
        <f>IFERROR(IF(B13="","",TEXT(followers!E4,"d")&amp;CHAR(10)&amp;TEXT(followers!E4,"aaa")),"")</f>
        <v>3
일</v>
      </c>
      <c r="B13" s="75">
        <f>IF(visitors!T4="",NA(),visitors!T4)</f>
        <v>99</v>
      </c>
      <c r="C13" s="75">
        <f>IF(visitors!U4="",NA(),visitors!U4)</f>
        <v>121</v>
      </c>
      <c r="D13" s="18" t="str">
        <f>IF(COUNTIFS(contents!W:W,followers!E4)&gt;0,"Yes","")</f>
        <v/>
      </c>
      <c r="T13" s="54" t="str">
        <f>"*"&amp;TEXT(followers!H1,"yyyy.mm.dd.")&amp;" ~ "&amp;TEXT(followers!H2,"yyyy.mm.dd.")</f>
        <v>*2024.03.01. ~ 2024.03.31.</v>
      </c>
    </row>
    <row r="14" spans="1:20">
      <c r="A14" s="74" t="str">
        <f>IFERROR(IF(B14="","",TEXT(followers!E5,"d")&amp;CHAR(10)&amp;TEXT(followers!E5,"aaa")),"")</f>
        <v>4
월</v>
      </c>
      <c r="B14" s="75">
        <f>IF(visitors!T5="",NA(),visitors!T5)</f>
        <v>253</v>
      </c>
      <c r="C14" s="75">
        <f>IF(visitors!U5="",NA(),visitors!U5)</f>
        <v>187</v>
      </c>
      <c r="D14" s="18" t="str">
        <f>IF(COUNTIFS(contents!W:W,followers!E5)&gt;0,"Yes","")</f>
        <v>Yes</v>
      </c>
      <c r="T14" s="53" t="s">
        <v>82</v>
      </c>
    </row>
    <row r="15" spans="1:20">
      <c r="A15" s="74" t="str">
        <f>IFERROR(IF(B15="","",TEXT(followers!E6,"d")&amp;CHAR(10)&amp;TEXT(followers!E6,"aaa")),"")</f>
        <v>5
화</v>
      </c>
      <c r="B15" s="75">
        <f>IF(visitors!T6="",NA(),visitors!T6)</f>
        <v>351</v>
      </c>
      <c r="C15" s="75">
        <f>IF(visitors!U6="",NA(),visitors!U6)</f>
        <v>122</v>
      </c>
      <c r="D15" s="18" t="str">
        <f>IF(COUNTIFS(contents!W:W,followers!E6)&gt;0,"Yes","")</f>
        <v>Yes</v>
      </c>
    </row>
    <row r="16" spans="1:20">
      <c r="A16" s="74" t="str">
        <f>IFERROR(IF(B16="","",TEXT(followers!E7,"d")&amp;CHAR(10)&amp;TEXT(followers!E7,"aaa")),"")</f>
        <v>6
수</v>
      </c>
      <c r="B16" s="75">
        <f>IF(visitors!T7="",NA(),visitors!T7)</f>
        <v>320</v>
      </c>
      <c r="C16" s="75">
        <f>IF(visitors!U7="",NA(),visitors!U7)</f>
        <v>112</v>
      </c>
      <c r="D16" s="18" t="str">
        <f>IF(COUNTIFS(contents!W:W,followers!E7)&gt;0,"Yes","")</f>
        <v/>
      </c>
    </row>
    <row r="17" spans="1:4">
      <c r="A17" s="74" t="str">
        <f>IFERROR(IF(B17="","",TEXT(followers!E8,"d")&amp;CHAR(10)&amp;TEXT(followers!E8,"aaa")),"")</f>
        <v>7
목</v>
      </c>
      <c r="B17" s="75">
        <f>IF(visitors!T8="",NA(),visitors!T8)</f>
        <v>250</v>
      </c>
      <c r="C17" s="75">
        <f>IF(visitors!U8="",NA(),visitors!U8)</f>
        <v>231</v>
      </c>
      <c r="D17" s="18" t="str">
        <f>IF(COUNTIFS(contents!W:W,followers!E8)&gt;0,"Yes","")</f>
        <v>Yes</v>
      </c>
    </row>
    <row r="18" spans="1:4">
      <c r="A18" s="74" t="str">
        <f>IFERROR(IF(B18="","",TEXT(followers!E9,"d")&amp;CHAR(10)&amp;TEXT(followers!E9,"aaa")),"")</f>
        <v>8
금</v>
      </c>
      <c r="B18" s="75">
        <f>IF(visitors!T9="",NA(),visitors!T9)</f>
        <v>280</v>
      </c>
      <c r="C18" s="75">
        <f>IF(visitors!U9="",NA(),visitors!U9)</f>
        <v>272</v>
      </c>
      <c r="D18" s="18" t="str">
        <f>IF(COUNTIFS(contents!W:W,followers!E9)&gt;0,"Yes","")</f>
        <v>Yes</v>
      </c>
    </row>
    <row r="19" spans="1:4">
      <c r="A19" s="74" t="str">
        <f>IFERROR(IF(B19="","",TEXT(followers!E10,"d")&amp;CHAR(10)&amp;TEXT(followers!E10,"aaa")),"")</f>
        <v>9
토</v>
      </c>
      <c r="B19" s="75">
        <f>IF(visitors!T10="",NA(),visitors!T10)</f>
        <v>72</v>
      </c>
      <c r="C19" s="75">
        <f>IF(visitors!U10="",NA(),visitors!U10)</f>
        <v>157</v>
      </c>
      <c r="D19" s="18" t="str">
        <f>IF(COUNTIFS(contents!W:W,followers!E10)&gt;0,"Yes","")</f>
        <v/>
      </c>
    </row>
    <row r="20" spans="1:4">
      <c r="A20" s="74" t="str">
        <f>IFERROR(IF(B20="","",TEXT(followers!E11,"d")&amp;CHAR(10)&amp;TEXT(followers!E11,"aaa")),"")</f>
        <v>10
일</v>
      </c>
      <c r="B20" s="75">
        <f>IF(visitors!T11="",NA(),visitors!T11)</f>
        <v>78</v>
      </c>
      <c r="C20" s="75">
        <f>IF(visitors!U11="",NA(),visitors!U11)</f>
        <v>116</v>
      </c>
      <c r="D20" s="18" t="str">
        <f>IF(COUNTIFS(contents!W:W,followers!E11)&gt;0,"Yes","")</f>
        <v/>
      </c>
    </row>
    <row r="21" spans="1:4">
      <c r="A21" s="74" t="str">
        <f>IFERROR(IF(B21="","",TEXT(followers!E12,"d")&amp;CHAR(10)&amp;TEXT(followers!E12,"aaa")),"")</f>
        <v>11
월</v>
      </c>
      <c r="B21" s="75">
        <f>IF(visitors!T12="",NA(),visitors!T12)</f>
        <v>355</v>
      </c>
      <c r="C21" s="75">
        <f>IF(visitors!U12="",NA(),visitors!U12)</f>
        <v>124</v>
      </c>
      <c r="D21" s="18" t="str">
        <f>IF(COUNTIFS(contents!W:W,followers!E12)&gt;0,"Yes","")</f>
        <v>Yes</v>
      </c>
    </row>
    <row r="22" spans="1:4">
      <c r="A22" s="74" t="str">
        <f>IFERROR(IF(B22="","",TEXT(followers!E13,"d")&amp;CHAR(10)&amp;TEXT(followers!E13,"aaa")),"")</f>
        <v>12
화</v>
      </c>
      <c r="B22" s="75">
        <f>IF(visitors!T13="",NA(),visitors!T13)</f>
        <v>287</v>
      </c>
      <c r="C22" s="75">
        <f>IF(visitors!U13="",NA(),visitors!U13)</f>
        <v>180</v>
      </c>
      <c r="D22" s="18" t="str">
        <f>IF(COUNTIFS(contents!W:W,followers!E13)&gt;0,"Yes","")</f>
        <v/>
      </c>
    </row>
    <row r="23" spans="1:4">
      <c r="A23" s="74" t="str">
        <f>IFERROR(IF(B23="","",TEXT(followers!E14,"d")&amp;CHAR(10)&amp;TEXT(followers!E14,"aaa")),"")</f>
        <v>13
수</v>
      </c>
      <c r="B23" s="75">
        <f>IF(visitors!T14="",NA(),visitors!T14)</f>
        <v>342</v>
      </c>
      <c r="C23" s="75">
        <f>IF(visitors!U14="",NA(),visitors!U14)</f>
        <v>214</v>
      </c>
      <c r="D23" s="18" t="str">
        <f>IF(COUNTIFS(contents!W:W,followers!E14)&gt;0,"Yes","")</f>
        <v>Yes</v>
      </c>
    </row>
    <row r="24" spans="1:4">
      <c r="A24" s="74" t="str">
        <f>IFERROR(IF(B24="","",TEXT(followers!E15,"d")&amp;CHAR(10)&amp;TEXT(followers!E15,"aaa")),"")</f>
        <v>14
목</v>
      </c>
      <c r="B24" s="75">
        <f>IF(visitors!T15="",NA(),visitors!T15)</f>
        <v>309</v>
      </c>
      <c r="C24" s="75">
        <f>IF(visitors!U15="",NA(),visitors!U15)</f>
        <v>276</v>
      </c>
      <c r="D24" s="18" t="str">
        <f>IF(COUNTIFS(contents!W:W,followers!E15)&gt;0,"Yes","")</f>
        <v>Yes</v>
      </c>
    </row>
    <row r="25" spans="1:4">
      <c r="A25" s="74" t="str">
        <f>IFERROR(IF(B25="","",TEXT(followers!E16,"d")&amp;CHAR(10)&amp;TEXT(followers!E16,"aaa")),"")</f>
        <v>15
금</v>
      </c>
      <c r="B25" s="75">
        <f>IF(visitors!T16="",NA(),visitors!T16)</f>
        <v>263</v>
      </c>
      <c r="C25" s="75">
        <f>IF(visitors!U16="",NA(),visitors!U16)</f>
        <v>166</v>
      </c>
      <c r="D25" s="18" t="str">
        <f>IF(COUNTIFS(contents!W:W,followers!E16)&gt;0,"Yes","")</f>
        <v>Yes</v>
      </c>
    </row>
    <row r="26" spans="1:4">
      <c r="A26" s="74" t="str">
        <f>IFERROR(IF(B26="","",TEXT(followers!E17,"d")&amp;CHAR(10)&amp;TEXT(followers!E17,"aaa")),"")</f>
        <v>16
토</v>
      </c>
      <c r="B26" s="75">
        <f>IF(visitors!T17="",NA(),visitors!T17)</f>
        <v>61</v>
      </c>
      <c r="C26" s="75">
        <f>IF(visitors!U17="",NA(),visitors!U17)</f>
        <v>125</v>
      </c>
      <c r="D26" s="18" t="str">
        <f>IF(COUNTIFS(contents!W:W,followers!E17)&gt;0,"Yes","")</f>
        <v/>
      </c>
    </row>
    <row r="27" spans="1:4">
      <c r="A27" s="74" t="str">
        <f>IFERROR(IF(B27="","",TEXT(followers!E18,"d")&amp;CHAR(10)&amp;TEXT(followers!E18,"aaa")),"")</f>
        <v>17
일</v>
      </c>
      <c r="B27" s="75">
        <f>IF(visitors!T18="",NA(),visitors!T18)</f>
        <v>69</v>
      </c>
      <c r="C27" s="75">
        <f>IF(visitors!U18="",NA(),visitors!U18)</f>
        <v>186</v>
      </c>
      <c r="D27" s="18" t="str">
        <f>IF(COUNTIFS(contents!W:W,followers!E18)&gt;0,"Yes","")</f>
        <v/>
      </c>
    </row>
    <row r="28" spans="1:4">
      <c r="A28" s="74" t="str">
        <f>IFERROR(IF(B28="","",TEXT(followers!E19,"d")&amp;CHAR(10)&amp;TEXT(followers!E19,"aaa")),"")</f>
        <v>18
월</v>
      </c>
      <c r="B28" s="75">
        <f>IF(visitors!T19="",NA(),visitors!T19)</f>
        <v>264</v>
      </c>
      <c r="C28" s="75">
        <f>IF(visitors!U19="",NA(),visitors!U19)</f>
        <v>203</v>
      </c>
      <c r="D28" s="18" t="str">
        <f>IF(COUNTIFS(contents!W:W,followers!E19)&gt;0,"Yes","")</f>
        <v>Yes</v>
      </c>
    </row>
    <row r="29" spans="1:4">
      <c r="A29" s="74" t="str">
        <f>IFERROR(IF(B29="","",TEXT(followers!E20,"d")&amp;CHAR(10)&amp;TEXT(followers!E20,"aaa")),"")</f>
        <v>19
화</v>
      </c>
      <c r="B29" s="75">
        <f>IF(visitors!T20="",NA(),visitors!T20)</f>
        <v>332</v>
      </c>
      <c r="C29" s="75">
        <f>IF(visitors!U20="",NA(),visitors!U20)</f>
        <v>268</v>
      </c>
      <c r="D29" s="18" t="str">
        <f>IF(COUNTIFS(contents!W:W,followers!E20)&gt;0,"Yes","")</f>
        <v>Yes</v>
      </c>
    </row>
    <row r="30" spans="1:4">
      <c r="A30" s="74" t="str">
        <f>IFERROR(IF(B30="","",TEXT(followers!E21,"d")&amp;CHAR(10)&amp;TEXT(followers!E21,"aaa")),"")</f>
        <v>20
수</v>
      </c>
      <c r="B30" s="75">
        <f>IF(visitors!T21="",NA(),visitors!T21)</f>
        <v>359</v>
      </c>
      <c r="C30" s="75">
        <f>IF(visitors!U21="",NA(),visitors!U21)</f>
        <v>270</v>
      </c>
      <c r="D30" s="18" t="str">
        <f>IF(COUNTIFS(contents!W:W,followers!E21)&gt;0,"Yes","")</f>
        <v>Yes</v>
      </c>
    </row>
    <row r="31" spans="1:4">
      <c r="A31" s="74" t="str">
        <f>IFERROR(IF(B31="","",TEXT(followers!E22,"d")&amp;CHAR(10)&amp;TEXT(followers!E22,"aaa")),"")</f>
        <v>21
목</v>
      </c>
      <c r="B31" s="75">
        <f>IF(visitors!T22="",NA(),visitors!T22)</f>
        <v>215</v>
      </c>
      <c r="C31" s="75">
        <f>IF(visitors!U22="",NA(),visitors!U22)</f>
        <v>212</v>
      </c>
      <c r="D31" s="18" t="str">
        <f>IF(COUNTIFS(contents!W:W,followers!E22)&gt;0,"Yes","")</f>
        <v>Yes</v>
      </c>
    </row>
    <row r="32" spans="1:4">
      <c r="A32" s="74" t="str">
        <f>IFERROR(IF(B32="","",TEXT(followers!E23,"d")&amp;CHAR(10)&amp;TEXT(followers!E23,"aaa")),"")</f>
        <v>22
금</v>
      </c>
      <c r="B32" s="75">
        <f>IF(visitors!T23="",NA(),visitors!T23)</f>
        <v>210</v>
      </c>
      <c r="C32" s="75">
        <f>IF(visitors!U23="",NA(),visitors!U23)</f>
        <v>164</v>
      </c>
      <c r="D32" s="18" t="str">
        <f>IF(COUNTIFS(contents!W:W,followers!E23)&gt;0,"Yes","")</f>
        <v>Yes</v>
      </c>
    </row>
    <row r="33" spans="1:4">
      <c r="A33" s="74" t="str">
        <f>IFERROR(IF(B33="","",TEXT(followers!E24,"d")&amp;CHAR(10)&amp;TEXT(followers!E24,"aaa")),"")</f>
        <v>23
토</v>
      </c>
      <c r="B33" s="75">
        <f>IF(visitors!T24="",NA(),visitors!T24)</f>
        <v>64</v>
      </c>
      <c r="C33" s="75">
        <f>IF(visitors!U24="",NA(),visitors!U24)</f>
        <v>366</v>
      </c>
      <c r="D33" s="18" t="str">
        <f>IF(COUNTIFS(contents!W:W,followers!E24)&gt;0,"Yes","")</f>
        <v/>
      </c>
    </row>
    <row r="34" spans="1:4">
      <c r="A34" s="74" t="str">
        <f>IFERROR(IF(B34="","",TEXT(followers!E25,"d")&amp;CHAR(10)&amp;TEXT(followers!E25,"aaa")),"")</f>
        <v>24
일</v>
      </c>
      <c r="B34" s="75">
        <f>IF(visitors!T25="",NA(),visitors!T25)</f>
        <v>76</v>
      </c>
      <c r="C34" s="75">
        <f>IF(visitors!U25="",NA(),visitors!U25)</f>
        <v>108</v>
      </c>
      <c r="D34" s="18" t="str">
        <f>IF(COUNTIFS(contents!W:W,followers!E25)&gt;0,"Yes","")</f>
        <v/>
      </c>
    </row>
    <row r="35" spans="1:4">
      <c r="A35" s="74" t="str">
        <f>IFERROR(IF(B35="","",TEXT(followers!E26,"d")&amp;CHAR(10)&amp;TEXT(followers!E26,"aaa")),"")</f>
        <v>25
월</v>
      </c>
      <c r="B35" s="75">
        <f>IF(visitors!T26="",NA(),visitors!T26)</f>
        <v>284</v>
      </c>
      <c r="C35" s="75">
        <f>IF(visitors!U26="",NA(),visitors!U26)</f>
        <v>246</v>
      </c>
      <c r="D35" s="18" t="str">
        <f>IF(COUNTIFS(contents!W:W,followers!E26)&gt;0,"Yes","")</f>
        <v>Yes</v>
      </c>
    </row>
    <row r="36" spans="1:4">
      <c r="A36" s="74" t="str">
        <f>IFERROR(IF(B36="","",TEXT(followers!E27,"d")&amp;CHAR(10)&amp;TEXT(followers!E27,"aaa")),"")</f>
        <v>26
화</v>
      </c>
      <c r="B36" s="75">
        <f>IF(visitors!T27="",NA(),visitors!T27)</f>
        <v>478</v>
      </c>
      <c r="C36" s="75">
        <f>IF(visitors!U27="",NA(),visitors!U27)</f>
        <v>190</v>
      </c>
      <c r="D36" s="18" t="str">
        <f>IF(COUNTIFS(contents!W:W,followers!E27)&gt;0,"Yes","")</f>
        <v>Yes</v>
      </c>
    </row>
    <row r="37" spans="1:4">
      <c r="A37" s="74" t="str">
        <f>IFERROR(IF(B37="","",TEXT(followers!E28,"d")&amp;CHAR(10)&amp;TEXT(followers!E28,"aaa")),"")</f>
        <v>27
수</v>
      </c>
      <c r="B37" s="75">
        <f>IF(visitors!T28="",NA(),visitors!T28)</f>
        <v>564</v>
      </c>
      <c r="C37" s="75">
        <f>IF(visitors!U28="",NA(),visitors!U28)</f>
        <v>300</v>
      </c>
      <c r="D37" s="18" t="str">
        <f>IF(COUNTIFS(contents!W:W,followers!E28)&gt;0,"Yes","")</f>
        <v>Yes</v>
      </c>
    </row>
    <row r="38" spans="1:4">
      <c r="A38" s="74" t="str">
        <f>IFERROR(IF(B38="","",TEXT(followers!E29,"d")&amp;CHAR(10)&amp;TEXT(followers!E29,"aaa")),"")</f>
        <v>28
목</v>
      </c>
      <c r="B38" s="75">
        <f>IF(visitors!T29="",NA(),visitors!T29)</f>
        <v>403</v>
      </c>
      <c r="C38" s="75">
        <f>IF(visitors!U29="",NA(),visitors!U29)</f>
        <v>269</v>
      </c>
      <c r="D38" s="18" t="str">
        <f>IF(COUNTIFS(contents!W:W,followers!E29)&gt;0,"Yes","")</f>
        <v>Yes</v>
      </c>
    </row>
    <row r="39" spans="1:4">
      <c r="A39" s="74" t="str">
        <f>IFERROR(IF(B39="","",TEXT(followers!E30,"d")&amp;CHAR(10)&amp;TEXT(followers!E30,"aaa")),"")</f>
        <v>29
금</v>
      </c>
      <c r="B39" s="75">
        <f>IF(visitors!T30="",NA(),visitors!T30)</f>
        <v>177</v>
      </c>
      <c r="C39" s="75">
        <f>IF(visitors!U30="",NA(),visitors!U30)</f>
        <v>218</v>
      </c>
      <c r="D39" s="18" t="str">
        <f>IF(COUNTIFS(contents!W:W,followers!E30)&gt;0,"Yes","")</f>
        <v>Yes</v>
      </c>
    </row>
    <row r="40" spans="1:4">
      <c r="A40" s="74" t="str">
        <f>IFERROR(IF(B40="","",TEXT(followers!E31,"d")&amp;CHAR(10)&amp;TEXT(followers!E31,"aaa")),"")</f>
        <v>30
토</v>
      </c>
      <c r="B40" s="75">
        <f>IF(visitors!T31="",NA(),visitors!T31)</f>
        <v>77</v>
      </c>
      <c r="C40" s="75">
        <f>IF(visitors!U31="",NA(),visitors!U31)</f>
        <v>187</v>
      </c>
      <c r="D40" s="18" t="str">
        <f>IF(COUNTIFS(contents!W:W,followers!E31)&gt;0,"Yes","")</f>
        <v/>
      </c>
    </row>
    <row r="41" spans="1:4">
      <c r="A41" s="74" t="str">
        <f>IFERROR(IF(B41="","",TEXT(followers!E32,"d")&amp;CHAR(10)&amp;TEXT(followers!E32,"aaa")),"")</f>
        <v>31
일</v>
      </c>
      <c r="B41" s="75">
        <f>IF(visitors!T32="",NA(),visitors!T32)</f>
        <v>89</v>
      </c>
      <c r="C41" s="75">
        <f>IF(visitors!U32="",NA(),visitors!U32)</f>
        <v>156</v>
      </c>
      <c r="D41" s="18" t="str">
        <f>IF(COUNTIFS(contents!W:W,followers!E32)&gt;0,"Yes","")</f>
        <v/>
      </c>
    </row>
  </sheetData>
  <phoneticPr fontId="2"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79998168889431442"/>
  </sheetPr>
  <dimension ref="A1:AN48"/>
  <sheetViews>
    <sheetView zoomScale="70" zoomScaleNormal="70" workbookViewId="0">
      <selection activeCell="S28" sqref="S28"/>
    </sheetView>
  </sheetViews>
  <sheetFormatPr defaultRowHeight="16.5"/>
  <cols>
    <col min="3" max="3" width="11.125" customWidth="1"/>
    <col min="4" max="4" width="5.75" style="95" customWidth="1"/>
    <col min="6" max="6" width="11.125" customWidth="1"/>
    <col min="7" max="7" width="5.75" style="95" customWidth="1"/>
    <col min="9" max="9" width="11.125" customWidth="1"/>
    <col min="10" max="10" width="5.75" style="95" customWidth="1"/>
    <col min="11" max="11" width="7.375" customWidth="1"/>
    <col min="14" max="14" width="10.75" bestFit="1" customWidth="1"/>
    <col min="19" max="19" width="10.75" bestFit="1" customWidth="1"/>
    <col min="20" max="20" width="10.75" customWidth="1"/>
    <col min="23" max="23" width="10.75" bestFit="1" customWidth="1"/>
    <col min="27" max="27" width="10.75" bestFit="1" customWidth="1"/>
    <col min="35" max="35" width="9.5" bestFit="1" customWidth="1"/>
    <col min="39" max="39" width="10.75" bestFit="1" customWidth="1"/>
  </cols>
  <sheetData>
    <row r="1" spans="1:40" s="125" customFormat="1">
      <c r="A1" s="125" t="s">
        <v>150</v>
      </c>
    </row>
    <row r="2" spans="1:40" ht="17.25" thickBot="1">
      <c r="N2" t="s">
        <v>61</v>
      </c>
    </row>
    <row r="3" spans="1:40" ht="17.25" thickBot="1">
      <c r="A3" s="123"/>
      <c r="B3" s="122"/>
      <c r="C3" s="355" t="s">
        <v>137</v>
      </c>
      <c r="D3" s="356"/>
      <c r="E3" s="357"/>
      <c r="F3" s="358" t="s">
        <v>136</v>
      </c>
      <c r="G3" s="356"/>
      <c r="H3" s="357"/>
      <c r="I3" s="358" t="s">
        <v>340</v>
      </c>
      <c r="J3" s="356"/>
      <c r="K3" s="359"/>
      <c r="N3" s="349" t="s">
        <v>341</v>
      </c>
      <c r="O3" s="350"/>
      <c r="P3" s="351"/>
    </row>
    <row r="4" spans="1:40" ht="17.25" thickBot="1">
      <c r="A4" s="111" t="s">
        <v>149</v>
      </c>
      <c r="B4" s="121" t="s">
        <v>146</v>
      </c>
      <c r="C4" s="119" t="s">
        <v>143</v>
      </c>
      <c r="D4" s="102" t="s">
        <v>145</v>
      </c>
      <c r="E4" s="120" t="s">
        <v>147</v>
      </c>
      <c r="F4" s="119" t="s">
        <v>143</v>
      </c>
      <c r="G4" s="102" t="s">
        <v>145</v>
      </c>
      <c r="H4" s="120" t="s">
        <v>147</v>
      </c>
      <c r="I4" s="119" t="s">
        <v>143</v>
      </c>
      <c r="J4" s="102" t="s">
        <v>145</v>
      </c>
      <c r="K4" s="101" t="s">
        <v>147</v>
      </c>
      <c r="N4" s="142" t="s">
        <v>144</v>
      </c>
      <c r="O4" s="143" t="s">
        <v>146</v>
      </c>
      <c r="P4" s="227" t="s">
        <v>148</v>
      </c>
    </row>
    <row r="5" spans="1:40">
      <c r="A5" s="353"/>
      <c r="B5" s="108" t="s">
        <v>129</v>
      </c>
      <c r="C5" s="103"/>
      <c r="D5" s="105"/>
      <c r="E5" s="104"/>
      <c r="F5" s="103"/>
      <c r="G5" s="105"/>
      <c r="H5" s="104"/>
      <c r="I5" s="103">
        <v>45323</v>
      </c>
      <c r="J5" s="105">
        <v>45323</v>
      </c>
      <c r="K5" s="104">
        <v>206</v>
      </c>
      <c r="N5" s="228" t="str">
        <f>IF(TEXT(followers!$H$1,"aaa")=$B5,followers!$H$1,"")</f>
        <v/>
      </c>
      <c r="O5" s="229" t="str">
        <f>IF(TEXT(followers!$H$1,"aaa")=$B5,followers!H1,"")</f>
        <v/>
      </c>
      <c r="P5" s="230" t="e" cm="1">
        <f t="array" ref="P5">IFERROR(INDEX(visitors!$A$1:$Y$32,DAY(N5)+1,MATCH($N$2,visitors!$1:$1,0)),NA())</f>
        <v>#N/A</v>
      </c>
    </row>
    <row r="6" spans="1:40">
      <c r="A6" s="353"/>
      <c r="B6" s="109" t="s">
        <v>130</v>
      </c>
      <c r="C6" s="103">
        <v>45261</v>
      </c>
      <c r="D6" s="105">
        <v>45261</v>
      </c>
      <c r="E6" s="104">
        <v>136</v>
      </c>
      <c r="F6" s="103"/>
      <c r="G6" s="105"/>
      <c r="H6" s="104"/>
      <c r="I6" s="103">
        <v>45324</v>
      </c>
      <c r="J6" s="105">
        <v>45324</v>
      </c>
      <c r="K6" s="104">
        <v>165</v>
      </c>
      <c r="N6" s="228">
        <f>IF(N5&lt;&gt;"",N5+1,IF(TEXT(followers!$H$1,"aaa")=$B6,followers!$H$1,""))</f>
        <v>45352</v>
      </c>
      <c r="O6" s="229">
        <f>IF(O5&lt;&gt;"",O5+1,IF(TEXT(followers!$H$1,"aaa")=$B6,followers!$H$1,""))</f>
        <v>45352</v>
      </c>
      <c r="P6" s="230" cm="1">
        <f t="array" ref="P6">IFERROR(INDEX(visitors!$A$1:$Y$32,DAY(N6)+1,MATCH($N$2,visitors!$1:$1,0)),NA())</f>
        <v>146</v>
      </c>
    </row>
    <row r="7" spans="1:40">
      <c r="A7" s="353"/>
      <c r="B7" s="109" t="s">
        <v>132</v>
      </c>
      <c r="C7" s="103">
        <v>45262</v>
      </c>
      <c r="D7" s="105">
        <v>45262</v>
      </c>
      <c r="E7" s="104">
        <v>63</v>
      </c>
      <c r="F7" s="103"/>
      <c r="G7" s="105"/>
      <c r="H7" s="104"/>
      <c r="I7" s="103">
        <v>45325</v>
      </c>
      <c r="J7" s="105">
        <v>45325</v>
      </c>
      <c r="K7" s="104">
        <v>134</v>
      </c>
      <c r="N7" s="228">
        <f>IF(N6&lt;&gt;"",N6+1,IF(TEXT(followers!$H$1,"aaa")=$B7,followers!$H$1,""))</f>
        <v>45353</v>
      </c>
      <c r="O7" s="229">
        <f>IF(O6&lt;&gt;"",O6+1,IF(TEXT(followers!$H$1,"aaa")=$B7,followers!$H$1,""))</f>
        <v>45353</v>
      </c>
      <c r="P7" s="230" cm="1">
        <f t="array" ref="P7">IFERROR(INDEX(visitors!$A$1:$Y$32,DAY(N7)+1,MATCH($N$2,visitors!$1:$1,0)),NA())</f>
        <v>133</v>
      </c>
    </row>
    <row r="8" spans="1:40" ht="17.25" thickBot="1">
      <c r="A8" s="353"/>
      <c r="B8" s="112" t="s">
        <v>134</v>
      </c>
      <c r="C8" s="113">
        <v>45263</v>
      </c>
      <c r="D8" s="114">
        <v>45263</v>
      </c>
      <c r="E8" s="115">
        <v>89</v>
      </c>
      <c r="F8" s="113"/>
      <c r="G8" s="114"/>
      <c r="H8" s="115"/>
      <c r="I8" s="113">
        <v>45326</v>
      </c>
      <c r="J8" s="114">
        <v>45326</v>
      </c>
      <c r="K8" s="115">
        <v>101</v>
      </c>
      <c r="N8" s="231">
        <f>IF(N7&lt;&gt;"",N7+1,IF(TEXT(followers!$H$1,"aaa")=$B8,followers!$H$1,""))</f>
        <v>45354</v>
      </c>
      <c r="O8" s="232">
        <f>IF(O7&lt;&gt;"",O7+1,IF(TEXT(followers!$H$1,"aaa")=$B8,followers!$H$1,""))</f>
        <v>45354</v>
      </c>
      <c r="P8" s="233" cm="1">
        <f t="array" ref="P8">IFERROR(INDEX(visitors!$A$1:$Y$32,DAY(N8)+1,MATCH($N$2,visitors!$1:$1,0)),NA())</f>
        <v>121</v>
      </c>
    </row>
    <row r="9" spans="1:40">
      <c r="A9" s="352" t="s">
        <v>138</v>
      </c>
      <c r="B9" s="116" t="s">
        <v>128</v>
      </c>
      <c r="C9" s="96">
        <v>45264</v>
      </c>
      <c r="D9" s="117">
        <v>45264</v>
      </c>
      <c r="E9" s="97">
        <v>133</v>
      </c>
      <c r="F9" s="96">
        <v>45292</v>
      </c>
      <c r="G9" s="117">
        <v>45292</v>
      </c>
      <c r="H9" s="97">
        <v>82</v>
      </c>
      <c r="I9" s="96">
        <v>45327</v>
      </c>
      <c r="J9" s="117">
        <v>45327</v>
      </c>
      <c r="K9" s="97">
        <v>147</v>
      </c>
      <c r="N9" s="234">
        <f>IF(N8&lt;&gt;"",N8+1,IF(TEXT(followers!$H$1,"aaa")=$B9,followers!$H$1,""))</f>
        <v>45355</v>
      </c>
      <c r="O9" s="235">
        <f>IF(O8&lt;&gt;"",O8+1,IF(TEXT(followers!$H$1,"aaa")=$B9,followers!$H$1,""))</f>
        <v>45355</v>
      </c>
      <c r="P9" s="226" cm="1">
        <f t="array" ref="P9">IFERROR(INDEX(visitors!$A$1:$Y$32,DAY(N9)+1,MATCH($N$2,visitors!$1:$1,0)),NA())</f>
        <v>187</v>
      </c>
    </row>
    <row r="10" spans="1:40">
      <c r="A10" s="353"/>
      <c r="B10" s="109" t="s">
        <v>125</v>
      </c>
      <c r="C10" s="98">
        <v>45265</v>
      </c>
      <c r="D10" s="106">
        <v>45265</v>
      </c>
      <c r="E10" s="99">
        <v>94</v>
      </c>
      <c r="F10" s="98">
        <v>45293</v>
      </c>
      <c r="G10" s="106">
        <v>45293</v>
      </c>
      <c r="H10" s="99">
        <v>125</v>
      </c>
      <c r="I10" s="98">
        <v>45328</v>
      </c>
      <c r="J10" s="106">
        <v>45328</v>
      </c>
      <c r="K10" s="99">
        <v>140</v>
      </c>
      <c r="N10" s="236">
        <f>IF(N9&lt;&gt;"",N9+1,IF(TEXT(followers!$H$1,"aaa")=$B10,followers!$H$1,""))</f>
        <v>45356</v>
      </c>
      <c r="O10" s="237">
        <f>IF(O9&lt;&gt;"",O9+1,IF(TEXT(followers!$H$1,"aaa")=$B10,followers!$H$1,""))</f>
        <v>45356</v>
      </c>
      <c r="P10" s="166" cm="1">
        <f t="array" ref="P10">IFERROR(INDEX(visitors!$A$1:$Y$32,DAY(N10)+1,MATCH($N$2,visitors!$1:$1,0)),NA())</f>
        <v>122</v>
      </c>
      <c r="AI10" s="6"/>
      <c r="AJ10" s="124"/>
      <c r="AK10" s="95"/>
      <c r="AM10" s="6"/>
      <c r="AN10" s="124"/>
    </row>
    <row r="11" spans="1:40">
      <c r="A11" s="353"/>
      <c r="B11" s="109" t="s">
        <v>127</v>
      </c>
      <c r="C11" s="98">
        <v>45266</v>
      </c>
      <c r="D11" s="106">
        <v>45266</v>
      </c>
      <c r="E11" s="99">
        <v>47</v>
      </c>
      <c r="F11" s="98">
        <v>45294</v>
      </c>
      <c r="G11" s="106">
        <v>45294</v>
      </c>
      <c r="H11" s="99">
        <v>129</v>
      </c>
      <c r="I11" s="98">
        <v>45329</v>
      </c>
      <c r="J11" s="106">
        <v>45329</v>
      </c>
      <c r="K11" s="99">
        <v>188</v>
      </c>
      <c r="N11" s="236">
        <f>IF(N10&lt;&gt;"",N10+1,IF(TEXT(followers!$H$1,"aaa")=$B11,followers!$H$1,""))</f>
        <v>45357</v>
      </c>
      <c r="O11" s="237">
        <f>IF(O10&lt;&gt;"",O10+1,IF(TEXT(followers!$H$1,"aaa")=$B11,followers!$H$1,""))</f>
        <v>45357</v>
      </c>
      <c r="P11" s="166" cm="1">
        <f t="array" ref="P11">IFERROR(INDEX(visitors!$A$1:$Y$32,DAY(N11)+1,MATCH($N$2,visitors!$1:$1,0)),NA())</f>
        <v>112</v>
      </c>
      <c r="AI11" s="6"/>
      <c r="AJ11" s="124"/>
      <c r="AK11" s="95"/>
      <c r="AM11" s="6"/>
      <c r="AN11" s="124"/>
    </row>
    <row r="12" spans="1:40">
      <c r="A12" s="353"/>
      <c r="B12" s="109" t="s">
        <v>129</v>
      </c>
      <c r="C12" s="98">
        <v>45267</v>
      </c>
      <c r="D12" s="106">
        <v>45267</v>
      </c>
      <c r="E12" s="99">
        <v>107</v>
      </c>
      <c r="F12" s="98">
        <v>45295</v>
      </c>
      <c r="G12" s="106">
        <v>45295</v>
      </c>
      <c r="H12" s="99">
        <v>170</v>
      </c>
      <c r="I12" s="98">
        <v>45330</v>
      </c>
      <c r="J12" s="106">
        <v>45330</v>
      </c>
      <c r="K12" s="99">
        <v>169</v>
      </c>
      <c r="N12" s="236">
        <f>IF(N11&lt;&gt;"",N11+1,IF(TEXT(followers!$H$1,"aaa")=$B12,followers!$H$1,""))</f>
        <v>45358</v>
      </c>
      <c r="O12" s="237">
        <f>IF(O11&lt;&gt;"",O11+1,IF(TEXT(followers!$H$1,"aaa")=$B12,followers!$H$1,""))</f>
        <v>45358</v>
      </c>
      <c r="P12" s="166" cm="1">
        <f t="array" ref="P12">IFERROR(INDEX(visitors!$A$1:$Y$32,DAY(N12)+1,MATCH($N$2,visitors!$1:$1,0)),NA())</f>
        <v>231</v>
      </c>
      <c r="AI12" s="6"/>
      <c r="AJ12" s="124"/>
      <c r="AK12" s="95"/>
      <c r="AM12" s="6"/>
      <c r="AN12" s="124"/>
    </row>
    <row r="13" spans="1:40">
      <c r="A13" s="353"/>
      <c r="B13" s="109" t="s">
        <v>130</v>
      </c>
      <c r="C13" s="98">
        <v>45268</v>
      </c>
      <c r="D13" s="106">
        <v>45268</v>
      </c>
      <c r="E13" s="99">
        <v>207</v>
      </c>
      <c r="F13" s="98">
        <v>45296</v>
      </c>
      <c r="G13" s="106">
        <v>45296</v>
      </c>
      <c r="H13" s="99">
        <v>226</v>
      </c>
      <c r="I13" s="98">
        <v>45331</v>
      </c>
      <c r="J13" s="106">
        <v>45331</v>
      </c>
      <c r="K13" s="99">
        <v>137</v>
      </c>
      <c r="N13" s="236">
        <f>IF(N12&lt;&gt;"",N12+1,IF(TEXT(followers!$H$1,"aaa")=$B13,followers!$H$1,""))</f>
        <v>45359</v>
      </c>
      <c r="O13" s="237">
        <f>IF(O12&lt;&gt;"",O12+1,IF(TEXT(followers!$H$1,"aaa")=$B13,followers!$H$1,""))</f>
        <v>45359</v>
      </c>
      <c r="P13" s="166" cm="1">
        <f t="array" ref="P13">IFERROR(INDEX(visitors!$A$1:$Y$32,DAY(N13)+1,MATCH($N$2,visitors!$1:$1,0)),NA())</f>
        <v>272</v>
      </c>
      <c r="S13" s="6"/>
      <c r="T13" s="118"/>
      <c r="U13" s="95"/>
      <c r="W13" s="6"/>
      <c r="X13" s="118"/>
      <c r="Y13" s="95"/>
      <c r="AA13" s="6"/>
      <c r="AB13" s="118"/>
      <c r="AI13" s="6"/>
      <c r="AJ13" s="124"/>
      <c r="AK13" s="95"/>
      <c r="AM13" s="6"/>
      <c r="AN13" s="124"/>
    </row>
    <row r="14" spans="1:40">
      <c r="A14" s="353"/>
      <c r="B14" s="109" t="s">
        <v>132</v>
      </c>
      <c r="C14" s="98">
        <v>45269</v>
      </c>
      <c r="D14" s="106">
        <v>45269</v>
      </c>
      <c r="E14" s="99">
        <v>95</v>
      </c>
      <c r="F14" s="98">
        <v>45297</v>
      </c>
      <c r="G14" s="106">
        <v>45297</v>
      </c>
      <c r="H14" s="99">
        <v>154</v>
      </c>
      <c r="I14" s="98">
        <v>45332</v>
      </c>
      <c r="J14" s="106">
        <v>45332</v>
      </c>
      <c r="K14" s="99">
        <v>135</v>
      </c>
      <c r="N14" s="236">
        <f>IF(N13&lt;&gt;"",N13+1,IF(TEXT(followers!$H$1,"aaa")=$B14,followers!$H$1,""))</f>
        <v>45360</v>
      </c>
      <c r="O14" s="237">
        <f>IF(O13&lt;&gt;"",O13+1,IF(TEXT(followers!$H$1,"aaa")=$B14,followers!$H$1,""))</f>
        <v>45360</v>
      </c>
      <c r="P14" s="166" cm="1">
        <f t="array" ref="P14">IFERROR(INDEX(visitors!$A$1:$Y$32,DAY(N14)+1,MATCH($N$2,visitors!$1:$1,0)),NA())</f>
        <v>157</v>
      </c>
      <c r="S14" s="6"/>
      <c r="T14" s="118"/>
      <c r="U14" s="95"/>
      <c r="W14" s="6"/>
      <c r="X14" s="118"/>
      <c r="Y14" s="95"/>
      <c r="AA14" s="6"/>
      <c r="AB14" s="118"/>
      <c r="AI14" s="6"/>
      <c r="AJ14" s="124"/>
      <c r="AK14" s="95"/>
      <c r="AM14" s="6"/>
      <c r="AN14" s="124"/>
    </row>
    <row r="15" spans="1:40" ht="17.25" thickBot="1">
      <c r="A15" s="354"/>
      <c r="B15" s="110" t="s">
        <v>134</v>
      </c>
      <c r="C15" s="100">
        <v>45270</v>
      </c>
      <c r="D15" s="107">
        <v>45270</v>
      </c>
      <c r="E15" s="101">
        <v>105</v>
      </c>
      <c r="F15" s="100">
        <v>45298</v>
      </c>
      <c r="G15" s="107">
        <v>45298</v>
      </c>
      <c r="H15" s="101">
        <v>101</v>
      </c>
      <c r="I15" s="100">
        <v>45333</v>
      </c>
      <c r="J15" s="107">
        <v>45333</v>
      </c>
      <c r="K15" s="101">
        <v>152</v>
      </c>
      <c r="N15" s="238">
        <f>IF(N14&lt;&gt;"",N14+1,IF(TEXT(followers!$H$1,"aaa")=$B15,followers!$H$1,""))</f>
        <v>45361</v>
      </c>
      <c r="O15" s="239">
        <f>IF(O14&lt;&gt;"",O14+1,IF(TEXT(followers!$H$1,"aaa")=$B15,followers!$H$1,""))</f>
        <v>45361</v>
      </c>
      <c r="P15" s="227" cm="1">
        <f t="array" ref="P15">IFERROR(INDEX(visitors!$A$1:$Y$32,DAY(N15)+1,MATCH($N$2,visitors!$1:$1,0)),NA())</f>
        <v>116</v>
      </c>
      <c r="S15" s="6"/>
      <c r="T15" s="118"/>
      <c r="U15" s="95"/>
      <c r="W15" s="6"/>
      <c r="X15" s="118"/>
      <c r="Y15" s="95"/>
      <c r="AA15" s="6"/>
      <c r="AB15" s="118"/>
      <c r="AI15" s="6"/>
      <c r="AJ15" s="124"/>
      <c r="AK15" s="95"/>
      <c r="AM15" s="6"/>
      <c r="AN15" s="124"/>
    </row>
    <row r="16" spans="1:40">
      <c r="A16" s="352" t="s">
        <v>140</v>
      </c>
      <c r="B16" s="116" t="s">
        <v>4</v>
      </c>
      <c r="C16" s="96">
        <v>45271</v>
      </c>
      <c r="D16" s="117">
        <v>45271</v>
      </c>
      <c r="E16" s="97">
        <v>87</v>
      </c>
      <c r="F16" s="96">
        <v>45299</v>
      </c>
      <c r="G16" s="117">
        <v>45299</v>
      </c>
      <c r="H16" s="97">
        <v>76</v>
      </c>
      <c r="I16" s="96">
        <v>45334</v>
      </c>
      <c r="J16" s="117">
        <v>45334</v>
      </c>
      <c r="K16" s="97">
        <v>120</v>
      </c>
      <c r="N16" s="234">
        <f>IF(N15&lt;&gt;"",N15+1,IF(TEXT(followers!$H$1,"aaa")=$B16,followers!$H$1,""))</f>
        <v>45362</v>
      </c>
      <c r="O16" s="235">
        <f>IF(O15&lt;&gt;"",O15+1,IF(TEXT(followers!$H$1,"aaa")=$B16,followers!$H$1,""))</f>
        <v>45362</v>
      </c>
      <c r="P16" s="226" cm="1">
        <f t="array" ref="P16">IFERROR(INDEX(visitors!$A$1:$Y$32,DAY(N16)+1,MATCH($N$2,visitors!$1:$1,0)),NA())</f>
        <v>124</v>
      </c>
      <c r="S16" s="6"/>
      <c r="T16" s="118"/>
      <c r="U16" s="95"/>
      <c r="W16" s="6"/>
      <c r="X16" s="118"/>
      <c r="Y16" s="95"/>
      <c r="AA16" s="6"/>
      <c r="AB16" s="118"/>
      <c r="AI16" s="6"/>
      <c r="AJ16" s="124"/>
      <c r="AK16" s="95"/>
      <c r="AM16" s="6"/>
      <c r="AN16" s="124"/>
    </row>
    <row r="17" spans="1:40">
      <c r="A17" s="353"/>
      <c r="B17" s="109" t="s">
        <v>135</v>
      </c>
      <c r="C17" s="98">
        <v>45272</v>
      </c>
      <c r="D17" s="106">
        <v>45272</v>
      </c>
      <c r="E17" s="99">
        <v>124</v>
      </c>
      <c r="F17" s="98">
        <v>45300</v>
      </c>
      <c r="G17" s="106">
        <v>45300</v>
      </c>
      <c r="H17" s="99">
        <v>99</v>
      </c>
      <c r="I17" s="98">
        <v>45335</v>
      </c>
      <c r="J17" s="106">
        <v>45335</v>
      </c>
      <c r="K17" s="99">
        <v>159</v>
      </c>
      <c r="N17" s="236">
        <f>IF(N16&lt;&gt;"",N16+1,IF(TEXT(followers!$H$1,"aaa")=$B17,followers!$H$1,""))</f>
        <v>45363</v>
      </c>
      <c r="O17" s="237">
        <f>IF(O16&lt;&gt;"",O16+1,IF(TEXT(followers!$H$1,"aaa")=$B17,followers!$H$1,""))</f>
        <v>45363</v>
      </c>
      <c r="P17" s="166" cm="1">
        <f t="array" ref="P17">IFERROR(INDEX(visitors!$A$1:$Y$32,DAY(N17)+1,MATCH($N$2,visitors!$1:$1,0)),NA())</f>
        <v>180</v>
      </c>
      <c r="S17" s="6"/>
      <c r="T17" s="118"/>
      <c r="U17" s="95"/>
      <c r="W17" s="6"/>
      <c r="X17" s="118"/>
      <c r="Y17" s="95"/>
      <c r="AA17" s="6"/>
      <c r="AB17" s="118"/>
      <c r="AI17" s="6"/>
      <c r="AJ17" s="124"/>
      <c r="AK17" s="95"/>
      <c r="AM17" s="6"/>
      <c r="AN17" s="124"/>
    </row>
    <row r="18" spans="1:40">
      <c r="A18" s="353"/>
      <c r="B18" s="109" t="s">
        <v>127</v>
      </c>
      <c r="C18" s="98">
        <v>45273</v>
      </c>
      <c r="D18" s="106">
        <v>45273</v>
      </c>
      <c r="E18" s="99">
        <v>113</v>
      </c>
      <c r="F18" s="98">
        <v>45301</v>
      </c>
      <c r="G18" s="106">
        <v>45301</v>
      </c>
      <c r="H18" s="99">
        <v>122</v>
      </c>
      <c r="I18" s="98">
        <v>45336</v>
      </c>
      <c r="J18" s="106">
        <v>45336</v>
      </c>
      <c r="K18" s="99">
        <v>142</v>
      </c>
      <c r="N18" s="236">
        <f>IF(N17&lt;&gt;"",N17+1,IF(TEXT(followers!$H$1,"aaa")=$B18,followers!$H$1,""))</f>
        <v>45364</v>
      </c>
      <c r="O18" s="237">
        <f>IF(O17&lt;&gt;"",O17+1,IF(TEXT(followers!$H$1,"aaa")=$B18,followers!$H$1,""))</f>
        <v>45364</v>
      </c>
      <c r="P18" s="166" cm="1">
        <f t="array" ref="P18">IFERROR(INDEX(visitors!$A$1:$Y$32,DAY(N18)+1,MATCH($N$2,visitors!$1:$1,0)),NA())</f>
        <v>214</v>
      </c>
      <c r="S18" s="6"/>
      <c r="T18" s="118"/>
      <c r="U18" s="95"/>
      <c r="W18" s="6"/>
      <c r="X18" s="118"/>
      <c r="Y18" s="95"/>
      <c r="AA18" s="6"/>
      <c r="AB18" s="118"/>
      <c r="AI18" s="6"/>
      <c r="AJ18" s="124"/>
      <c r="AK18" s="95"/>
      <c r="AM18" s="6"/>
      <c r="AN18" s="124"/>
    </row>
    <row r="19" spans="1:40">
      <c r="A19" s="353"/>
      <c r="B19" s="109" t="s">
        <v>124</v>
      </c>
      <c r="C19" s="98">
        <v>45274</v>
      </c>
      <c r="D19" s="106">
        <v>45274</v>
      </c>
      <c r="E19" s="99">
        <v>124</v>
      </c>
      <c r="F19" s="98">
        <v>45302</v>
      </c>
      <c r="G19" s="106">
        <v>45302</v>
      </c>
      <c r="H19" s="99">
        <v>121</v>
      </c>
      <c r="I19" s="98">
        <v>45337</v>
      </c>
      <c r="J19" s="106">
        <v>45337</v>
      </c>
      <c r="K19" s="99">
        <v>185</v>
      </c>
      <c r="N19" s="236">
        <f>IF(N18&lt;&gt;"",N18+1,IF(TEXT(followers!$H$1,"aaa")=$B19,followers!$H$1,""))</f>
        <v>45365</v>
      </c>
      <c r="O19" s="237">
        <f>IF(O18&lt;&gt;"",O18+1,IF(TEXT(followers!$H$1,"aaa")=$B19,followers!$H$1,""))</f>
        <v>45365</v>
      </c>
      <c r="P19" s="166" cm="1">
        <f t="array" ref="P19">IFERROR(INDEX(visitors!$A$1:$Y$32,DAY(N19)+1,MATCH($N$2,visitors!$1:$1,0)),NA())</f>
        <v>276</v>
      </c>
      <c r="S19" s="6"/>
      <c r="T19" s="118"/>
      <c r="U19" s="95"/>
      <c r="W19" s="6"/>
      <c r="X19" s="118"/>
      <c r="Y19" s="95"/>
      <c r="AA19" s="6"/>
      <c r="AB19" s="118"/>
      <c r="AI19" s="6"/>
      <c r="AJ19" s="124"/>
      <c r="AK19" s="95"/>
      <c r="AM19" s="6"/>
      <c r="AN19" s="124"/>
    </row>
    <row r="20" spans="1:40">
      <c r="A20" s="353"/>
      <c r="B20" s="109" t="s">
        <v>126</v>
      </c>
      <c r="C20" s="98">
        <v>45275</v>
      </c>
      <c r="D20" s="106">
        <v>45275</v>
      </c>
      <c r="E20" s="99">
        <v>94</v>
      </c>
      <c r="F20" s="98">
        <v>45303</v>
      </c>
      <c r="G20" s="106">
        <v>45303</v>
      </c>
      <c r="H20" s="99">
        <v>142</v>
      </c>
      <c r="I20" s="98">
        <v>45338</v>
      </c>
      <c r="J20" s="106">
        <v>45338</v>
      </c>
      <c r="K20" s="99">
        <v>161</v>
      </c>
      <c r="N20" s="236">
        <f>IF(N19&lt;&gt;"",N19+1,IF(TEXT(followers!$H$1,"aaa")=$B20,followers!$H$1,""))</f>
        <v>45366</v>
      </c>
      <c r="O20" s="237">
        <f>IF(O19&lt;&gt;"",O19+1,IF(TEXT(followers!$H$1,"aaa")=$B20,followers!$H$1,""))</f>
        <v>45366</v>
      </c>
      <c r="P20" s="166" cm="1">
        <f t="array" ref="P20">IFERROR(INDEX(visitors!$A$1:$Y$32,DAY(N20)+1,MATCH($N$2,visitors!$1:$1,0)),NA())</f>
        <v>166</v>
      </c>
      <c r="S20" s="6"/>
      <c r="T20" s="118"/>
      <c r="U20" s="95"/>
      <c r="W20" s="6"/>
      <c r="X20" s="118"/>
      <c r="Y20" s="95"/>
      <c r="AA20" s="6"/>
      <c r="AB20" s="118"/>
      <c r="AI20" s="6"/>
      <c r="AJ20" s="124"/>
      <c r="AK20" s="95"/>
      <c r="AM20" s="6"/>
      <c r="AN20" s="124"/>
    </row>
    <row r="21" spans="1:40">
      <c r="A21" s="353"/>
      <c r="B21" s="109" t="s">
        <v>131</v>
      </c>
      <c r="C21" s="98">
        <v>45276</v>
      </c>
      <c r="D21" s="106">
        <v>45276</v>
      </c>
      <c r="E21" s="99">
        <v>93</v>
      </c>
      <c r="F21" s="98">
        <v>45304</v>
      </c>
      <c r="G21" s="106">
        <v>45304</v>
      </c>
      <c r="H21" s="99">
        <v>58</v>
      </c>
      <c r="I21" s="98">
        <v>45339</v>
      </c>
      <c r="J21" s="106">
        <v>45339</v>
      </c>
      <c r="K21" s="99">
        <v>123</v>
      </c>
      <c r="N21" s="236">
        <f>IF(N20&lt;&gt;"",N20+1,IF(TEXT(followers!$H$1,"aaa")=$B21,followers!$H$1,""))</f>
        <v>45367</v>
      </c>
      <c r="O21" s="237">
        <f>IF(O20&lt;&gt;"",O20+1,IF(TEXT(followers!$H$1,"aaa")=$B21,followers!$H$1,""))</f>
        <v>45367</v>
      </c>
      <c r="P21" s="166" cm="1">
        <f t="array" ref="P21">IFERROR(INDEX(visitors!$A$1:$Y$32,DAY(N21)+1,MATCH($N$2,visitors!$1:$1,0)),NA())</f>
        <v>125</v>
      </c>
      <c r="S21" s="6"/>
      <c r="T21" s="118"/>
      <c r="U21" s="95"/>
      <c r="W21" s="6"/>
      <c r="X21" s="118"/>
      <c r="Y21" s="95"/>
      <c r="AA21" s="6"/>
      <c r="AB21" s="118"/>
      <c r="AI21" s="6"/>
      <c r="AJ21" s="124"/>
      <c r="AK21" s="95"/>
      <c r="AM21" s="6"/>
      <c r="AN21" s="124"/>
    </row>
    <row r="22" spans="1:40" ht="17.25" thickBot="1">
      <c r="A22" s="354"/>
      <c r="B22" s="110" t="s">
        <v>133</v>
      </c>
      <c r="C22" s="100">
        <v>45277</v>
      </c>
      <c r="D22" s="107">
        <v>45277</v>
      </c>
      <c r="E22" s="101">
        <v>76</v>
      </c>
      <c r="F22" s="100">
        <v>45305</v>
      </c>
      <c r="G22" s="107">
        <v>45305</v>
      </c>
      <c r="H22" s="101">
        <v>104</v>
      </c>
      <c r="I22" s="100">
        <v>45340</v>
      </c>
      <c r="J22" s="107">
        <v>45340</v>
      </c>
      <c r="K22" s="101">
        <v>70</v>
      </c>
      <c r="N22" s="238">
        <f>IF(N21&lt;&gt;"",N21+1,IF(TEXT(followers!$H$1,"aaa")=$B22,followers!$H$1,""))</f>
        <v>45368</v>
      </c>
      <c r="O22" s="239">
        <f>IF(O21&lt;&gt;"",O21+1,IF(TEXT(followers!$H$1,"aaa")=$B22,followers!$H$1,""))</f>
        <v>45368</v>
      </c>
      <c r="P22" s="227" cm="1">
        <f t="array" ref="P22">IFERROR(INDEX(visitors!$A$1:$Y$32,DAY(N22)+1,MATCH($N$2,visitors!$1:$1,0)),NA())</f>
        <v>186</v>
      </c>
      <c r="S22" s="6"/>
      <c r="T22" s="118"/>
      <c r="U22" s="95"/>
      <c r="W22" s="6"/>
      <c r="X22" s="118"/>
      <c r="Y22" s="95"/>
      <c r="AA22" s="6"/>
      <c r="AB22" s="118"/>
      <c r="AI22" s="6"/>
      <c r="AJ22" s="124"/>
      <c r="AK22" s="95"/>
      <c r="AM22" s="6"/>
      <c r="AN22" s="124"/>
    </row>
    <row r="23" spans="1:40">
      <c r="A23" s="352" t="s">
        <v>139</v>
      </c>
      <c r="B23" s="116" t="s">
        <v>128</v>
      </c>
      <c r="C23" s="96">
        <v>45278</v>
      </c>
      <c r="D23" s="117">
        <v>45278</v>
      </c>
      <c r="E23" s="97">
        <v>109</v>
      </c>
      <c r="F23" s="96">
        <v>45306</v>
      </c>
      <c r="G23" s="117">
        <v>45306</v>
      </c>
      <c r="H23" s="97">
        <v>98</v>
      </c>
      <c r="I23" s="96">
        <v>45341</v>
      </c>
      <c r="J23" s="117">
        <v>45341</v>
      </c>
      <c r="K23" s="97">
        <v>143</v>
      </c>
      <c r="N23" s="234">
        <f>IF(N22&lt;&gt;"",N22+1,IF(TEXT(followers!$H$1,"aaa")=$B23,followers!$H$1,""))</f>
        <v>45369</v>
      </c>
      <c r="O23" s="235">
        <f>IF(O22&lt;&gt;"",O22+1,IF(TEXT(followers!$H$1,"aaa")=$B23,followers!$H$1,""))</f>
        <v>45369</v>
      </c>
      <c r="P23" s="226" cm="1">
        <f t="array" ref="P23">IFERROR(INDEX(visitors!$A$1:$Y$32,DAY(N23)+1,MATCH($N$2,visitors!$1:$1,0)),NA())</f>
        <v>203</v>
      </c>
      <c r="S23" s="6"/>
      <c r="T23" s="118"/>
      <c r="U23" s="95"/>
      <c r="W23" s="6"/>
      <c r="X23" s="118"/>
      <c r="Y23" s="95"/>
      <c r="AA23" s="6"/>
      <c r="AB23" s="118"/>
      <c r="AI23" s="6"/>
      <c r="AJ23" s="124"/>
      <c r="AK23" s="95"/>
      <c r="AM23" s="6"/>
      <c r="AN23" s="124"/>
    </row>
    <row r="24" spans="1:40">
      <c r="A24" s="353"/>
      <c r="B24" s="109" t="s">
        <v>125</v>
      </c>
      <c r="C24" s="98">
        <v>45279</v>
      </c>
      <c r="D24" s="106">
        <v>45279</v>
      </c>
      <c r="E24" s="99">
        <v>92</v>
      </c>
      <c r="F24" s="98">
        <v>45307</v>
      </c>
      <c r="G24" s="106">
        <v>45307</v>
      </c>
      <c r="H24" s="99">
        <v>184</v>
      </c>
      <c r="I24" s="98">
        <v>45342</v>
      </c>
      <c r="J24" s="106">
        <v>45342</v>
      </c>
      <c r="K24" s="99">
        <v>173</v>
      </c>
      <c r="N24" s="236">
        <f>IF(N23&lt;&gt;"",N23+1,IF(TEXT(followers!$H$1,"aaa")=$B24,followers!$H$1,""))</f>
        <v>45370</v>
      </c>
      <c r="O24" s="237">
        <f>IF(O23&lt;&gt;"",O23+1,IF(TEXT(followers!$H$1,"aaa")=$B24,followers!$H$1,""))</f>
        <v>45370</v>
      </c>
      <c r="P24" s="166" cm="1">
        <f t="array" ref="P24">IFERROR(INDEX(visitors!$A$1:$Y$32,DAY(N24)+1,MATCH($N$2,visitors!$1:$1,0)),NA())</f>
        <v>268</v>
      </c>
      <c r="S24" s="6"/>
      <c r="T24" s="118"/>
      <c r="U24" s="95"/>
      <c r="W24" s="6"/>
      <c r="X24" s="118"/>
      <c r="Y24" s="95"/>
      <c r="AA24" s="6"/>
      <c r="AB24" s="118"/>
      <c r="AI24" s="6"/>
      <c r="AJ24" s="124"/>
      <c r="AK24" s="95"/>
      <c r="AM24" s="6"/>
      <c r="AN24" s="124"/>
    </row>
    <row r="25" spans="1:40">
      <c r="A25" s="353"/>
      <c r="B25" s="109" t="s">
        <v>127</v>
      </c>
      <c r="C25" s="98">
        <v>45280</v>
      </c>
      <c r="D25" s="106">
        <v>45280</v>
      </c>
      <c r="E25" s="99">
        <v>55</v>
      </c>
      <c r="F25" s="98">
        <v>45308</v>
      </c>
      <c r="G25" s="106">
        <v>45308</v>
      </c>
      <c r="H25" s="99">
        <v>236</v>
      </c>
      <c r="I25" s="98">
        <v>45343</v>
      </c>
      <c r="J25" s="106">
        <v>45343</v>
      </c>
      <c r="K25" s="99">
        <v>184</v>
      </c>
      <c r="N25" s="236">
        <f>IF(N24&lt;&gt;"",N24+1,IF(TEXT(followers!$H$1,"aaa")=$B25,followers!$H$1,""))</f>
        <v>45371</v>
      </c>
      <c r="O25" s="237">
        <f>IF(O24&lt;&gt;"",O24+1,IF(TEXT(followers!$H$1,"aaa")=$B25,followers!$H$1,""))</f>
        <v>45371</v>
      </c>
      <c r="P25" s="166" cm="1">
        <f t="array" ref="P25">IFERROR(INDEX(visitors!$A$1:$Y$32,DAY(N25)+1,MATCH($N$2,visitors!$1:$1,0)),NA())</f>
        <v>270</v>
      </c>
      <c r="S25" s="6"/>
      <c r="T25" s="118"/>
      <c r="U25" s="95"/>
      <c r="W25" s="6"/>
      <c r="X25" s="118"/>
      <c r="Y25" s="95"/>
      <c r="AA25" s="6"/>
      <c r="AB25" s="118"/>
      <c r="AI25" s="6"/>
      <c r="AJ25" s="124"/>
      <c r="AK25" s="95"/>
      <c r="AM25" s="6"/>
      <c r="AN25" s="124"/>
    </row>
    <row r="26" spans="1:40">
      <c r="A26" s="353"/>
      <c r="B26" s="109" t="s">
        <v>124</v>
      </c>
      <c r="C26" s="98">
        <v>45281</v>
      </c>
      <c r="D26" s="106">
        <v>45281</v>
      </c>
      <c r="E26" s="99">
        <v>160</v>
      </c>
      <c r="F26" s="98">
        <v>45309</v>
      </c>
      <c r="G26" s="106">
        <v>45309</v>
      </c>
      <c r="H26" s="99">
        <v>196</v>
      </c>
      <c r="I26" s="98">
        <v>45344</v>
      </c>
      <c r="J26" s="106">
        <v>45344</v>
      </c>
      <c r="K26" s="99">
        <v>281</v>
      </c>
      <c r="N26" s="236">
        <f>IF(N25&lt;&gt;"",N25+1,IF(TEXT(followers!$H$1,"aaa")=$B26,followers!$H$1,""))</f>
        <v>45372</v>
      </c>
      <c r="O26" s="237">
        <f>IF(O25&lt;&gt;"",O25+1,IF(TEXT(followers!$H$1,"aaa")=$B26,followers!$H$1,""))</f>
        <v>45372</v>
      </c>
      <c r="P26" s="166" cm="1">
        <f t="array" ref="P26">IFERROR(INDEX(visitors!$A$1:$Y$32,DAY(N26)+1,MATCH($N$2,visitors!$1:$1,0)),NA())</f>
        <v>212</v>
      </c>
      <c r="S26" s="6"/>
      <c r="T26" s="118"/>
      <c r="U26" s="95"/>
      <c r="W26" s="6"/>
      <c r="X26" s="118"/>
      <c r="Y26" s="95"/>
      <c r="AA26" s="6"/>
      <c r="AB26" s="118"/>
      <c r="AI26" s="6"/>
      <c r="AJ26" s="124"/>
      <c r="AK26" s="95"/>
      <c r="AM26" s="6"/>
      <c r="AN26" s="124"/>
    </row>
    <row r="27" spans="1:40">
      <c r="A27" s="353"/>
      <c r="B27" s="109" t="s">
        <v>126</v>
      </c>
      <c r="C27" s="98">
        <v>45282</v>
      </c>
      <c r="D27" s="106">
        <v>45282</v>
      </c>
      <c r="E27" s="99">
        <v>128</v>
      </c>
      <c r="F27" s="98">
        <v>45310</v>
      </c>
      <c r="G27" s="106">
        <v>45310</v>
      </c>
      <c r="H27" s="99">
        <v>114</v>
      </c>
      <c r="I27" s="98">
        <v>45345</v>
      </c>
      <c r="J27" s="106">
        <v>45345</v>
      </c>
      <c r="K27" s="99">
        <v>212</v>
      </c>
      <c r="N27" s="236">
        <f>IF(N26&lt;&gt;"",N26+1,IF(TEXT(followers!$H$1,"aaa")=$B27,followers!$H$1,""))</f>
        <v>45373</v>
      </c>
      <c r="O27" s="237">
        <f>IF(O26&lt;&gt;"",O26+1,IF(TEXT(followers!$H$1,"aaa")=$B27,followers!$H$1,""))</f>
        <v>45373</v>
      </c>
      <c r="P27" s="166" cm="1">
        <f t="array" ref="P27">IFERROR(INDEX(visitors!$A$1:$Y$32,DAY(N27)+1,MATCH($N$2,visitors!$1:$1,0)),NA())</f>
        <v>164</v>
      </c>
      <c r="S27" s="6"/>
      <c r="T27" s="118"/>
      <c r="U27" s="95"/>
      <c r="W27" s="6"/>
      <c r="X27" s="118"/>
      <c r="Y27" s="95"/>
      <c r="AA27" s="6"/>
      <c r="AB27" s="118"/>
      <c r="AI27" s="6"/>
      <c r="AJ27" s="124"/>
      <c r="AK27" s="95"/>
      <c r="AM27" s="6"/>
      <c r="AN27" s="124"/>
    </row>
    <row r="28" spans="1:40">
      <c r="A28" s="353"/>
      <c r="B28" s="109" t="s">
        <v>131</v>
      </c>
      <c r="C28" s="98">
        <v>45283</v>
      </c>
      <c r="D28" s="106">
        <v>45283</v>
      </c>
      <c r="E28" s="99">
        <v>89</v>
      </c>
      <c r="F28" s="98">
        <v>45311</v>
      </c>
      <c r="G28" s="106">
        <v>45311</v>
      </c>
      <c r="H28" s="99">
        <v>116</v>
      </c>
      <c r="I28" s="98">
        <v>45346</v>
      </c>
      <c r="J28" s="106">
        <v>45346</v>
      </c>
      <c r="K28" s="99">
        <v>157</v>
      </c>
      <c r="N28" s="236">
        <f>IF(N27&lt;&gt;"",N27+1,IF(TEXT(followers!$H$1,"aaa")=$B28,followers!$H$1,""))</f>
        <v>45374</v>
      </c>
      <c r="O28" s="237">
        <f>IF(O27&lt;&gt;"",O27+1,IF(TEXT(followers!$H$1,"aaa")=$B28,followers!$H$1,""))</f>
        <v>45374</v>
      </c>
      <c r="P28" s="166" cm="1">
        <f t="array" ref="P28">IFERROR(INDEX(visitors!$A$1:$Y$32,DAY(N28)+1,MATCH($N$2,visitors!$1:$1,0)),NA())</f>
        <v>366</v>
      </c>
      <c r="S28" s="6"/>
      <c r="T28" s="118"/>
      <c r="U28" s="95"/>
      <c r="W28" s="6"/>
      <c r="X28" s="118"/>
      <c r="Y28" s="95"/>
      <c r="AA28" s="6"/>
      <c r="AB28" s="118"/>
      <c r="AI28" s="6"/>
      <c r="AJ28" s="124"/>
      <c r="AK28" s="95"/>
      <c r="AM28" s="6"/>
      <c r="AN28" s="124"/>
    </row>
    <row r="29" spans="1:40" ht="17.25" thickBot="1">
      <c r="A29" s="354"/>
      <c r="B29" s="110" t="s">
        <v>133</v>
      </c>
      <c r="C29" s="100">
        <v>45284</v>
      </c>
      <c r="D29" s="107">
        <v>45284</v>
      </c>
      <c r="E29" s="101">
        <v>41</v>
      </c>
      <c r="F29" s="100">
        <v>45312</v>
      </c>
      <c r="G29" s="107">
        <v>45312</v>
      </c>
      <c r="H29" s="101">
        <v>84</v>
      </c>
      <c r="I29" s="100">
        <v>45347</v>
      </c>
      <c r="J29" s="107">
        <v>45347</v>
      </c>
      <c r="K29" s="101">
        <v>133</v>
      </c>
      <c r="N29" s="238">
        <f>IF(N28&lt;&gt;"",N28+1,IF(TEXT(followers!$H$1,"aaa")=$B29,followers!$H$1,""))</f>
        <v>45375</v>
      </c>
      <c r="O29" s="239">
        <f>IF(O28&lt;&gt;"",O28+1,IF(TEXT(followers!$H$1,"aaa")=$B29,followers!$H$1,""))</f>
        <v>45375</v>
      </c>
      <c r="P29" s="227" cm="1">
        <f t="array" ref="P29">IFERROR(INDEX(visitors!$A$1:$Y$32,DAY(N29)+1,MATCH($N$2,visitors!$1:$1,0)),NA())</f>
        <v>108</v>
      </c>
      <c r="S29" s="6"/>
      <c r="T29" s="118"/>
      <c r="U29" s="95"/>
      <c r="W29" s="6"/>
      <c r="X29" s="118"/>
      <c r="Y29" s="95"/>
      <c r="AA29" s="6"/>
      <c r="AB29" s="118"/>
      <c r="AI29" s="6"/>
      <c r="AJ29" s="124"/>
      <c r="AK29" s="95"/>
      <c r="AM29" s="6"/>
      <c r="AN29" s="124"/>
    </row>
    <row r="30" spans="1:40">
      <c r="A30" s="352" t="s">
        <v>141</v>
      </c>
      <c r="B30" s="116" t="s">
        <v>128</v>
      </c>
      <c r="C30" s="96">
        <v>45285</v>
      </c>
      <c r="D30" s="117">
        <v>45285</v>
      </c>
      <c r="E30" s="97">
        <v>45</v>
      </c>
      <c r="F30" s="96">
        <v>45313</v>
      </c>
      <c r="G30" s="117">
        <v>45313</v>
      </c>
      <c r="H30" s="97">
        <v>134</v>
      </c>
      <c r="I30" s="96">
        <v>45348</v>
      </c>
      <c r="J30" s="117">
        <v>45348</v>
      </c>
      <c r="K30" s="97">
        <v>127</v>
      </c>
      <c r="N30" s="234">
        <f>IF(N29&lt;&gt;"",N29+1,IF(TEXT(followers!$H$1,"aaa")=$B30,followers!$H$1,""))</f>
        <v>45376</v>
      </c>
      <c r="O30" s="235">
        <f>IF(O29&lt;&gt;"",O29+1,IF(TEXT(followers!$H$1,"aaa")=$B30,followers!$H$1,""))</f>
        <v>45376</v>
      </c>
      <c r="P30" s="226" cm="1">
        <f t="array" ref="P30">IFERROR(INDEX(visitors!$A$1:$Y$32,DAY(N30)+1,MATCH($N$2,visitors!$1:$1,0)),NA())</f>
        <v>246</v>
      </c>
      <c r="S30" s="6"/>
      <c r="T30" s="118"/>
      <c r="U30" s="95"/>
      <c r="W30" s="6"/>
      <c r="X30" s="118"/>
      <c r="Y30" s="95"/>
      <c r="AA30" s="6"/>
      <c r="AB30" s="118"/>
      <c r="AI30" s="6"/>
      <c r="AJ30" s="124"/>
      <c r="AK30" s="95"/>
      <c r="AM30" s="6"/>
      <c r="AN30" s="124"/>
    </row>
    <row r="31" spans="1:40">
      <c r="A31" s="353"/>
      <c r="B31" s="109" t="s">
        <v>125</v>
      </c>
      <c r="C31" s="98">
        <v>45286</v>
      </c>
      <c r="D31" s="106">
        <v>45286</v>
      </c>
      <c r="E31" s="99">
        <v>55</v>
      </c>
      <c r="F31" s="98">
        <v>45314</v>
      </c>
      <c r="G31" s="106">
        <v>45314</v>
      </c>
      <c r="H31" s="99">
        <v>101</v>
      </c>
      <c r="I31" s="98">
        <v>45349</v>
      </c>
      <c r="J31" s="106">
        <v>45349</v>
      </c>
      <c r="K31" s="99">
        <v>194</v>
      </c>
      <c r="N31" s="236">
        <f>IF(N30&lt;&gt;"",N30+1,IF(TEXT(followers!$H$1,"aaa")=$B31,followers!$H$1,""))</f>
        <v>45377</v>
      </c>
      <c r="O31" s="237">
        <f>IF(O30&lt;&gt;"",O30+1,IF(TEXT(followers!$H$1,"aaa")=$B31,followers!$H$1,""))</f>
        <v>45377</v>
      </c>
      <c r="P31" s="166" cm="1">
        <f t="array" ref="P31">IFERROR(INDEX(visitors!$A$1:$Y$32,DAY(N31)+1,MATCH($N$2,visitors!$1:$1,0)),NA())</f>
        <v>190</v>
      </c>
      <c r="S31" s="6"/>
      <c r="T31" s="118"/>
      <c r="U31" s="95"/>
      <c r="W31" s="6"/>
      <c r="X31" s="118"/>
      <c r="Y31" s="95"/>
      <c r="AA31" s="6"/>
      <c r="AB31" s="118"/>
      <c r="AI31" s="6"/>
      <c r="AJ31" s="124"/>
      <c r="AK31" s="95"/>
      <c r="AM31" s="6"/>
      <c r="AN31" s="124"/>
    </row>
    <row r="32" spans="1:40">
      <c r="A32" s="353"/>
      <c r="B32" s="109" t="s">
        <v>127</v>
      </c>
      <c r="C32" s="98">
        <v>45287</v>
      </c>
      <c r="D32" s="106">
        <v>45287</v>
      </c>
      <c r="E32" s="99">
        <v>80</v>
      </c>
      <c r="F32" s="98">
        <v>45315</v>
      </c>
      <c r="G32" s="106">
        <v>45315</v>
      </c>
      <c r="H32" s="99">
        <v>76</v>
      </c>
      <c r="I32" s="98">
        <v>45350</v>
      </c>
      <c r="J32" s="106">
        <v>45350</v>
      </c>
      <c r="K32" s="99">
        <v>177</v>
      </c>
      <c r="N32" s="236">
        <f>IF(N31="","",IF(MONTH(N31)&lt;MONTH(N31+1),"",IF(N31&lt;&gt;"",N31+1,IF(TEXT(followers!$H$1,"aaa")=$B31,followers!$H$1,""))))</f>
        <v>45378</v>
      </c>
      <c r="O32" s="237">
        <f>IF(O31="","",IF(MONTH(O31)&lt;MONTH(O31+1),"",IF(O31&lt;&gt;"",O31+1,IF(TEXT(followers!$H$1,"aaa")=$B32,followers!$H$1,""))))</f>
        <v>45378</v>
      </c>
      <c r="P32" s="166" cm="1">
        <f t="array" ref="P32">IFERROR(INDEX(visitors!$A$1:$Y$32,DAY(N32)+1,MATCH($N$2,visitors!$1:$1,0)),NA())</f>
        <v>300</v>
      </c>
      <c r="S32" s="6"/>
      <c r="T32" s="118"/>
      <c r="U32" s="95"/>
      <c r="W32" s="6"/>
      <c r="X32" s="118"/>
      <c r="Y32" s="95"/>
      <c r="AA32" s="6"/>
      <c r="AB32" s="118"/>
      <c r="AI32" s="6"/>
      <c r="AJ32" s="124"/>
      <c r="AK32" s="95"/>
      <c r="AM32" s="6"/>
      <c r="AN32" s="124"/>
    </row>
    <row r="33" spans="1:40">
      <c r="A33" s="353"/>
      <c r="B33" s="109" t="s">
        <v>124</v>
      </c>
      <c r="C33" s="98">
        <v>45288</v>
      </c>
      <c r="D33" s="106">
        <v>45288</v>
      </c>
      <c r="E33" s="99">
        <v>177</v>
      </c>
      <c r="F33" s="98">
        <v>45316</v>
      </c>
      <c r="G33" s="106">
        <v>45316</v>
      </c>
      <c r="H33" s="99">
        <v>157</v>
      </c>
      <c r="I33" s="98">
        <v>45351</v>
      </c>
      <c r="J33" s="106">
        <v>45351</v>
      </c>
      <c r="K33" s="99">
        <v>249</v>
      </c>
      <c r="N33" s="236">
        <f>IF(N32="","",IF(MONTH(N32)&lt;MONTH(N32+1),"",IF(N32&lt;&gt;"",N32+1,IF(TEXT(followers!$H$1,"aaa")=$B32,followers!$H$1,""))))</f>
        <v>45379</v>
      </c>
      <c r="O33" s="237">
        <f>IF(O32="","",IF(MONTH(O32)&lt;MONTH(O32+1),"",IF(O32&lt;&gt;"",O32+1,IF(TEXT(followers!$H$1,"aaa")=$B33,followers!$H$1,""))))</f>
        <v>45379</v>
      </c>
      <c r="P33" s="166" cm="1">
        <f t="array" ref="P33">IFERROR(INDEX(visitors!$A$1:$Y$32,DAY(N33)+1,MATCH($N$2,visitors!$1:$1,0)),NA())</f>
        <v>269</v>
      </c>
      <c r="S33" s="6"/>
      <c r="T33" s="118"/>
      <c r="U33" s="95"/>
      <c r="W33" s="6"/>
      <c r="X33" s="118"/>
      <c r="Y33" s="95"/>
      <c r="AA33" s="6"/>
      <c r="AB33" s="118"/>
      <c r="AI33" s="6"/>
      <c r="AJ33" s="124"/>
      <c r="AK33" s="95"/>
      <c r="AM33" s="6"/>
      <c r="AN33" s="124"/>
    </row>
    <row r="34" spans="1:40">
      <c r="A34" s="353"/>
      <c r="B34" s="109" t="s">
        <v>126</v>
      </c>
      <c r="C34" s="98">
        <v>45289</v>
      </c>
      <c r="D34" s="106">
        <v>45289</v>
      </c>
      <c r="E34" s="99">
        <v>119</v>
      </c>
      <c r="F34" s="98">
        <v>45317</v>
      </c>
      <c r="G34" s="106">
        <v>45317</v>
      </c>
      <c r="H34" s="99">
        <v>197</v>
      </c>
      <c r="I34" s="98" t="s">
        <v>39</v>
      </c>
      <c r="J34" s="106" t="s">
        <v>39</v>
      </c>
      <c r="K34" s="99" t="e">
        <v>#N/A</v>
      </c>
      <c r="N34" s="236">
        <f>IF(N33="","",IF(MONTH(N33)&lt;MONTH(N33+1),"",IF(N33&lt;&gt;"",N33+1,IF(TEXT(followers!$H$1,"aaa")=$B33,followers!$H$1,""))))</f>
        <v>45380</v>
      </c>
      <c r="O34" s="237">
        <f>IF(O33="","",IF(MONTH(O33)&lt;MONTH(O33+1),"",IF(O33&lt;&gt;"",O33+1,IF(TEXT(followers!$H$1,"aaa")=$B34,followers!$H$1,""))))</f>
        <v>45380</v>
      </c>
      <c r="P34" s="166" cm="1">
        <f t="array" ref="P34">IFERROR(INDEX(visitors!$A$1:$Y$32,DAY(N34)+1,MATCH($N$2,visitors!$1:$1,0)),NA())</f>
        <v>218</v>
      </c>
      <c r="S34" s="6"/>
      <c r="T34" s="118"/>
      <c r="U34" s="95"/>
      <c r="W34" s="6"/>
      <c r="X34" s="118"/>
      <c r="Y34" s="95"/>
      <c r="AA34" s="6"/>
      <c r="AB34" s="118"/>
      <c r="AI34" s="6"/>
      <c r="AJ34" s="124"/>
      <c r="AK34" s="95"/>
      <c r="AM34" s="6"/>
      <c r="AN34" s="124"/>
    </row>
    <row r="35" spans="1:40">
      <c r="A35" s="353"/>
      <c r="B35" s="109" t="s">
        <v>131</v>
      </c>
      <c r="C35" s="98">
        <v>45290</v>
      </c>
      <c r="D35" s="106">
        <v>45290</v>
      </c>
      <c r="E35" s="99">
        <v>109</v>
      </c>
      <c r="F35" s="98">
        <v>45318</v>
      </c>
      <c r="G35" s="106">
        <v>45318</v>
      </c>
      <c r="H35" s="99">
        <v>98</v>
      </c>
      <c r="I35" s="98" t="s">
        <v>39</v>
      </c>
      <c r="J35" s="106" t="s">
        <v>39</v>
      </c>
      <c r="K35" s="99" t="e">
        <v>#N/A</v>
      </c>
      <c r="N35" s="236">
        <f>IF(N34="","",IF(MONTH(N34)&lt;MONTH(N34+1),"",IF(N34&lt;&gt;"",N34+1,IF(TEXT(followers!$H$1,"aaa")=$B34,followers!$H$1,""))))</f>
        <v>45381</v>
      </c>
      <c r="O35" s="237">
        <f>IF(O34="","",IF(MONTH(O34)&lt;MONTH(O34+1),"",IF(O34&lt;&gt;"",O34+1,IF(TEXT(followers!$H$1,"aaa")=$B35,followers!$H$1,""))))</f>
        <v>45381</v>
      </c>
      <c r="P35" s="166" cm="1">
        <f t="array" ref="P35">IFERROR(INDEX(visitors!$A$1:$Y$32,DAY(N35)+1,MATCH($N$2,visitors!$1:$1,0)),NA())</f>
        <v>187</v>
      </c>
      <c r="S35" s="6"/>
      <c r="T35" s="118"/>
      <c r="U35" s="95"/>
      <c r="W35" s="6"/>
      <c r="X35" s="118"/>
      <c r="Y35" s="95"/>
      <c r="AA35" s="6"/>
      <c r="AB35" s="118"/>
      <c r="AI35" s="6"/>
      <c r="AJ35" s="124"/>
      <c r="AK35" s="95"/>
      <c r="AM35" s="6"/>
      <c r="AN35" s="124"/>
    </row>
    <row r="36" spans="1:40" ht="17.25" thickBot="1">
      <c r="A36" s="354"/>
      <c r="B36" s="110" t="s">
        <v>133</v>
      </c>
      <c r="C36" s="100">
        <v>45291</v>
      </c>
      <c r="D36" s="107">
        <v>45291</v>
      </c>
      <c r="E36" s="101">
        <v>158</v>
      </c>
      <c r="F36" s="100">
        <v>45319</v>
      </c>
      <c r="G36" s="107">
        <v>45319</v>
      </c>
      <c r="H36" s="101">
        <v>93</v>
      </c>
      <c r="I36" s="100" t="s">
        <v>39</v>
      </c>
      <c r="J36" s="107" t="s">
        <v>39</v>
      </c>
      <c r="K36" s="101" t="e">
        <v>#N/A</v>
      </c>
      <c r="N36" s="238">
        <f>IF(N35="","",IF(MONTH(N35)&lt;MONTH(N35+1),"",IF(N35&lt;&gt;"",N35+1,IF(TEXT(followers!$H$1,"aaa")=$B35,followers!$H$1,""))))</f>
        <v>45382</v>
      </c>
      <c r="O36" s="239">
        <f>IF(O35="","",IF(MONTH(O35)&lt;MONTH(O35+1),"",IF(O35&lt;&gt;"",O35+1,IF(TEXT(followers!$H$1,"aaa")=$B36,followers!$H$1,""))))</f>
        <v>45382</v>
      </c>
      <c r="P36" s="227" cm="1">
        <f t="array" ref="P36">IFERROR(INDEX(visitors!$A$1:$Y$32,DAY(N36)+1,MATCH($N$2,visitors!$1:$1,0)),NA())</f>
        <v>156</v>
      </c>
      <c r="S36" s="6"/>
      <c r="T36" s="118"/>
      <c r="U36" s="95"/>
      <c r="W36" s="6"/>
      <c r="X36" s="118"/>
      <c r="Y36" s="95"/>
      <c r="AA36" s="6"/>
      <c r="AB36" s="118"/>
      <c r="AI36" s="6"/>
      <c r="AJ36" s="124"/>
      <c r="AK36" s="95"/>
      <c r="AM36" s="6"/>
      <c r="AN36" s="124"/>
    </row>
    <row r="37" spans="1:40">
      <c r="A37" s="352" t="s">
        <v>142</v>
      </c>
      <c r="B37" s="116" t="s">
        <v>128</v>
      </c>
      <c r="C37" s="96"/>
      <c r="D37" s="117"/>
      <c r="E37" s="97"/>
      <c r="F37" s="96">
        <v>45320</v>
      </c>
      <c r="G37" s="117">
        <v>45320</v>
      </c>
      <c r="H37" s="97">
        <v>143</v>
      </c>
      <c r="I37" s="96" t="s">
        <v>39</v>
      </c>
      <c r="J37" s="117" t="s">
        <v>39</v>
      </c>
      <c r="K37" s="97" t="e">
        <v>#N/A</v>
      </c>
      <c r="N37" s="234" t="str">
        <f>IF(N36="","",IF(MONTH(N36)&lt;MONTH(N36+1),"",IF(N36&lt;&gt;"",N36+1,IF(TEXT(followers!$H$1,"aaa")=$B36,followers!$H$1,""))))</f>
        <v/>
      </c>
      <c r="O37" s="235" t="str">
        <f>IF(O36="","",IF(MONTH(O36)&lt;MONTH(O36+1),"",IF(O36&lt;&gt;"",O36+1,IF(TEXT(followers!$H$1,"aaa")=$B37,followers!$H$1,""))))</f>
        <v/>
      </c>
      <c r="P37" s="226" t="e" cm="1">
        <f t="array" ref="P37">IFERROR(INDEX(visitors!$A$1:$Y$32,DAY(N37)+1,MATCH($N$2,visitors!$1:$1,0)),NA())</f>
        <v>#N/A</v>
      </c>
      <c r="S37" s="6"/>
      <c r="T37" s="118"/>
      <c r="U37" s="95"/>
      <c r="W37" s="6"/>
      <c r="X37" s="118"/>
      <c r="Y37" s="95"/>
      <c r="AA37" s="6"/>
      <c r="AB37" s="118"/>
      <c r="AI37" s="6"/>
      <c r="AJ37" s="124"/>
      <c r="AK37" s="95"/>
      <c r="AM37" s="6"/>
      <c r="AN37" s="124"/>
    </row>
    <row r="38" spans="1:40">
      <c r="A38" s="353"/>
      <c r="B38" s="109" t="s">
        <v>125</v>
      </c>
      <c r="C38" s="98"/>
      <c r="D38" s="106"/>
      <c r="E38" s="99"/>
      <c r="F38" s="98">
        <v>45321</v>
      </c>
      <c r="G38" s="106">
        <v>45321</v>
      </c>
      <c r="H38" s="99">
        <v>141</v>
      </c>
      <c r="I38" s="98" t="s">
        <v>39</v>
      </c>
      <c r="J38" s="106" t="s">
        <v>39</v>
      </c>
      <c r="K38" s="99" t="e">
        <v>#N/A</v>
      </c>
      <c r="N38" s="236" t="str">
        <f>IF(N37="","",IF(MONTH(N37)&lt;MONTH(N37+1),"",IF(N37&lt;&gt;"",N37+1,IF(TEXT(followers!$H$1,"aaa")=$B37,followers!$H$1,""))))</f>
        <v/>
      </c>
      <c r="O38" s="237" t="str">
        <f>IF(O37="","",IF(MONTH(O37)&lt;MONTH(O37+1),"",IF(O37&lt;&gt;"",O37+1,IF(TEXT(followers!$H$1,"aaa")=$B38,followers!$H$1,""))))</f>
        <v/>
      </c>
      <c r="P38" s="166" t="e" cm="1">
        <f t="array" ref="P38">IFERROR(INDEX(visitors!$A$1:$Y$32,DAY(N38)+1,MATCH($N$2,visitors!$1:$1,0)),NA())</f>
        <v>#N/A</v>
      </c>
      <c r="S38" s="6"/>
      <c r="T38" s="118"/>
      <c r="U38" s="95"/>
      <c r="W38" s="6"/>
      <c r="X38" s="118"/>
      <c r="Y38" s="95"/>
      <c r="AA38" s="6"/>
      <c r="AB38" s="118"/>
      <c r="AI38" s="6"/>
      <c r="AJ38" s="124"/>
      <c r="AK38" s="95"/>
      <c r="AM38" s="6"/>
      <c r="AN38" s="124"/>
    </row>
    <row r="39" spans="1:40">
      <c r="A39" s="353"/>
      <c r="B39" s="109" t="s">
        <v>127</v>
      </c>
      <c r="C39" s="98"/>
      <c r="D39" s="106"/>
      <c r="E39" s="99"/>
      <c r="F39" s="98">
        <v>45322</v>
      </c>
      <c r="G39" s="106">
        <v>45322</v>
      </c>
      <c r="H39" s="99">
        <v>139</v>
      </c>
      <c r="I39" s="98" t="s">
        <v>39</v>
      </c>
      <c r="J39" s="106" t="s">
        <v>39</v>
      </c>
      <c r="K39" s="99" t="e">
        <v>#N/A</v>
      </c>
      <c r="N39" s="236" t="str">
        <f>IF(N38="","",IF(MONTH(N38)&lt;MONTH(N38+1),"",IF(N38&lt;&gt;"",N38+1,IF(TEXT(followers!$H$1,"aaa")=$B38,followers!$H$1,""))))</f>
        <v/>
      </c>
      <c r="O39" s="237" t="str">
        <f>IF(O38="","",IF(MONTH(O38)&lt;MONTH(O38+1),"",IF(O38&lt;&gt;"",O38+1,IF(TEXT(followers!$H$1,"aaa")=$B39,followers!$H$1,""))))</f>
        <v/>
      </c>
      <c r="P39" s="166" t="e" cm="1">
        <f t="array" ref="P39">IFERROR(INDEX(visitors!$A$1:$Y$32,DAY(N39)+1,MATCH($N$2,visitors!$1:$1,0)),NA())</f>
        <v>#N/A</v>
      </c>
      <c r="S39" s="6"/>
      <c r="T39" s="118"/>
      <c r="U39" s="95"/>
      <c r="W39" s="6"/>
      <c r="X39" s="118"/>
      <c r="Y39" s="95"/>
      <c r="AA39" s="6"/>
      <c r="AB39" s="118"/>
      <c r="AI39" s="6"/>
      <c r="AJ39" s="124"/>
      <c r="AK39" s="95"/>
      <c r="AM39" s="6"/>
      <c r="AN39" s="124"/>
    </row>
    <row r="40" spans="1:40">
      <c r="A40" s="353"/>
      <c r="B40" s="109" t="s">
        <v>124</v>
      </c>
      <c r="C40" s="98"/>
      <c r="D40" s="106"/>
      <c r="E40" s="99"/>
      <c r="F40" s="98"/>
      <c r="G40" s="106"/>
      <c r="H40" s="99"/>
      <c r="I40" s="98" t="s">
        <v>39</v>
      </c>
      <c r="J40" s="106" t="s">
        <v>39</v>
      </c>
      <c r="K40" s="99" t="e">
        <v>#N/A</v>
      </c>
      <c r="N40" s="236" t="str">
        <f>IF(N39="","",IF(MONTH(N39)&lt;MONTH(N39+1),"",IF(N39&lt;&gt;"",N39+1,IF(TEXT(followers!$H$1,"aaa")=$B39,followers!$H$1,""))))</f>
        <v/>
      </c>
      <c r="O40" s="237" t="str">
        <f>IF(O39="","",IF(MONTH(O39)&lt;MONTH(O39+1),"",IF(O39&lt;&gt;"",O39+1,IF(TEXT(followers!$H$1,"aaa")=$B40,followers!$H$1,""))))</f>
        <v/>
      </c>
      <c r="P40" s="166" t="e" cm="1">
        <f t="array" ref="P40">IFERROR(INDEX(visitors!$A$1:$Y$32,DAY(N40)+1,MATCH($N$2,visitors!$1:$1,0)),NA())</f>
        <v>#N/A</v>
      </c>
      <c r="S40" s="6"/>
      <c r="T40" s="118"/>
      <c r="U40" s="95"/>
      <c r="W40" s="6"/>
      <c r="X40" s="118"/>
      <c r="Y40" s="95"/>
      <c r="AA40" s="6"/>
      <c r="AB40" s="118"/>
      <c r="AI40" s="6"/>
      <c r="AJ40" s="124"/>
      <c r="AK40" s="95"/>
    </row>
    <row r="41" spans="1:40" ht="17.25" thickBot="1">
      <c r="A41" s="354"/>
      <c r="B41" s="110" t="s">
        <v>126</v>
      </c>
      <c r="C41" s="100"/>
      <c r="D41" s="107"/>
      <c r="E41" s="101"/>
      <c r="F41" s="100"/>
      <c r="G41" s="107"/>
      <c r="H41" s="101"/>
      <c r="I41" s="100" t="s">
        <v>39</v>
      </c>
      <c r="J41" s="107" t="s">
        <v>39</v>
      </c>
      <c r="K41" s="101" t="e">
        <v>#N/A</v>
      </c>
      <c r="N41" s="238" t="str">
        <f>IF(N40="","",IF(MONTH(N40)&lt;MONTH(N40+1),"",IF(N40&lt;&gt;"",N40+1,IF(TEXT(followers!$H$1,"aaa")=$B40,followers!$H$1,""))))</f>
        <v/>
      </c>
      <c r="O41" s="239" t="str">
        <f>IF(O40="","",IF(MONTH(O40)&lt;MONTH(O40+1),"",IF(O40&lt;&gt;"",O40+1,IF(TEXT(followers!$H$1,"aaa")=$B41,followers!$H$1,""))))</f>
        <v/>
      </c>
      <c r="P41" s="227" t="e" cm="1">
        <f t="array" ref="P41">IFERROR(INDEX(visitors!$A$1:$Y$32,DAY(N41)+1,MATCH($N$2,visitors!$1:$1,0)),NA())</f>
        <v>#N/A</v>
      </c>
      <c r="S41" s="6"/>
      <c r="T41" s="118"/>
      <c r="U41" s="95"/>
      <c r="W41" s="6"/>
      <c r="X41" s="118"/>
      <c r="Y41" s="95"/>
      <c r="AA41" s="6"/>
      <c r="AB41" s="118"/>
    </row>
    <row r="44" spans="1:40">
      <c r="A44" s="125" t="s">
        <v>150</v>
      </c>
    </row>
    <row r="45" spans="1:40">
      <c r="A45" s="125" t="s">
        <v>150</v>
      </c>
    </row>
    <row r="46" spans="1:40">
      <c r="A46" s="125" t="s">
        <v>150</v>
      </c>
    </row>
    <row r="47" spans="1:40">
      <c r="A47" s="125" t="s">
        <v>150</v>
      </c>
    </row>
    <row r="48" spans="1:40">
      <c r="A48" s="125" t="s">
        <v>150</v>
      </c>
    </row>
  </sheetData>
  <mergeCells count="10">
    <mergeCell ref="N3:P3"/>
    <mergeCell ref="A30:A36"/>
    <mergeCell ref="A37:A41"/>
    <mergeCell ref="C3:E3"/>
    <mergeCell ref="F3:H3"/>
    <mergeCell ref="I3:K3"/>
    <mergeCell ref="A5:A8"/>
    <mergeCell ref="A9:A15"/>
    <mergeCell ref="A16:A22"/>
    <mergeCell ref="A23:A29"/>
  </mergeCells>
  <phoneticPr fontId="2"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1ABB0-4BD2-422D-94EC-19D73EACAED2}">
  <sheetPr>
    <tabColor theme="9" tint="0.79998168889431442"/>
  </sheetPr>
  <dimension ref="A1:AB48"/>
  <sheetViews>
    <sheetView zoomScale="85" zoomScaleNormal="85" workbookViewId="0">
      <selection activeCell="I53" sqref="I53"/>
    </sheetView>
  </sheetViews>
  <sheetFormatPr defaultRowHeight="16.5"/>
  <cols>
    <col min="3" max="3" width="11.125" customWidth="1"/>
    <col min="4" max="4" width="5.75" style="95" customWidth="1"/>
    <col min="6" max="6" width="11.125" customWidth="1"/>
    <col min="7" max="7" width="5.75" style="95" customWidth="1"/>
    <col min="9" max="9" width="11.125" customWidth="1"/>
    <col min="10" max="10" width="5.75" style="95" customWidth="1"/>
    <col min="11" max="11" width="7.375" customWidth="1"/>
    <col min="14" max="14" width="10.625" customWidth="1"/>
    <col min="19" max="19" width="10.75" bestFit="1" customWidth="1"/>
    <col min="20" max="20" width="10.75" customWidth="1"/>
    <col min="23" max="23" width="10.75" bestFit="1" customWidth="1"/>
    <col min="27" max="27" width="10.75" bestFit="1" customWidth="1"/>
  </cols>
  <sheetData>
    <row r="1" spans="1:28">
      <c r="A1" s="125" t="s">
        <v>150</v>
      </c>
    </row>
    <row r="2" spans="1:28" ht="17.25" thickBot="1">
      <c r="A2" s="125"/>
      <c r="N2" t="s">
        <v>342</v>
      </c>
    </row>
    <row r="3" spans="1:28" ht="17.25" thickBot="1">
      <c r="A3" s="123"/>
      <c r="B3" s="122"/>
      <c r="C3" s="355" t="s">
        <v>137</v>
      </c>
      <c r="D3" s="356"/>
      <c r="E3" s="357"/>
      <c r="F3" s="358" t="s">
        <v>136</v>
      </c>
      <c r="G3" s="356"/>
      <c r="H3" s="357"/>
      <c r="I3" s="358" t="s">
        <v>340</v>
      </c>
      <c r="J3" s="356"/>
      <c r="K3" s="359"/>
      <c r="N3" s="349" t="s">
        <v>341</v>
      </c>
      <c r="O3" s="350"/>
      <c r="P3" s="351"/>
    </row>
    <row r="4" spans="1:28" ht="17.25" thickBot="1">
      <c r="A4" s="111" t="s">
        <v>149</v>
      </c>
      <c r="B4" s="121" t="s">
        <v>146</v>
      </c>
      <c r="C4" s="119" t="s">
        <v>143</v>
      </c>
      <c r="D4" s="102" t="s">
        <v>145</v>
      </c>
      <c r="E4" s="120" t="s">
        <v>147</v>
      </c>
      <c r="F4" s="119" t="s">
        <v>143</v>
      </c>
      <c r="G4" s="102" t="s">
        <v>145</v>
      </c>
      <c r="H4" s="101" t="s">
        <v>147</v>
      </c>
      <c r="I4" s="119" t="s">
        <v>143</v>
      </c>
      <c r="J4" s="102" t="s">
        <v>145</v>
      </c>
      <c r="K4" s="101" t="s">
        <v>147</v>
      </c>
      <c r="M4" s="95"/>
      <c r="N4" s="142" t="s">
        <v>144</v>
      </c>
      <c r="O4" s="143" t="s">
        <v>146</v>
      </c>
      <c r="P4" s="227" t="s">
        <v>148</v>
      </c>
    </row>
    <row r="5" spans="1:28">
      <c r="A5" s="353"/>
      <c r="B5" s="108" t="s">
        <v>129</v>
      </c>
      <c r="C5" s="103"/>
      <c r="D5" s="105"/>
      <c r="E5" s="104"/>
      <c r="F5" s="103"/>
      <c r="G5" s="105"/>
      <c r="H5" s="104"/>
      <c r="I5" s="103">
        <v>45323</v>
      </c>
      <c r="J5" s="105">
        <v>45323</v>
      </c>
      <c r="K5" s="104">
        <v>290</v>
      </c>
      <c r="N5" s="228" t="str">
        <f>IF(TEXT(followers!$H$1,"aaa")=$B5,followers!$H$1,"")</f>
        <v/>
      </c>
      <c r="O5" s="229" t="str">
        <f>IF(TEXT(followers!$H$1,"aaa")=$B5,followers!H1,"")</f>
        <v/>
      </c>
      <c r="P5" s="230" t="e" cm="1">
        <f t="array" ref="P5">IFERROR(INDEX(visitors!$A$1:$Y$32,DAY(N5)+1,MATCH($N$2,visitors!$1:$1,0)),NA())</f>
        <v>#N/A</v>
      </c>
    </row>
    <row r="6" spans="1:28">
      <c r="A6" s="353"/>
      <c r="B6" s="109" t="s">
        <v>130</v>
      </c>
      <c r="C6" s="103">
        <v>45261</v>
      </c>
      <c r="D6" s="105">
        <v>45261</v>
      </c>
      <c r="E6" s="104">
        <v>261</v>
      </c>
      <c r="F6" s="103"/>
      <c r="G6" s="105"/>
      <c r="H6" s="104"/>
      <c r="I6" s="103">
        <v>45324</v>
      </c>
      <c r="J6" s="105">
        <v>45324</v>
      </c>
      <c r="K6" s="104">
        <v>240</v>
      </c>
      <c r="N6" s="228">
        <f>IF(N5&lt;&gt;"",N5+1,IF(TEXT(followers!$H$1,"aaa")=$B6,followers!$H$1,""))</f>
        <v>45352</v>
      </c>
      <c r="O6" s="229">
        <f>IF(O5&lt;&gt;"",O5+1,IF(TEXT(followers!$H$1,"aaa")=$B6,followers!$H$1,""))</f>
        <v>45352</v>
      </c>
      <c r="P6" s="230" cm="1">
        <f t="array" ref="P6">IFERROR(INDEX(visitors!$A$1:$Y$32,DAY(N6)+1,MATCH($N$2,visitors!$1:$1,0)),NA())</f>
        <v>179</v>
      </c>
    </row>
    <row r="7" spans="1:28">
      <c r="A7" s="353"/>
      <c r="B7" s="109" t="s">
        <v>132</v>
      </c>
      <c r="C7" s="103">
        <v>45262</v>
      </c>
      <c r="D7" s="105">
        <v>45262</v>
      </c>
      <c r="E7" s="104">
        <v>67</v>
      </c>
      <c r="F7" s="103"/>
      <c r="G7" s="105"/>
      <c r="H7" s="104"/>
      <c r="I7" s="103">
        <v>45325</v>
      </c>
      <c r="J7" s="105">
        <v>45325</v>
      </c>
      <c r="K7" s="104">
        <v>49</v>
      </c>
      <c r="N7" s="228">
        <f>IF(N6&lt;&gt;"",N6+1,IF(TEXT(followers!$H$1,"aaa")=$B7,followers!$H$1,""))</f>
        <v>45353</v>
      </c>
      <c r="O7" s="229">
        <f>IF(O6&lt;&gt;"",O6+1,IF(TEXT(followers!$H$1,"aaa")=$B7,followers!$H$1,""))</f>
        <v>45353</v>
      </c>
      <c r="P7" s="230" cm="1">
        <f t="array" ref="P7">IFERROR(INDEX(visitors!$A$1:$Y$32,DAY(N7)+1,MATCH($N$2,visitors!$1:$1,0)),NA())</f>
        <v>120</v>
      </c>
    </row>
    <row r="8" spans="1:28" ht="17.25" thickBot="1">
      <c r="A8" s="353"/>
      <c r="B8" s="112" t="s">
        <v>134</v>
      </c>
      <c r="C8" s="113">
        <v>45263</v>
      </c>
      <c r="D8" s="114">
        <v>45263</v>
      </c>
      <c r="E8" s="115">
        <v>89</v>
      </c>
      <c r="F8" s="113"/>
      <c r="G8" s="114"/>
      <c r="H8" s="115"/>
      <c r="I8" s="113">
        <v>45326</v>
      </c>
      <c r="J8" s="114">
        <v>45326</v>
      </c>
      <c r="K8" s="115">
        <v>74</v>
      </c>
      <c r="N8" s="231">
        <f>IF(N7&lt;&gt;"",N7+1,IF(TEXT(followers!$H$1,"aaa")=$B8,followers!$H$1,""))</f>
        <v>45354</v>
      </c>
      <c r="O8" s="232">
        <f>IF(O7&lt;&gt;"",O7+1,IF(TEXT(followers!$H$1,"aaa")=$B8,followers!$H$1,""))</f>
        <v>45354</v>
      </c>
      <c r="P8" s="233" cm="1">
        <f t="array" ref="P8">IFERROR(INDEX(visitors!$A$1:$Y$32,DAY(N8)+1,MATCH($N$2,visitors!$1:$1,0)),NA())</f>
        <v>99</v>
      </c>
    </row>
    <row r="9" spans="1:28">
      <c r="A9" s="352" t="s">
        <v>138</v>
      </c>
      <c r="B9" s="116" t="s">
        <v>128</v>
      </c>
      <c r="C9" s="96">
        <v>45264</v>
      </c>
      <c r="D9" s="117">
        <v>45264</v>
      </c>
      <c r="E9" s="97">
        <v>256</v>
      </c>
      <c r="F9" s="96">
        <v>45292</v>
      </c>
      <c r="G9" s="117">
        <v>45292</v>
      </c>
      <c r="H9" s="97">
        <v>62</v>
      </c>
      <c r="I9" s="96">
        <v>45327</v>
      </c>
      <c r="J9" s="117">
        <v>45327</v>
      </c>
      <c r="K9" s="97">
        <v>259</v>
      </c>
      <c r="N9" s="234">
        <f>IF(N8&lt;&gt;"",N8+1,IF(TEXT(followers!$H$1,"aaa")=$B9,followers!$H$1,""))</f>
        <v>45355</v>
      </c>
      <c r="O9" s="235">
        <f>IF(O8&lt;&gt;"",O8+1,IF(TEXT(followers!$H$1,"aaa")=$B9,followers!$H$1,""))</f>
        <v>45355</v>
      </c>
      <c r="P9" s="226" cm="1">
        <f t="array" ref="P9">IFERROR(INDEX(visitors!$A$1:$Y$32,DAY(N9)+1,MATCH($N$2,visitors!$1:$1,0)),NA())</f>
        <v>253</v>
      </c>
    </row>
    <row r="10" spans="1:28">
      <c r="A10" s="353"/>
      <c r="B10" s="109" t="s">
        <v>125</v>
      </c>
      <c r="C10" s="98">
        <v>45265</v>
      </c>
      <c r="D10" s="106">
        <v>45265</v>
      </c>
      <c r="E10" s="99">
        <v>228</v>
      </c>
      <c r="F10" s="98">
        <v>45293</v>
      </c>
      <c r="G10" s="106">
        <v>45293</v>
      </c>
      <c r="H10" s="99">
        <v>191</v>
      </c>
      <c r="I10" s="98">
        <v>45328</v>
      </c>
      <c r="J10" s="106">
        <v>45328</v>
      </c>
      <c r="K10" s="99">
        <v>290</v>
      </c>
      <c r="N10" s="236">
        <f>IF(N9&lt;&gt;"",N9+1,IF(TEXT(followers!$H$1,"aaa")=$B10,followers!$H$1,""))</f>
        <v>45356</v>
      </c>
      <c r="O10" s="237">
        <f>IF(O9&lt;&gt;"",O9+1,IF(TEXT(followers!$H$1,"aaa")=$B10,followers!$H$1,""))</f>
        <v>45356</v>
      </c>
      <c r="P10" s="166" cm="1">
        <f t="array" ref="P10">IFERROR(INDEX(visitors!$A$1:$Y$32,DAY(N10)+1,MATCH($N$2,visitors!$1:$1,0)),NA())</f>
        <v>351</v>
      </c>
    </row>
    <row r="11" spans="1:28">
      <c r="A11" s="353"/>
      <c r="B11" s="109" t="s">
        <v>127</v>
      </c>
      <c r="C11" s="98">
        <v>45266</v>
      </c>
      <c r="D11" s="106">
        <v>45266</v>
      </c>
      <c r="E11" s="99">
        <v>142</v>
      </c>
      <c r="F11" s="98">
        <v>45294</v>
      </c>
      <c r="G11" s="106">
        <v>45294</v>
      </c>
      <c r="H11" s="99">
        <v>314</v>
      </c>
      <c r="I11" s="98">
        <v>45329</v>
      </c>
      <c r="J11" s="106">
        <v>45329</v>
      </c>
      <c r="K11" s="99">
        <v>405</v>
      </c>
      <c r="N11" s="236">
        <f>IF(N10&lt;&gt;"",N10+1,IF(TEXT(followers!$H$1,"aaa")=$B11,followers!$H$1,""))</f>
        <v>45357</v>
      </c>
      <c r="O11" s="237">
        <f>IF(O10&lt;&gt;"",O10+1,IF(TEXT(followers!$H$1,"aaa")=$B11,followers!$H$1,""))</f>
        <v>45357</v>
      </c>
      <c r="P11" s="166" cm="1">
        <f t="array" ref="P11">IFERROR(INDEX(visitors!$A$1:$Y$32,DAY(N11)+1,MATCH($N$2,visitors!$1:$1,0)),NA())</f>
        <v>320</v>
      </c>
    </row>
    <row r="12" spans="1:28">
      <c r="A12" s="353"/>
      <c r="B12" s="109" t="s">
        <v>129</v>
      </c>
      <c r="C12" s="98">
        <v>45267</v>
      </c>
      <c r="D12" s="106">
        <v>45267</v>
      </c>
      <c r="E12" s="99">
        <v>250</v>
      </c>
      <c r="F12" s="98">
        <v>45295</v>
      </c>
      <c r="G12" s="106">
        <v>45295</v>
      </c>
      <c r="H12" s="99">
        <v>264</v>
      </c>
      <c r="I12" s="98">
        <v>45330</v>
      </c>
      <c r="J12" s="106">
        <v>45330</v>
      </c>
      <c r="K12" s="99">
        <v>277</v>
      </c>
      <c r="N12" s="236">
        <f>IF(N11&lt;&gt;"",N11+1,IF(TEXT(followers!$H$1,"aaa")=$B12,followers!$H$1,""))</f>
        <v>45358</v>
      </c>
      <c r="O12" s="237">
        <f>IF(O11&lt;&gt;"",O11+1,IF(TEXT(followers!$H$1,"aaa")=$B12,followers!$H$1,""))</f>
        <v>45358</v>
      </c>
      <c r="P12" s="166" cm="1">
        <f t="array" ref="P12">IFERROR(INDEX(visitors!$A$1:$Y$32,DAY(N12)+1,MATCH($N$2,visitors!$1:$1,0)),NA())</f>
        <v>250</v>
      </c>
    </row>
    <row r="13" spans="1:28">
      <c r="A13" s="353"/>
      <c r="B13" s="109" t="s">
        <v>130</v>
      </c>
      <c r="C13" s="98">
        <v>45268</v>
      </c>
      <c r="D13" s="106">
        <v>45268</v>
      </c>
      <c r="E13" s="99">
        <v>219</v>
      </c>
      <c r="F13" s="98">
        <v>45296</v>
      </c>
      <c r="G13" s="106">
        <v>45296</v>
      </c>
      <c r="H13" s="99">
        <v>168</v>
      </c>
      <c r="I13" s="98">
        <v>45331</v>
      </c>
      <c r="J13" s="106">
        <v>45331</v>
      </c>
      <c r="K13" s="99">
        <v>179</v>
      </c>
      <c r="N13" s="236">
        <f>IF(N12&lt;&gt;"",N12+1,IF(TEXT(followers!$H$1,"aaa")=$B13,followers!$H$1,""))</f>
        <v>45359</v>
      </c>
      <c r="O13" s="237">
        <f>IF(O12&lt;&gt;"",O12+1,IF(TEXT(followers!$H$1,"aaa")=$B13,followers!$H$1,""))</f>
        <v>45359</v>
      </c>
      <c r="P13" s="166" cm="1">
        <f t="array" ref="P13">IFERROR(INDEX(visitors!$A$1:$Y$32,DAY(N13)+1,MATCH($N$2,visitors!$1:$1,0)),NA())</f>
        <v>280</v>
      </c>
      <c r="S13" s="6"/>
      <c r="T13" s="118"/>
      <c r="U13" s="95"/>
      <c r="W13" s="6"/>
      <c r="X13" s="118"/>
      <c r="Y13" s="95"/>
      <c r="AA13" s="6"/>
      <c r="AB13" s="118"/>
    </row>
    <row r="14" spans="1:28">
      <c r="A14" s="353"/>
      <c r="B14" s="109" t="s">
        <v>132</v>
      </c>
      <c r="C14" s="98">
        <v>45269</v>
      </c>
      <c r="D14" s="106">
        <v>45269</v>
      </c>
      <c r="E14" s="99">
        <v>75</v>
      </c>
      <c r="F14" s="98">
        <v>45297</v>
      </c>
      <c r="G14" s="106">
        <v>45297</v>
      </c>
      <c r="H14" s="99">
        <v>62</v>
      </c>
      <c r="I14" s="98">
        <v>45332</v>
      </c>
      <c r="J14" s="106">
        <v>45332</v>
      </c>
      <c r="K14" s="99">
        <v>73</v>
      </c>
      <c r="N14" s="236">
        <f>IF(N13&lt;&gt;"",N13+1,IF(TEXT(followers!$H$1,"aaa")=$B14,followers!$H$1,""))</f>
        <v>45360</v>
      </c>
      <c r="O14" s="237">
        <f>IF(O13&lt;&gt;"",O13+1,IF(TEXT(followers!$H$1,"aaa")=$B14,followers!$H$1,""))</f>
        <v>45360</v>
      </c>
      <c r="P14" s="166" cm="1">
        <f t="array" ref="P14">IFERROR(INDEX(visitors!$A$1:$Y$32,DAY(N14)+1,MATCH($N$2,visitors!$1:$1,0)),NA())</f>
        <v>72</v>
      </c>
      <c r="S14" s="6"/>
      <c r="T14" s="118"/>
      <c r="U14" s="95"/>
      <c r="W14" s="6"/>
      <c r="X14" s="118"/>
      <c r="Y14" s="95"/>
      <c r="AA14" s="6"/>
      <c r="AB14" s="118"/>
    </row>
    <row r="15" spans="1:28" ht="17.25" thickBot="1">
      <c r="A15" s="354"/>
      <c r="B15" s="110" t="s">
        <v>134</v>
      </c>
      <c r="C15" s="100">
        <v>45270</v>
      </c>
      <c r="D15" s="107">
        <v>45270</v>
      </c>
      <c r="E15" s="101">
        <v>51</v>
      </c>
      <c r="F15" s="100">
        <v>45298</v>
      </c>
      <c r="G15" s="107">
        <v>45298</v>
      </c>
      <c r="H15" s="101">
        <v>85</v>
      </c>
      <c r="I15" s="100">
        <v>45333</v>
      </c>
      <c r="J15" s="107">
        <v>45333</v>
      </c>
      <c r="K15" s="101">
        <v>71</v>
      </c>
      <c r="N15" s="238">
        <f>IF(N14&lt;&gt;"",N14+1,IF(TEXT(followers!$H$1,"aaa")=$B15,followers!$H$1,""))</f>
        <v>45361</v>
      </c>
      <c r="O15" s="239">
        <f>IF(O14&lt;&gt;"",O14+1,IF(TEXT(followers!$H$1,"aaa")=$B15,followers!$H$1,""))</f>
        <v>45361</v>
      </c>
      <c r="P15" s="227" cm="1">
        <f t="array" ref="P15">IFERROR(INDEX(visitors!$A$1:$Y$32,DAY(N15)+1,MATCH($N$2,visitors!$1:$1,0)),NA())</f>
        <v>78</v>
      </c>
      <c r="S15" s="6"/>
      <c r="T15" s="118"/>
      <c r="U15" s="95"/>
      <c r="W15" s="6"/>
      <c r="X15" s="118"/>
      <c r="Y15" s="95"/>
      <c r="AA15" s="6"/>
      <c r="AB15" s="118"/>
    </row>
    <row r="16" spans="1:28">
      <c r="A16" s="352" t="s">
        <v>140</v>
      </c>
      <c r="B16" s="116" t="s">
        <v>4</v>
      </c>
      <c r="C16" s="96">
        <v>45271</v>
      </c>
      <c r="D16" s="117">
        <v>45271</v>
      </c>
      <c r="E16" s="97">
        <v>215</v>
      </c>
      <c r="F16" s="96">
        <v>45299</v>
      </c>
      <c r="G16" s="117">
        <v>45299</v>
      </c>
      <c r="H16" s="97">
        <v>244</v>
      </c>
      <c r="I16" s="96">
        <v>45334</v>
      </c>
      <c r="J16" s="117">
        <v>45334</v>
      </c>
      <c r="K16" s="97">
        <v>189</v>
      </c>
      <c r="N16" s="234">
        <f>IF(N15&lt;&gt;"",N15+1,IF(TEXT(followers!$H$1,"aaa")=$B16,followers!$H$1,""))</f>
        <v>45362</v>
      </c>
      <c r="O16" s="235">
        <f>IF(O15&lt;&gt;"",O15+1,IF(TEXT(followers!$H$1,"aaa")=$B16,followers!$H$1,""))</f>
        <v>45362</v>
      </c>
      <c r="P16" s="226" cm="1">
        <f t="array" ref="P16">IFERROR(INDEX(visitors!$A$1:$Y$32,DAY(N16)+1,MATCH($N$2,visitors!$1:$1,0)),NA())</f>
        <v>355</v>
      </c>
      <c r="S16" s="6"/>
      <c r="T16" s="118"/>
      <c r="U16" s="95"/>
      <c r="W16" s="6"/>
      <c r="X16" s="118"/>
      <c r="Y16" s="95"/>
      <c r="AA16" s="6"/>
      <c r="AB16" s="118"/>
    </row>
    <row r="17" spans="1:28">
      <c r="A17" s="353"/>
      <c r="B17" s="109" t="s">
        <v>135</v>
      </c>
      <c r="C17" s="98">
        <v>45272</v>
      </c>
      <c r="D17" s="106">
        <v>45272</v>
      </c>
      <c r="E17" s="99">
        <v>271</v>
      </c>
      <c r="F17" s="98">
        <v>45300</v>
      </c>
      <c r="G17" s="106">
        <v>45300</v>
      </c>
      <c r="H17" s="99">
        <v>365</v>
      </c>
      <c r="I17" s="98">
        <v>45335</v>
      </c>
      <c r="J17" s="106">
        <v>45335</v>
      </c>
      <c r="K17" s="99">
        <v>311</v>
      </c>
      <c r="N17" s="236">
        <f>IF(N16&lt;&gt;"",N16+1,IF(TEXT(followers!$H$1,"aaa")=$B17,followers!$H$1,""))</f>
        <v>45363</v>
      </c>
      <c r="O17" s="237">
        <f>IF(O16&lt;&gt;"",O16+1,IF(TEXT(followers!$H$1,"aaa")=$B17,followers!$H$1,""))</f>
        <v>45363</v>
      </c>
      <c r="P17" s="166" cm="1">
        <f t="array" ref="P17">IFERROR(INDEX(visitors!$A$1:$Y$32,DAY(N17)+1,MATCH($N$2,visitors!$1:$1,0)),NA())</f>
        <v>287</v>
      </c>
      <c r="S17" s="6"/>
      <c r="T17" s="118"/>
      <c r="U17" s="95"/>
      <c r="W17" s="6"/>
      <c r="X17" s="118"/>
      <c r="Y17" s="95"/>
      <c r="AA17" s="6"/>
      <c r="AB17" s="118"/>
    </row>
    <row r="18" spans="1:28">
      <c r="A18" s="353"/>
      <c r="B18" s="109" t="s">
        <v>127</v>
      </c>
      <c r="C18" s="98">
        <v>45273</v>
      </c>
      <c r="D18" s="106">
        <v>45273</v>
      </c>
      <c r="E18" s="99">
        <v>235</v>
      </c>
      <c r="F18" s="98">
        <v>45301</v>
      </c>
      <c r="G18" s="106">
        <v>45301</v>
      </c>
      <c r="H18" s="99">
        <v>325</v>
      </c>
      <c r="I18" s="98">
        <v>45336</v>
      </c>
      <c r="J18" s="106">
        <v>45336</v>
      </c>
      <c r="K18" s="99">
        <v>345</v>
      </c>
      <c r="N18" s="236">
        <f>IF(N17&lt;&gt;"",N17+1,IF(TEXT(followers!$H$1,"aaa")=$B18,followers!$H$1,""))</f>
        <v>45364</v>
      </c>
      <c r="O18" s="237">
        <f>IF(O17&lt;&gt;"",O17+1,IF(TEXT(followers!$H$1,"aaa")=$B18,followers!$H$1,""))</f>
        <v>45364</v>
      </c>
      <c r="P18" s="166" cm="1">
        <f t="array" ref="P18">IFERROR(INDEX(visitors!$A$1:$Y$32,DAY(N18)+1,MATCH($N$2,visitors!$1:$1,0)),NA())</f>
        <v>342</v>
      </c>
      <c r="S18" s="6"/>
      <c r="T18" s="118"/>
      <c r="U18" s="95"/>
      <c r="W18" s="6"/>
      <c r="X18" s="118"/>
      <c r="Y18" s="95"/>
      <c r="AA18" s="6"/>
      <c r="AB18" s="118"/>
    </row>
    <row r="19" spans="1:28">
      <c r="A19" s="353"/>
      <c r="B19" s="109" t="s">
        <v>124</v>
      </c>
      <c r="C19" s="98">
        <v>45274</v>
      </c>
      <c r="D19" s="106">
        <v>45274</v>
      </c>
      <c r="E19" s="99">
        <v>288</v>
      </c>
      <c r="F19" s="98">
        <v>45302</v>
      </c>
      <c r="G19" s="106">
        <v>45302</v>
      </c>
      <c r="H19" s="99">
        <v>259</v>
      </c>
      <c r="I19" s="98">
        <v>45337</v>
      </c>
      <c r="J19" s="106">
        <v>45337</v>
      </c>
      <c r="K19" s="99">
        <v>227</v>
      </c>
      <c r="N19" s="236">
        <f>IF(N18&lt;&gt;"",N18+1,IF(TEXT(followers!$H$1,"aaa")=$B19,followers!$H$1,""))</f>
        <v>45365</v>
      </c>
      <c r="O19" s="237">
        <f>IF(O18&lt;&gt;"",O18+1,IF(TEXT(followers!$H$1,"aaa")=$B19,followers!$H$1,""))</f>
        <v>45365</v>
      </c>
      <c r="P19" s="166" cm="1">
        <f t="array" ref="P19">IFERROR(INDEX(visitors!$A$1:$Y$32,DAY(N19)+1,MATCH($N$2,visitors!$1:$1,0)),NA())</f>
        <v>309</v>
      </c>
      <c r="S19" s="6"/>
      <c r="T19" s="118"/>
      <c r="U19" s="95"/>
      <c r="W19" s="6"/>
      <c r="X19" s="118"/>
      <c r="Y19" s="95"/>
      <c r="AA19" s="6"/>
      <c r="AB19" s="118"/>
    </row>
    <row r="20" spans="1:28">
      <c r="A20" s="353"/>
      <c r="B20" s="109" t="s">
        <v>126</v>
      </c>
      <c r="C20" s="98">
        <v>45275</v>
      </c>
      <c r="D20" s="106">
        <v>45275</v>
      </c>
      <c r="E20" s="99">
        <v>224</v>
      </c>
      <c r="F20" s="98">
        <v>45303</v>
      </c>
      <c r="G20" s="106">
        <v>45303</v>
      </c>
      <c r="H20" s="99">
        <v>233</v>
      </c>
      <c r="I20" s="98">
        <v>45338</v>
      </c>
      <c r="J20" s="106">
        <v>45338</v>
      </c>
      <c r="K20" s="99">
        <v>269</v>
      </c>
      <c r="N20" s="236">
        <f>IF(N19&lt;&gt;"",N19+1,IF(TEXT(followers!$H$1,"aaa")=$B20,followers!$H$1,""))</f>
        <v>45366</v>
      </c>
      <c r="O20" s="237">
        <f>IF(O19&lt;&gt;"",O19+1,IF(TEXT(followers!$H$1,"aaa")=$B20,followers!$H$1,""))</f>
        <v>45366</v>
      </c>
      <c r="P20" s="166" cm="1">
        <f t="array" ref="P20">IFERROR(INDEX(visitors!$A$1:$Y$32,DAY(N20)+1,MATCH($N$2,visitors!$1:$1,0)),NA())</f>
        <v>263</v>
      </c>
      <c r="S20" s="6"/>
      <c r="T20" s="118"/>
      <c r="U20" s="95"/>
      <c r="W20" s="6"/>
      <c r="X20" s="118"/>
      <c r="Y20" s="95"/>
      <c r="AA20" s="6"/>
      <c r="AB20" s="118"/>
    </row>
    <row r="21" spans="1:28">
      <c r="A21" s="353"/>
      <c r="B21" s="109" t="s">
        <v>131</v>
      </c>
      <c r="C21" s="98">
        <v>45276</v>
      </c>
      <c r="D21" s="106">
        <v>45276</v>
      </c>
      <c r="E21" s="99">
        <v>57</v>
      </c>
      <c r="F21" s="98">
        <v>45304</v>
      </c>
      <c r="G21" s="106">
        <v>45304</v>
      </c>
      <c r="H21" s="99">
        <v>92</v>
      </c>
      <c r="I21" s="98">
        <v>45339</v>
      </c>
      <c r="J21" s="106">
        <v>45339</v>
      </c>
      <c r="K21" s="99">
        <v>67</v>
      </c>
      <c r="N21" s="236">
        <f>IF(N20&lt;&gt;"",N20+1,IF(TEXT(followers!$H$1,"aaa")=$B21,followers!$H$1,""))</f>
        <v>45367</v>
      </c>
      <c r="O21" s="237">
        <f>IF(O20&lt;&gt;"",O20+1,IF(TEXT(followers!$H$1,"aaa")=$B21,followers!$H$1,""))</f>
        <v>45367</v>
      </c>
      <c r="P21" s="166" cm="1">
        <f t="array" ref="P21">IFERROR(INDEX(visitors!$A$1:$Y$32,DAY(N21)+1,MATCH($N$2,visitors!$1:$1,0)),NA())</f>
        <v>61</v>
      </c>
      <c r="S21" s="6"/>
      <c r="T21" s="118"/>
      <c r="U21" s="95"/>
      <c r="W21" s="6"/>
      <c r="X21" s="118"/>
      <c r="Y21" s="95"/>
      <c r="AA21" s="6"/>
      <c r="AB21" s="118"/>
    </row>
    <row r="22" spans="1:28" ht="17.25" thickBot="1">
      <c r="A22" s="354"/>
      <c r="B22" s="110" t="s">
        <v>133</v>
      </c>
      <c r="C22" s="100">
        <v>45277</v>
      </c>
      <c r="D22" s="107">
        <v>45277</v>
      </c>
      <c r="E22" s="101">
        <v>57</v>
      </c>
      <c r="F22" s="100">
        <v>45305</v>
      </c>
      <c r="G22" s="107">
        <v>45305</v>
      </c>
      <c r="H22" s="101">
        <v>74</v>
      </c>
      <c r="I22" s="100">
        <v>45340</v>
      </c>
      <c r="J22" s="107">
        <v>45340</v>
      </c>
      <c r="K22" s="101">
        <v>87</v>
      </c>
      <c r="N22" s="238">
        <f>IF(N21&lt;&gt;"",N21+1,IF(TEXT(followers!$H$1,"aaa")=$B22,followers!$H$1,""))</f>
        <v>45368</v>
      </c>
      <c r="O22" s="239">
        <f>IF(O21&lt;&gt;"",O21+1,IF(TEXT(followers!$H$1,"aaa")=$B22,followers!$H$1,""))</f>
        <v>45368</v>
      </c>
      <c r="P22" s="227" cm="1">
        <f t="array" ref="P22">IFERROR(INDEX(visitors!$A$1:$Y$32,DAY(N22)+1,MATCH($N$2,visitors!$1:$1,0)),NA())</f>
        <v>69</v>
      </c>
      <c r="S22" s="6"/>
      <c r="T22" s="118"/>
      <c r="U22" s="95"/>
      <c r="W22" s="6"/>
      <c r="X22" s="118"/>
      <c r="Y22" s="95"/>
      <c r="AA22" s="6"/>
      <c r="AB22" s="118"/>
    </row>
    <row r="23" spans="1:28">
      <c r="A23" s="352" t="s">
        <v>139</v>
      </c>
      <c r="B23" s="116" t="s">
        <v>128</v>
      </c>
      <c r="C23" s="96">
        <v>45278</v>
      </c>
      <c r="D23" s="117">
        <v>45278</v>
      </c>
      <c r="E23" s="97">
        <v>211</v>
      </c>
      <c r="F23" s="96">
        <v>45306</v>
      </c>
      <c r="G23" s="117">
        <v>45306</v>
      </c>
      <c r="H23" s="97">
        <v>219</v>
      </c>
      <c r="I23" s="96">
        <v>45341</v>
      </c>
      <c r="J23" s="117">
        <v>45341</v>
      </c>
      <c r="K23" s="97">
        <v>291</v>
      </c>
      <c r="N23" s="234">
        <f>IF(N22&lt;&gt;"",N22+1,IF(TEXT(followers!$H$1,"aaa")=$B23,followers!$H$1,""))</f>
        <v>45369</v>
      </c>
      <c r="O23" s="235">
        <f>IF(O22&lt;&gt;"",O22+1,IF(TEXT(followers!$H$1,"aaa")=$B23,followers!$H$1,""))</f>
        <v>45369</v>
      </c>
      <c r="P23" s="226" cm="1">
        <f t="array" ref="P23">IFERROR(INDEX(visitors!$A$1:$Y$32,DAY(N23)+1,MATCH($N$2,visitors!$1:$1,0)),NA())</f>
        <v>264</v>
      </c>
      <c r="S23" s="6"/>
      <c r="T23" s="118"/>
      <c r="U23" s="95"/>
      <c r="W23" s="6"/>
      <c r="X23" s="118"/>
      <c r="Y23" s="95"/>
      <c r="AA23" s="6"/>
      <c r="AB23" s="118"/>
    </row>
    <row r="24" spans="1:28">
      <c r="A24" s="353"/>
      <c r="B24" s="109" t="s">
        <v>125</v>
      </c>
      <c r="C24" s="98">
        <v>45279</v>
      </c>
      <c r="D24" s="106">
        <v>45279</v>
      </c>
      <c r="E24" s="99">
        <v>262</v>
      </c>
      <c r="F24" s="98">
        <v>45307</v>
      </c>
      <c r="G24" s="106">
        <v>45307</v>
      </c>
      <c r="H24" s="99">
        <v>334</v>
      </c>
      <c r="I24" s="98">
        <v>45342</v>
      </c>
      <c r="J24" s="106">
        <v>45342</v>
      </c>
      <c r="K24" s="99">
        <v>242</v>
      </c>
      <c r="N24" s="236">
        <f>IF(N23&lt;&gt;"",N23+1,IF(TEXT(followers!$H$1,"aaa")=$B24,followers!$H$1,""))</f>
        <v>45370</v>
      </c>
      <c r="O24" s="237">
        <f>IF(O23&lt;&gt;"",O23+1,IF(TEXT(followers!$H$1,"aaa")=$B24,followers!$H$1,""))</f>
        <v>45370</v>
      </c>
      <c r="P24" s="166" cm="1">
        <f t="array" ref="P24">IFERROR(INDEX(visitors!$A$1:$Y$32,DAY(N24)+1,MATCH($N$2,visitors!$1:$1,0)),NA())</f>
        <v>332</v>
      </c>
      <c r="S24" s="6"/>
      <c r="T24" s="118"/>
      <c r="U24" s="95"/>
      <c r="W24" s="6"/>
      <c r="X24" s="118"/>
      <c r="Y24" s="95"/>
      <c r="AA24" s="6"/>
      <c r="AB24" s="118"/>
    </row>
    <row r="25" spans="1:28">
      <c r="A25" s="353"/>
      <c r="B25" s="109" t="s">
        <v>127</v>
      </c>
      <c r="C25" s="98">
        <v>45280</v>
      </c>
      <c r="D25" s="106">
        <v>45280</v>
      </c>
      <c r="E25" s="99">
        <v>213</v>
      </c>
      <c r="F25" s="98">
        <v>45308</v>
      </c>
      <c r="G25" s="106">
        <v>45308</v>
      </c>
      <c r="H25" s="99">
        <v>256</v>
      </c>
      <c r="I25" s="98">
        <v>45343</v>
      </c>
      <c r="J25" s="106">
        <v>45343</v>
      </c>
      <c r="K25" s="99">
        <v>321</v>
      </c>
      <c r="N25" s="236">
        <f>IF(N24&lt;&gt;"",N24+1,IF(TEXT(followers!$H$1,"aaa")=$B25,followers!$H$1,""))</f>
        <v>45371</v>
      </c>
      <c r="O25" s="237">
        <f>IF(O24&lt;&gt;"",O24+1,IF(TEXT(followers!$H$1,"aaa")=$B25,followers!$H$1,""))</f>
        <v>45371</v>
      </c>
      <c r="P25" s="166" cm="1">
        <f t="array" ref="P25">IFERROR(INDEX(visitors!$A$1:$Y$32,DAY(N25)+1,MATCH($N$2,visitors!$1:$1,0)),NA())</f>
        <v>359</v>
      </c>
      <c r="S25" s="6"/>
      <c r="T25" s="118"/>
      <c r="U25" s="95"/>
      <c r="W25" s="6"/>
      <c r="X25" s="118"/>
      <c r="Y25" s="95"/>
      <c r="AA25" s="6"/>
      <c r="AB25" s="118"/>
    </row>
    <row r="26" spans="1:28">
      <c r="A26" s="353"/>
      <c r="B26" s="109" t="s">
        <v>124</v>
      </c>
      <c r="C26" s="98">
        <v>45281</v>
      </c>
      <c r="D26" s="106">
        <v>45281</v>
      </c>
      <c r="E26" s="99">
        <v>204</v>
      </c>
      <c r="F26" s="98">
        <v>45309</v>
      </c>
      <c r="G26" s="106">
        <v>45309</v>
      </c>
      <c r="H26" s="99">
        <v>241</v>
      </c>
      <c r="I26" s="98">
        <v>45344</v>
      </c>
      <c r="J26" s="106">
        <v>45344</v>
      </c>
      <c r="K26" s="99">
        <v>244</v>
      </c>
      <c r="N26" s="236">
        <f>IF(N25&lt;&gt;"",N25+1,IF(TEXT(followers!$H$1,"aaa")=$B26,followers!$H$1,""))</f>
        <v>45372</v>
      </c>
      <c r="O26" s="237">
        <f>IF(O25&lt;&gt;"",O25+1,IF(TEXT(followers!$H$1,"aaa")=$B26,followers!$H$1,""))</f>
        <v>45372</v>
      </c>
      <c r="P26" s="166" cm="1">
        <f t="array" ref="P26">IFERROR(INDEX(visitors!$A$1:$Y$32,DAY(N26)+1,MATCH($N$2,visitors!$1:$1,0)),NA())</f>
        <v>215</v>
      </c>
      <c r="S26" s="6"/>
      <c r="T26" s="118"/>
      <c r="U26" s="95"/>
      <c r="W26" s="6"/>
      <c r="X26" s="118"/>
      <c r="Y26" s="95"/>
      <c r="AA26" s="6"/>
      <c r="AB26" s="118"/>
    </row>
    <row r="27" spans="1:28">
      <c r="A27" s="353"/>
      <c r="B27" s="109" t="s">
        <v>126</v>
      </c>
      <c r="C27" s="98">
        <v>45282</v>
      </c>
      <c r="D27" s="106">
        <v>45282</v>
      </c>
      <c r="E27" s="99">
        <v>201</v>
      </c>
      <c r="F27" s="98">
        <v>45310</v>
      </c>
      <c r="G27" s="106">
        <v>45310</v>
      </c>
      <c r="H27" s="99">
        <v>309</v>
      </c>
      <c r="I27" s="98">
        <v>45345</v>
      </c>
      <c r="J27" s="106">
        <v>45345</v>
      </c>
      <c r="K27" s="99">
        <v>289</v>
      </c>
      <c r="N27" s="236">
        <f>IF(N26&lt;&gt;"",N26+1,IF(TEXT(followers!$H$1,"aaa")=$B27,followers!$H$1,""))</f>
        <v>45373</v>
      </c>
      <c r="O27" s="237">
        <f>IF(O26&lt;&gt;"",O26+1,IF(TEXT(followers!$H$1,"aaa")=$B27,followers!$H$1,""))</f>
        <v>45373</v>
      </c>
      <c r="P27" s="166" cm="1">
        <f t="array" ref="P27">IFERROR(INDEX(visitors!$A$1:$Y$32,DAY(N27)+1,MATCH($N$2,visitors!$1:$1,0)),NA())</f>
        <v>210</v>
      </c>
      <c r="S27" s="6"/>
      <c r="T27" s="118"/>
      <c r="U27" s="95"/>
      <c r="W27" s="6"/>
      <c r="X27" s="118"/>
      <c r="Y27" s="95"/>
      <c r="AA27" s="6"/>
      <c r="AB27" s="118"/>
    </row>
    <row r="28" spans="1:28">
      <c r="A28" s="353"/>
      <c r="B28" s="109" t="s">
        <v>131</v>
      </c>
      <c r="C28" s="98">
        <v>45283</v>
      </c>
      <c r="D28" s="106">
        <v>45283</v>
      </c>
      <c r="E28" s="99">
        <v>71</v>
      </c>
      <c r="F28" s="98">
        <v>45311</v>
      </c>
      <c r="G28" s="106">
        <v>45311</v>
      </c>
      <c r="H28" s="99">
        <v>67</v>
      </c>
      <c r="I28" s="98">
        <v>45346</v>
      </c>
      <c r="J28" s="106">
        <v>45346</v>
      </c>
      <c r="K28" s="99">
        <v>73</v>
      </c>
      <c r="N28" s="236">
        <f>IF(N27&lt;&gt;"",N27+1,IF(TEXT(followers!$H$1,"aaa")=$B28,followers!$H$1,""))</f>
        <v>45374</v>
      </c>
      <c r="O28" s="237">
        <f>IF(O27&lt;&gt;"",O27+1,IF(TEXT(followers!$H$1,"aaa")=$B28,followers!$H$1,""))</f>
        <v>45374</v>
      </c>
      <c r="P28" s="166" cm="1">
        <f t="array" ref="P28">IFERROR(INDEX(visitors!$A$1:$Y$32,DAY(N28)+1,MATCH($N$2,visitors!$1:$1,0)),NA())</f>
        <v>64</v>
      </c>
      <c r="S28" s="6"/>
      <c r="T28" s="118"/>
      <c r="U28" s="95"/>
      <c r="W28" s="6"/>
      <c r="X28" s="118"/>
      <c r="Y28" s="95"/>
      <c r="AA28" s="6"/>
      <c r="AB28" s="118"/>
    </row>
    <row r="29" spans="1:28" ht="17.25" thickBot="1">
      <c r="A29" s="354"/>
      <c r="B29" s="110" t="s">
        <v>133</v>
      </c>
      <c r="C29" s="100">
        <v>45284</v>
      </c>
      <c r="D29" s="107">
        <v>45284</v>
      </c>
      <c r="E29" s="101">
        <v>30</v>
      </c>
      <c r="F29" s="100">
        <v>45312</v>
      </c>
      <c r="G29" s="107">
        <v>45312</v>
      </c>
      <c r="H29" s="101">
        <v>79</v>
      </c>
      <c r="I29" s="100">
        <v>45347</v>
      </c>
      <c r="J29" s="107">
        <v>45347</v>
      </c>
      <c r="K29" s="101">
        <v>63</v>
      </c>
      <c r="N29" s="238">
        <f>IF(N28&lt;&gt;"",N28+1,IF(TEXT(followers!$H$1,"aaa")=$B29,followers!$H$1,""))</f>
        <v>45375</v>
      </c>
      <c r="O29" s="239">
        <f>IF(O28&lt;&gt;"",O28+1,IF(TEXT(followers!$H$1,"aaa")=$B29,followers!$H$1,""))</f>
        <v>45375</v>
      </c>
      <c r="P29" s="227" cm="1">
        <f t="array" ref="P29">IFERROR(INDEX(visitors!$A$1:$Y$32,DAY(N29)+1,MATCH($N$2,visitors!$1:$1,0)),NA())</f>
        <v>76</v>
      </c>
      <c r="S29" s="6"/>
      <c r="T29" s="118"/>
      <c r="U29" s="95"/>
      <c r="W29" s="6"/>
      <c r="X29" s="118"/>
      <c r="Y29" s="95"/>
      <c r="AA29" s="6"/>
      <c r="AB29" s="118"/>
    </row>
    <row r="30" spans="1:28">
      <c r="A30" s="352" t="s">
        <v>141</v>
      </c>
      <c r="B30" s="116" t="s">
        <v>128</v>
      </c>
      <c r="C30" s="96">
        <v>45285</v>
      </c>
      <c r="D30" s="117">
        <v>45285</v>
      </c>
      <c r="E30" s="97">
        <v>94</v>
      </c>
      <c r="F30" s="96">
        <v>45313</v>
      </c>
      <c r="G30" s="117">
        <v>45313</v>
      </c>
      <c r="H30" s="97">
        <v>225</v>
      </c>
      <c r="I30" s="96">
        <v>45348</v>
      </c>
      <c r="J30" s="117">
        <v>45348</v>
      </c>
      <c r="K30" s="97">
        <v>307</v>
      </c>
      <c r="N30" s="234">
        <f>IF(N29&lt;&gt;"",N29+1,IF(TEXT(followers!$H$1,"aaa")=$B30,followers!$H$1,""))</f>
        <v>45376</v>
      </c>
      <c r="O30" s="235">
        <f>IF(O29&lt;&gt;"",O29+1,IF(TEXT(followers!$H$1,"aaa")=$B30,followers!$H$1,""))</f>
        <v>45376</v>
      </c>
      <c r="P30" s="226" cm="1">
        <f t="array" ref="P30">IFERROR(INDEX(visitors!$A$1:$Y$32,DAY(N30)+1,MATCH($N$2,visitors!$1:$1,0)),NA())</f>
        <v>284</v>
      </c>
      <c r="S30" s="6"/>
      <c r="T30" s="118"/>
      <c r="U30" s="95"/>
      <c r="W30" s="6"/>
      <c r="X30" s="118"/>
      <c r="Y30" s="95"/>
      <c r="AA30" s="6"/>
      <c r="AB30" s="118"/>
    </row>
    <row r="31" spans="1:28">
      <c r="A31" s="353"/>
      <c r="B31" s="109" t="s">
        <v>125</v>
      </c>
      <c r="C31" s="98">
        <v>45286</v>
      </c>
      <c r="D31" s="106">
        <v>45286</v>
      </c>
      <c r="E31" s="99">
        <v>164</v>
      </c>
      <c r="F31" s="98">
        <v>45314</v>
      </c>
      <c r="G31" s="106">
        <v>45314</v>
      </c>
      <c r="H31" s="99">
        <v>308</v>
      </c>
      <c r="I31" s="98">
        <v>45349</v>
      </c>
      <c r="J31" s="106">
        <v>45349</v>
      </c>
      <c r="K31" s="99">
        <v>270</v>
      </c>
      <c r="N31" s="236">
        <f>IF(N30&lt;&gt;"",N30+1,IF(TEXT(followers!$H$1,"aaa")=$B31,followers!$H$1,""))</f>
        <v>45377</v>
      </c>
      <c r="O31" s="237">
        <f>IF(O30&lt;&gt;"",O30+1,IF(TEXT(followers!$H$1,"aaa")=$B31,followers!$H$1,""))</f>
        <v>45377</v>
      </c>
      <c r="P31" s="166" cm="1">
        <f t="array" ref="P31">IFERROR(INDEX(visitors!$A$1:$Y$32,DAY(N31)+1,MATCH($N$2,visitors!$1:$1,0)),NA())</f>
        <v>478</v>
      </c>
      <c r="S31" s="6"/>
      <c r="T31" s="118"/>
      <c r="U31" s="95"/>
      <c r="W31" s="6"/>
      <c r="X31" s="118"/>
      <c r="Y31" s="95"/>
      <c r="AA31" s="6"/>
      <c r="AB31" s="118"/>
    </row>
    <row r="32" spans="1:28">
      <c r="A32" s="353"/>
      <c r="B32" s="109" t="s">
        <v>127</v>
      </c>
      <c r="C32" s="98">
        <v>45287</v>
      </c>
      <c r="D32" s="106">
        <v>45287</v>
      </c>
      <c r="E32" s="99">
        <v>165</v>
      </c>
      <c r="F32" s="98">
        <v>45315</v>
      </c>
      <c r="G32" s="106">
        <v>45315</v>
      </c>
      <c r="H32" s="99">
        <v>246</v>
      </c>
      <c r="I32" s="98">
        <v>45350</v>
      </c>
      <c r="J32" s="106">
        <v>45350</v>
      </c>
      <c r="K32" s="99">
        <v>337</v>
      </c>
      <c r="N32" s="236">
        <f>IF(N31="","",IF(MONTH(N31)&lt;MONTH(N31+1),"",IF(N31&lt;&gt;"",N31+1,IF(TEXT(followers!$H$1,"aaa")=$B31,followers!$H$1,""))))</f>
        <v>45378</v>
      </c>
      <c r="O32" s="237">
        <f>IF(O31="","",IF(MONTH(O31)&lt;MONTH(O31+1),"",IF(O31&lt;&gt;"",O31+1,IF(TEXT(followers!$H$1,"aaa")=$B32,followers!$H$1,""))))</f>
        <v>45378</v>
      </c>
      <c r="P32" s="166" cm="1">
        <f t="array" ref="P32">IFERROR(INDEX(visitors!$A$1:$Y$32,DAY(N32)+1,MATCH($N$2,visitors!$1:$1,0)),NA())</f>
        <v>564</v>
      </c>
      <c r="S32" s="6"/>
      <c r="T32" s="118"/>
      <c r="U32" s="95"/>
      <c r="W32" s="6"/>
      <c r="X32" s="118"/>
      <c r="Y32" s="95"/>
      <c r="AA32" s="6"/>
      <c r="AB32" s="118"/>
    </row>
    <row r="33" spans="1:28">
      <c r="A33" s="353"/>
      <c r="B33" s="109" t="s">
        <v>124</v>
      </c>
      <c r="C33" s="98">
        <v>45288</v>
      </c>
      <c r="D33" s="106">
        <v>45288</v>
      </c>
      <c r="E33" s="99">
        <v>165</v>
      </c>
      <c r="F33" s="98">
        <v>45316</v>
      </c>
      <c r="G33" s="106">
        <v>45316</v>
      </c>
      <c r="H33" s="99">
        <v>272</v>
      </c>
      <c r="I33" s="98">
        <v>45351</v>
      </c>
      <c r="J33" s="106">
        <v>45351</v>
      </c>
      <c r="K33" s="99">
        <v>275</v>
      </c>
      <c r="N33" s="236">
        <f>IF(N32="","",IF(MONTH(N32)&lt;MONTH(N32+1),"",IF(N32&lt;&gt;"",N32+1,IF(TEXT(followers!$H$1,"aaa")=$B32,followers!$H$1,""))))</f>
        <v>45379</v>
      </c>
      <c r="O33" s="237">
        <f>IF(O32="","",IF(MONTH(O32)&lt;MONTH(O32+1),"",IF(O32&lt;&gt;"",O32+1,IF(TEXT(followers!$H$1,"aaa")=$B33,followers!$H$1,""))))</f>
        <v>45379</v>
      </c>
      <c r="P33" s="166" cm="1">
        <f t="array" ref="P33">IFERROR(INDEX(visitors!$A$1:$Y$32,DAY(N33)+1,MATCH($N$2,visitors!$1:$1,0)),NA())</f>
        <v>403</v>
      </c>
      <c r="S33" s="6"/>
      <c r="T33" s="118"/>
      <c r="U33" s="95"/>
      <c r="W33" s="6"/>
      <c r="X33" s="118"/>
      <c r="Y33" s="95"/>
      <c r="AA33" s="6"/>
      <c r="AB33" s="118"/>
    </row>
    <row r="34" spans="1:28">
      <c r="A34" s="353"/>
      <c r="B34" s="109" t="s">
        <v>126</v>
      </c>
      <c r="C34" s="98">
        <v>45289</v>
      </c>
      <c r="D34" s="106">
        <v>45289</v>
      </c>
      <c r="E34" s="99">
        <v>162</v>
      </c>
      <c r="F34" s="98">
        <v>45317</v>
      </c>
      <c r="G34" s="106">
        <v>45317</v>
      </c>
      <c r="H34" s="99">
        <v>305</v>
      </c>
      <c r="I34" s="98" t="s">
        <v>39</v>
      </c>
      <c r="J34" s="106" t="s">
        <v>39</v>
      </c>
      <c r="K34" s="99" t="e">
        <v>#N/A</v>
      </c>
      <c r="N34" s="236">
        <f>IF(N33="","",IF(MONTH(N33)&lt;MONTH(N33+1),"",IF(N33&lt;&gt;"",N33+1,IF(TEXT(followers!$H$1,"aaa")=$B33,followers!$H$1,""))))</f>
        <v>45380</v>
      </c>
      <c r="O34" s="237">
        <f>IF(O33="","",IF(MONTH(O33)&lt;MONTH(O33+1),"",IF(O33&lt;&gt;"",O33+1,IF(TEXT(followers!$H$1,"aaa")=$B34,followers!$H$1,""))))</f>
        <v>45380</v>
      </c>
      <c r="P34" s="166" cm="1">
        <f t="array" ref="P34">IFERROR(INDEX(visitors!$A$1:$Y$32,DAY(N34)+1,MATCH($N$2,visitors!$1:$1,0)),NA())</f>
        <v>177</v>
      </c>
      <c r="S34" s="6"/>
      <c r="T34" s="118"/>
      <c r="U34" s="95"/>
      <c r="W34" s="6"/>
      <c r="X34" s="118"/>
      <c r="Y34" s="95"/>
      <c r="AA34" s="6"/>
      <c r="AB34" s="118"/>
    </row>
    <row r="35" spans="1:28">
      <c r="A35" s="353"/>
      <c r="B35" s="109" t="s">
        <v>131</v>
      </c>
      <c r="C35" s="98">
        <v>45290</v>
      </c>
      <c r="D35" s="106">
        <v>45290</v>
      </c>
      <c r="E35" s="99">
        <v>68</v>
      </c>
      <c r="F35" s="98">
        <v>45318</v>
      </c>
      <c r="G35" s="106">
        <v>45318</v>
      </c>
      <c r="H35" s="99">
        <v>41</v>
      </c>
      <c r="I35" s="98" t="s">
        <v>39</v>
      </c>
      <c r="J35" s="106" t="s">
        <v>39</v>
      </c>
      <c r="K35" s="99" t="e">
        <v>#N/A</v>
      </c>
      <c r="N35" s="236">
        <f>IF(N34="","",IF(MONTH(N34)&lt;MONTH(N34+1),"",IF(N34&lt;&gt;"",N34+1,IF(TEXT(followers!$H$1,"aaa")=$B34,followers!$H$1,""))))</f>
        <v>45381</v>
      </c>
      <c r="O35" s="237">
        <f>IF(O34="","",IF(MONTH(O34)&lt;MONTH(O34+1),"",IF(O34&lt;&gt;"",O34+1,IF(TEXT(followers!$H$1,"aaa")=$B35,followers!$H$1,""))))</f>
        <v>45381</v>
      </c>
      <c r="P35" s="166" cm="1">
        <f t="array" ref="P35">IFERROR(INDEX(visitors!$A$1:$Y$32,DAY(N35)+1,MATCH($N$2,visitors!$1:$1,0)),NA())</f>
        <v>77</v>
      </c>
      <c r="S35" s="6"/>
      <c r="T35" s="118"/>
      <c r="U35" s="95"/>
      <c r="W35" s="6"/>
      <c r="X35" s="118"/>
      <c r="Y35" s="95"/>
      <c r="AA35" s="6"/>
      <c r="AB35" s="118"/>
    </row>
    <row r="36" spans="1:28" ht="17.25" thickBot="1">
      <c r="A36" s="354"/>
      <c r="B36" s="110" t="s">
        <v>133</v>
      </c>
      <c r="C36" s="100">
        <v>45291</v>
      </c>
      <c r="D36" s="107">
        <v>45291</v>
      </c>
      <c r="E36" s="101">
        <v>82</v>
      </c>
      <c r="F36" s="100">
        <v>45319</v>
      </c>
      <c r="G36" s="107">
        <v>45319</v>
      </c>
      <c r="H36" s="101">
        <v>70</v>
      </c>
      <c r="I36" s="100" t="s">
        <v>39</v>
      </c>
      <c r="J36" s="107" t="s">
        <v>39</v>
      </c>
      <c r="K36" s="101" t="e">
        <v>#N/A</v>
      </c>
      <c r="N36" s="238">
        <f>IF(N35="","",IF(MONTH(N35)&lt;MONTH(N35+1),"",IF(N35&lt;&gt;"",N35+1,IF(TEXT(followers!$H$1,"aaa")=$B35,followers!$H$1,""))))</f>
        <v>45382</v>
      </c>
      <c r="O36" s="239">
        <f>IF(O35="","",IF(MONTH(O35)&lt;MONTH(O35+1),"",IF(O35&lt;&gt;"",O35+1,IF(TEXT(followers!$H$1,"aaa")=$B36,followers!$H$1,""))))</f>
        <v>45382</v>
      </c>
      <c r="P36" s="227" cm="1">
        <f t="array" ref="P36">IFERROR(INDEX(visitors!$A$1:$Y$32,DAY(N36)+1,MATCH($N$2,visitors!$1:$1,0)),NA())</f>
        <v>89</v>
      </c>
      <c r="S36" s="6"/>
      <c r="T36" s="118"/>
      <c r="U36" s="95"/>
      <c r="W36" s="6"/>
      <c r="X36" s="118"/>
      <c r="Y36" s="95"/>
      <c r="AA36" s="6"/>
      <c r="AB36" s="118"/>
    </row>
    <row r="37" spans="1:28">
      <c r="A37" s="352" t="s">
        <v>142</v>
      </c>
      <c r="B37" s="116" t="s">
        <v>128</v>
      </c>
      <c r="C37" s="96"/>
      <c r="D37" s="117"/>
      <c r="E37" s="97"/>
      <c r="F37" s="96">
        <v>45320</v>
      </c>
      <c r="G37" s="117">
        <v>45320</v>
      </c>
      <c r="H37" s="97">
        <v>225</v>
      </c>
      <c r="I37" s="96" t="s">
        <v>39</v>
      </c>
      <c r="J37" s="117" t="s">
        <v>39</v>
      </c>
      <c r="K37" s="97" t="e">
        <v>#N/A</v>
      </c>
      <c r="N37" s="234" t="str">
        <f>IF(N36="","",IF(MONTH(N36)&lt;MONTH(N36+1),"",IF(N36&lt;&gt;"",N36+1,IF(TEXT(followers!$H$1,"aaa")=$B36,followers!$H$1,""))))</f>
        <v/>
      </c>
      <c r="O37" s="235" t="str">
        <f>IF(O36="","",IF(MONTH(O36)&lt;MONTH(O36+1),"",IF(O36&lt;&gt;"",O36+1,IF(TEXT(followers!$H$1,"aaa")=$B37,followers!$H$1,""))))</f>
        <v/>
      </c>
      <c r="P37" s="226" t="e" cm="1">
        <f t="array" ref="P37">IFERROR(INDEX(visitors!$A$1:$Y$32,DAY(N37)+1,MATCH($N$2,visitors!$1:$1,0)),NA())</f>
        <v>#N/A</v>
      </c>
      <c r="S37" s="6"/>
      <c r="T37" s="118"/>
      <c r="U37" s="95"/>
      <c r="W37" s="6"/>
      <c r="X37" s="118"/>
      <c r="Y37" s="95"/>
      <c r="AA37" s="6"/>
      <c r="AB37" s="118"/>
    </row>
    <row r="38" spans="1:28">
      <c r="A38" s="353"/>
      <c r="B38" s="109" t="s">
        <v>125</v>
      </c>
      <c r="C38" s="98"/>
      <c r="D38" s="106"/>
      <c r="E38" s="99"/>
      <c r="F38" s="98">
        <v>45321</v>
      </c>
      <c r="G38" s="106">
        <v>45321</v>
      </c>
      <c r="H38" s="99">
        <v>276</v>
      </c>
      <c r="I38" s="98" t="s">
        <v>39</v>
      </c>
      <c r="J38" s="106" t="s">
        <v>39</v>
      </c>
      <c r="K38" s="99" t="e">
        <v>#N/A</v>
      </c>
      <c r="N38" s="236" t="str">
        <f>IF(N37="","",IF(MONTH(N37)&lt;MONTH(N37+1),"",IF(N37&lt;&gt;"",N37+1,IF(TEXT(followers!$H$1,"aaa")=$B37,followers!$H$1,""))))</f>
        <v/>
      </c>
      <c r="O38" s="237" t="str">
        <f>IF(O37="","",IF(MONTH(O37)&lt;MONTH(O37+1),"",IF(O37&lt;&gt;"",O37+1,IF(TEXT(followers!$H$1,"aaa")=$B38,followers!$H$1,""))))</f>
        <v/>
      </c>
      <c r="P38" s="166" t="e" cm="1">
        <f t="array" ref="P38">IFERROR(INDEX(visitors!$A$1:$Y$32,DAY(N38)+1,MATCH($N$2,visitors!$1:$1,0)),NA())</f>
        <v>#N/A</v>
      </c>
      <c r="S38" s="6"/>
      <c r="T38" s="118"/>
      <c r="U38" s="95"/>
      <c r="W38" s="6"/>
      <c r="X38" s="118"/>
      <c r="Y38" s="95"/>
      <c r="AA38" s="6"/>
      <c r="AB38" s="118"/>
    </row>
    <row r="39" spans="1:28">
      <c r="A39" s="353"/>
      <c r="B39" s="109" t="s">
        <v>127</v>
      </c>
      <c r="C39" s="98"/>
      <c r="D39" s="106"/>
      <c r="E39" s="99"/>
      <c r="F39" s="98">
        <v>45322</v>
      </c>
      <c r="G39" s="106">
        <v>45322</v>
      </c>
      <c r="H39" s="99">
        <v>271</v>
      </c>
      <c r="I39" s="98" t="s">
        <v>39</v>
      </c>
      <c r="J39" s="106" t="s">
        <v>39</v>
      </c>
      <c r="K39" s="99" t="e">
        <v>#N/A</v>
      </c>
      <c r="N39" s="236" t="str">
        <f>IF(N38="","",IF(MONTH(N38)&lt;MONTH(N38+1),"",IF(N38&lt;&gt;"",N38+1,IF(TEXT(followers!$H$1,"aaa")=$B38,followers!$H$1,""))))</f>
        <v/>
      </c>
      <c r="O39" s="237" t="str">
        <f>IF(O38="","",IF(MONTH(O38)&lt;MONTH(O38+1),"",IF(O38&lt;&gt;"",O38+1,IF(TEXT(followers!$H$1,"aaa")=$B39,followers!$H$1,""))))</f>
        <v/>
      </c>
      <c r="P39" s="166" t="e" cm="1">
        <f t="array" ref="P39">IFERROR(INDEX(visitors!$A$1:$Y$32,DAY(N39)+1,MATCH($N$2,visitors!$1:$1,0)),NA())</f>
        <v>#N/A</v>
      </c>
      <c r="S39" s="6"/>
      <c r="T39" s="118"/>
      <c r="U39" s="95"/>
      <c r="W39" s="6"/>
      <c r="X39" s="118"/>
      <c r="Y39" s="95"/>
      <c r="AA39" s="6"/>
      <c r="AB39" s="118"/>
    </row>
    <row r="40" spans="1:28">
      <c r="A40" s="353"/>
      <c r="B40" s="109" t="s">
        <v>124</v>
      </c>
      <c r="C40" s="98"/>
      <c r="D40" s="106"/>
      <c r="E40" s="99"/>
      <c r="F40" s="98"/>
      <c r="G40" s="106"/>
      <c r="H40" s="99"/>
      <c r="I40" s="98" t="s">
        <v>39</v>
      </c>
      <c r="J40" s="106" t="s">
        <v>39</v>
      </c>
      <c r="K40" s="99" t="e">
        <v>#N/A</v>
      </c>
      <c r="N40" s="236" t="str">
        <f>IF(N39="","",IF(MONTH(N39)&lt;MONTH(N39+1),"",IF(N39&lt;&gt;"",N39+1,IF(TEXT(followers!$H$1,"aaa")=$B39,followers!$H$1,""))))</f>
        <v/>
      </c>
      <c r="O40" s="237" t="str">
        <f>IF(O39="","",IF(MONTH(O39)&lt;MONTH(O39+1),"",IF(O39&lt;&gt;"",O39+1,IF(TEXT(followers!$H$1,"aaa")=$B40,followers!$H$1,""))))</f>
        <v/>
      </c>
      <c r="P40" s="166" t="e" cm="1">
        <f t="array" ref="P40">IFERROR(INDEX(visitors!$A$1:$Y$32,DAY(N40)+1,MATCH($N$2,visitors!$1:$1,0)),NA())</f>
        <v>#N/A</v>
      </c>
      <c r="S40" s="6"/>
      <c r="T40" s="118"/>
      <c r="U40" s="95"/>
      <c r="W40" s="6"/>
      <c r="X40" s="118"/>
      <c r="Y40" s="95"/>
      <c r="AA40" s="6"/>
      <c r="AB40" s="118"/>
    </row>
    <row r="41" spans="1:28" ht="17.25" thickBot="1">
      <c r="A41" s="354"/>
      <c r="B41" s="110" t="s">
        <v>126</v>
      </c>
      <c r="C41" s="100"/>
      <c r="D41" s="107"/>
      <c r="E41" s="101"/>
      <c r="F41" s="100"/>
      <c r="G41" s="107"/>
      <c r="H41" s="101"/>
      <c r="I41" s="100" t="s">
        <v>39</v>
      </c>
      <c r="J41" s="107" t="s">
        <v>39</v>
      </c>
      <c r="K41" s="101" t="e">
        <v>#N/A</v>
      </c>
      <c r="N41" s="236" t="str">
        <f>IF(N40="","",IF(MONTH(N40)&lt;MONTH(N40+1),"",IF(N40&lt;&gt;"",N40+1,IF(TEXT(followers!$H$1,"aaa")=$B40,followers!$H$1,""))))</f>
        <v/>
      </c>
      <c r="O41" s="237" t="str">
        <f>IF(O40="","",IF(MONTH(O40)&lt;MONTH(O40+1),"",IF(O40&lt;&gt;"",O40+1,IF(TEXT(followers!$H$1,"aaa")=$B41,followers!$H$1,""))))</f>
        <v/>
      </c>
      <c r="P41" s="166" t="e" cm="1">
        <f t="array" ref="P41">IFERROR(INDEX(visitors!$A$1:$Y$32,DAY(N41)+1,MATCH($N$2,visitors!$1:$1,0)),NA())</f>
        <v>#N/A</v>
      </c>
      <c r="S41" s="6"/>
      <c r="T41" s="118"/>
      <c r="U41" s="95"/>
      <c r="W41" s="6"/>
      <c r="X41" s="118"/>
      <c r="Y41" s="95"/>
      <c r="AA41" s="6"/>
      <c r="AB41" s="118"/>
    </row>
    <row r="44" spans="1:28">
      <c r="A44" s="125" t="s">
        <v>150</v>
      </c>
    </row>
    <row r="45" spans="1:28">
      <c r="A45" s="125" t="s">
        <v>150</v>
      </c>
    </row>
    <row r="46" spans="1:28">
      <c r="A46" s="125" t="s">
        <v>150</v>
      </c>
    </row>
    <row r="47" spans="1:28">
      <c r="A47" s="125" t="s">
        <v>150</v>
      </c>
    </row>
    <row r="48" spans="1:28">
      <c r="A48" s="125" t="s">
        <v>150</v>
      </c>
    </row>
  </sheetData>
  <mergeCells count="10">
    <mergeCell ref="N3:P3"/>
    <mergeCell ref="A37:A41"/>
    <mergeCell ref="F3:H3"/>
    <mergeCell ref="I3:K3"/>
    <mergeCell ref="C3:E3"/>
    <mergeCell ref="A5:A8"/>
    <mergeCell ref="A9:A15"/>
    <mergeCell ref="A16:A22"/>
    <mergeCell ref="A23:A29"/>
    <mergeCell ref="A30:A36"/>
  </mergeCells>
  <phoneticPr fontId="2"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58507-8C39-4999-9D9C-935E1A9FDBA1}">
  <sheetPr>
    <tabColor theme="9" tint="0.79998168889431442"/>
  </sheetPr>
  <dimension ref="A1:X36"/>
  <sheetViews>
    <sheetView workbookViewId="0">
      <selection activeCell="G20" sqref="G20"/>
    </sheetView>
  </sheetViews>
  <sheetFormatPr defaultRowHeight="16.5"/>
  <cols>
    <col min="1" max="1" width="6.75" customWidth="1"/>
    <col min="2" max="6" width="20.375" customWidth="1"/>
    <col min="8" max="8" width="6.25" customWidth="1"/>
    <col min="9" max="13" width="20.375" customWidth="1"/>
  </cols>
  <sheetData>
    <row r="1" spans="1:24" ht="17.25" thickBot="1">
      <c r="A1" t="str">
        <f>"["&amp;IF(MONTH(followers!H1)=1,11,IF(MONTH(followers!H1)=2,12,MONTH(followers!H1)-2))&amp;"·"&amp;IF(MONTH(followers!H1)=1,12,MONTH(followers!H1)-1)&amp;"·"&amp;MONTH(followers!H1)&amp;"월 페이지 지표 비교]"</f>
        <v>[1·2·3월 페이지 지표 비교]</v>
      </c>
      <c r="I1" t="s">
        <v>62</v>
      </c>
      <c r="J1" t="s">
        <v>60</v>
      </c>
      <c r="K1" t="s">
        <v>61</v>
      </c>
      <c r="L1" t="s">
        <v>65</v>
      </c>
    </row>
    <row r="2" spans="1:24">
      <c r="A2" s="157" t="s">
        <v>4</v>
      </c>
      <c r="B2" s="146" t="s">
        <v>157</v>
      </c>
      <c r="C2" s="146" t="s">
        <v>158</v>
      </c>
      <c r="D2" s="146" t="s">
        <v>159</v>
      </c>
      <c r="E2" s="146" t="s">
        <v>160</v>
      </c>
      <c r="F2" s="147" t="s">
        <v>161</v>
      </c>
      <c r="H2" s="133"/>
      <c r="I2" s="135" t="s">
        <v>157</v>
      </c>
      <c r="J2" s="135" t="s">
        <v>158</v>
      </c>
      <c r="K2" s="135" t="s">
        <v>159</v>
      </c>
      <c r="L2" s="135" t="s">
        <v>160</v>
      </c>
      <c r="M2" s="136" t="s">
        <v>161</v>
      </c>
    </row>
    <row r="3" spans="1:24" ht="17.25" thickBot="1">
      <c r="A3" s="148" t="s">
        <v>154</v>
      </c>
      <c r="B3" s="149">
        <v>11158</v>
      </c>
      <c r="C3" s="149">
        <v>5980</v>
      </c>
      <c r="D3" s="149">
        <v>5178</v>
      </c>
      <c r="E3" s="149">
        <v>4979</v>
      </c>
      <c r="F3" s="286">
        <v>24</v>
      </c>
      <c r="H3" s="156" t="str">
        <f>MONTH(followers!H1)&amp;"월"</f>
        <v>3월</v>
      </c>
      <c r="I3" s="137">
        <f>SUM(visitors!V:V)</f>
        <v>13305</v>
      </c>
      <c r="J3" s="137">
        <f>SUM(visitors!T:T)</f>
        <v>7280</v>
      </c>
      <c r="K3" s="137">
        <f>SUM(visitors!U:U)</f>
        <v>6025</v>
      </c>
      <c r="L3" s="137">
        <f>SUM(visitors!Y:Y)</f>
        <v>5246</v>
      </c>
      <c r="M3" s="155">
        <f>MAX(contents!V:V)</f>
        <v>29</v>
      </c>
    </row>
    <row r="4" spans="1:24">
      <c r="A4" s="148" t="s">
        <v>155</v>
      </c>
      <c r="B4" s="149">
        <v>12664</v>
      </c>
      <c r="C4" s="149">
        <v>5743</v>
      </c>
      <c r="D4" s="149">
        <v>6921</v>
      </c>
      <c r="E4" s="149">
        <v>5093</v>
      </c>
      <c r="F4" s="286">
        <v>25</v>
      </c>
    </row>
    <row r="5" spans="1:24">
      <c r="A5" s="148" t="s">
        <v>156</v>
      </c>
      <c r="B5" s="149">
        <v>8281</v>
      </c>
      <c r="C5" s="149">
        <v>5077</v>
      </c>
      <c r="D5" s="149">
        <v>3204</v>
      </c>
      <c r="E5" s="149">
        <v>4034</v>
      </c>
      <c r="F5" s="286">
        <v>18</v>
      </c>
    </row>
    <row r="6" spans="1:24">
      <c r="A6" s="150" t="s">
        <v>162</v>
      </c>
      <c r="B6" s="149">
        <v>10498</v>
      </c>
      <c r="C6" s="149">
        <v>6482</v>
      </c>
      <c r="D6" s="149">
        <v>4016</v>
      </c>
      <c r="E6" s="149">
        <v>4648</v>
      </c>
      <c r="F6" s="286">
        <v>16</v>
      </c>
    </row>
    <row r="7" spans="1:24">
      <c r="A7" s="150" t="s">
        <v>339</v>
      </c>
      <c r="B7" s="149">
        <v>11078</v>
      </c>
      <c r="C7" s="149">
        <v>6414</v>
      </c>
      <c r="D7" s="149">
        <v>4664</v>
      </c>
      <c r="E7" s="149">
        <v>4914</v>
      </c>
      <c r="F7" s="286">
        <v>25</v>
      </c>
    </row>
    <row r="8" spans="1:24">
      <c r="A8" s="150" t="s">
        <v>653</v>
      </c>
      <c r="B8" s="149">
        <v>13305</v>
      </c>
      <c r="C8" s="149">
        <v>7280</v>
      </c>
      <c r="D8" s="149">
        <v>6025</v>
      </c>
      <c r="E8" s="149">
        <v>5246</v>
      </c>
      <c r="F8" s="286">
        <v>29</v>
      </c>
    </row>
    <row r="9" spans="1:24">
      <c r="A9" s="150"/>
      <c r="B9" s="151"/>
      <c r="C9" s="151"/>
      <c r="D9" s="151"/>
      <c r="E9" s="151"/>
      <c r="F9" s="99"/>
    </row>
    <row r="10" spans="1:24">
      <c r="A10" s="150"/>
      <c r="B10" s="151"/>
      <c r="C10" s="151"/>
      <c r="D10" s="151"/>
      <c r="E10" s="151"/>
      <c r="F10" s="99"/>
    </row>
    <row r="11" spans="1:24">
      <c r="A11" s="150"/>
      <c r="B11" s="151"/>
      <c r="C11" s="151"/>
      <c r="D11" s="151"/>
      <c r="E11" s="151"/>
      <c r="F11" s="99"/>
      <c r="T11" s="95"/>
      <c r="U11" s="95"/>
      <c r="V11" s="95"/>
      <c r="W11" s="95"/>
      <c r="X11" s="95"/>
    </row>
    <row r="12" spans="1:24">
      <c r="A12" s="150"/>
      <c r="B12" s="151"/>
      <c r="C12" s="151"/>
      <c r="D12" s="151"/>
      <c r="E12" s="151"/>
      <c r="F12" s="99"/>
      <c r="T12" s="144"/>
      <c r="U12" s="145"/>
      <c r="V12" s="144"/>
      <c r="W12" s="144"/>
      <c r="X12" s="144"/>
    </row>
    <row r="13" spans="1:24">
      <c r="A13" s="150"/>
      <c r="B13" s="151"/>
      <c r="C13" s="151"/>
      <c r="D13" s="151"/>
      <c r="E13" s="151"/>
      <c r="F13" s="99"/>
      <c r="T13" s="144"/>
      <c r="U13" s="145"/>
      <c r="V13" s="144"/>
      <c r="W13" s="144"/>
      <c r="X13" s="144"/>
    </row>
    <row r="14" spans="1:24">
      <c r="A14" s="150"/>
      <c r="B14" s="151"/>
      <c r="C14" s="151"/>
      <c r="D14" s="151"/>
      <c r="E14" s="151"/>
      <c r="F14" s="99"/>
      <c r="T14" s="144"/>
      <c r="U14" s="145"/>
      <c r="V14" s="144"/>
      <c r="W14" s="144"/>
      <c r="X14" s="144"/>
    </row>
    <row r="15" spans="1:24">
      <c r="A15" s="150"/>
      <c r="B15" s="151"/>
      <c r="C15" s="151"/>
      <c r="D15" s="151"/>
      <c r="E15" s="151"/>
      <c r="F15" s="99"/>
    </row>
    <row r="16" spans="1:24">
      <c r="A16" s="150"/>
      <c r="B16" s="151"/>
      <c r="C16" s="151"/>
      <c r="D16" s="151"/>
      <c r="E16" s="151"/>
      <c r="F16" s="99"/>
    </row>
    <row r="17" spans="1:12">
      <c r="A17" s="150"/>
      <c r="B17" s="151"/>
      <c r="C17" s="151"/>
      <c r="D17" s="151"/>
      <c r="E17" s="151"/>
      <c r="F17" s="99"/>
    </row>
    <row r="18" spans="1:12">
      <c r="A18" s="150"/>
      <c r="B18" s="151"/>
      <c r="C18" s="151"/>
      <c r="D18" s="151"/>
      <c r="E18" s="151"/>
      <c r="F18" s="99"/>
    </row>
    <row r="19" spans="1:12">
      <c r="A19" s="150"/>
      <c r="B19" s="151"/>
      <c r="C19" s="151"/>
      <c r="D19" s="151"/>
      <c r="E19" s="151"/>
      <c r="F19" s="99"/>
    </row>
    <row r="20" spans="1:12">
      <c r="A20" s="150"/>
      <c r="B20" s="151"/>
      <c r="C20" s="151"/>
      <c r="D20" s="151"/>
      <c r="E20" s="151"/>
      <c r="F20" s="99"/>
    </row>
    <row r="21" spans="1:12">
      <c r="A21" s="150"/>
      <c r="B21" s="151"/>
      <c r="C21" s="151"/>
      <c r="D21" s="151"/>
      <c r="E21" s="151"/>
      <c r="F21" s="99"/>
    </row>
    <row r="22" spans="1:12">
      <c r="A22" s="150"/>
      <c r="B22" s="151"/>
      <c r="C22" s="151"/>
      <c r="D22" s="151"/>
      <c r="E22" s="151"/>
      <c r="F22" s="99"/>
    </row>
    <row r="23" spans="1:12">
      <c r="A23" s="150"/>
      <c r="B23" s="151"/>
      <c r="C23" s="151"/>
      <c r="D23" s="151"/>
      <c r="E23" s="151"/>
      <c r="F23" s="99"/>
    </row>
    <row r="24" spans="1:12">
      <c r="A24" s="150"/>
      <c r="B24" s="151"/>
      <c r="C24" s="151"/>
      <c r="D24" s="151"/>
      <c r="E24" s="151"/>
      <c r="F24" s="99"/>
    </row>
    <row r="25" spans="1:12">
      <c r="A25" s="150"/>
      <c r="B25" s="151"/>
      <c r="C25" s="151"/>
      <c r="D25" s="151"/>
      <c r="E25" s="151"/>
      <c r="F25" s="99"/>
    </row>
    <row r="26" spans="1:12">
      <c r="A26" s="150"/>
      <c r="B26" s="151"/>
      <c r="C26" s="151"/>
      <c r="D26" s="151"/>
      <c r="E26" s="151"/>
      <c r="F26" s="99"/>
    </row>
    <row r="27" spans="1:12" ht="17.25" thickBot="1">
      <c r="A27" s="150"/>
      <c r="B27" s="151"/>
      <c r="C27" s="151"/>
      <c r="D27" s="151"/>
      <c r="E27" s="151"/>
      <c r="F27" s="99"/>
    </row>
    <row r="28" spans="1:12">
      <c r="A28" s="150"/>
      <c r="B28" s="151"/>
      <c r="C28" s="151"/>
      <c r="D28" s="151"/>
      <c r="E28" s="151"/>
      <c r="F28" s="99"/>
      <c r="I28" s="138"/>
      <c r="J28" s="139" t="str" cm="1">
        <f t="array" ref="J28">INDEX(A:A,COUNTA(A:A)-2)</f>
        <v>1월</v>
      </c>
      <c r="K28" s="139" t="str" cm="1">
        <f t="array" ref="K28">INDEX(A:A,COUNTA(A:A)-1)</f>
        <v>2월</v>
      </c>
      <c r="L28" s="140" t="str" cm="1">
        <f t="array" ref="L28">INDEX(A:A,COUNTA(A:A))</f>
        <v>3월</v>
      </c>
    </row>
    <row r="29" spans="1:12">
      <c r="A29" s="150"/>
      <c r="B29" s="151"/>
      <c r="C29" s="151"/>
      <c r="D29" s="151"/>
      <c r="E29" s="151"/>
      <c r="F29" s="99"/>
      <c r="I29" s="141" t="s">
        <v>157</v>
      </c>
      <c r="J29" s="159" cm="1">
        <f t="array" ref="J29">INDEX(B:B,COUNTA(B:B)-1)</f>
        <v>10498</v>
      </c>
      <c r="K29" s="159" cm="1">
        <f t="array" ref="K29">INDEX(B:B,COUNTA(B:B))</f>
        <v>11078</v>
      </c>
      <c r="L29" s="160" cm="1">
        <f t="array" ref="L29">INDEX(B:B,COUNTA(B:B)+1)</f>
        <v>13305</v>
      </c>
    </row>
    <row r="30" spans="1:12">
      <c r="A30" s="150"/>
      <c r="B30" s="151"/>
      <c r="C30" s="151"/>
      <c r="D30" s="151"/>
      <c r="E30" s="151"/>
      <c r="F30" s="99"/>
      <c r="I30" s="141" t="s">
        <v>158</v>
      </c>
      <c r="J30" s="159" cm="1">
        <f t="array" ref="J30">INDEX(C:C,COUNTA(C:C)-1)</f>
        <v>6482</v>
      </c>
      <c r="K30" s="159" cm="1">
        <f t="array" ref="K30">INDEX(C:C,COUNTA(C:C))</f>
        <v>6414</v>
      </c>
      <c r="L30" s="160" cm="1">
        <f t="array" ref="L30">INDEX(C:C,COUNTA(C:C)+1)</f>
        <v>7280</v>
      </c>
    </row>
    <row r="31" spans="1:12">
      <c r="A31" s="150"/>
      <c r="B31" s="151"/>
      <c r="C31" s="151"/>
      <c r="D31" s="151"/>
      <c r="E31" s="151"/>
      <c r="F31" s="99"/>
      <c r="I31" s="141" t="s">
        <v>159</v>
      </c>
      <c r="J31" s="159" cm="1">
        <f t="array" ref="J31">INDEX(D:D,COUNTA(D:D)-1)</f>
        <v>4016</v>
      </c>
      <c r="K31" s="159" cm="1">
        <f t="array" ref="K31">INDEX(D:D,COUNTA(D:D))</f>
        <v>4664</v>
      </c>
      <c r="L31" s="160" cm="1">
        <f t="array" ref="L31">INDEX(D:D,COUNTA(D:D)+1)</f>
        <v>6025</v>
      </c>
    </row>
    <row r="32" spans="1:12">
      <c r="A32" s="150"/>
      <c r="B32" s="151"/>
      <c r="C32" s="151"/>
      <c r="D32" s="151"/>
      <c r="E32" s="151"/>
      <c r="F32" s="99"/>
      <c r="I32" s="141" t="s">
        <v>160</v>
      </c>
      <c r="J32" s="159" cm="1">
        <f t="array" ref="J32">INDEX(E:E,COUNTA(E:E)-1)</f>
        <v>4648</v>
      </c>
      <c r="K32" s="159" cm="1">
        <f t="array" ref="K32">INDEX(E:E,COUNTA(E:E))</f>
        <v>4914</v>
      </c>
      <c r="L32" s="160" cm="1">
        <f t="array" ref="L32">INDEX(E:E,COUNTA(E:E)+1)</f>
        <v>5246</v>
      </c>
    </row>
    <row r="33" spans="1:16" ht="17.25" thickBot="1">
      <c r="A33" s="150"/>
      <c r="B33" s="151"/>
      <c r="C33" s="151"/>
      <c r="D33" s="151"/>
      <c r="E33" s="151"/>
      <c r="F33" s="99"/>
      <c r="I33" s="142" t="s">
        <v>161</v>
      </c>
      <c r="J33" s="161" cm="1">
        <f t="array" ref="J33">INDEX(F:F,COUNTA(F:F)-1)</f>
        <v>16</v>
      </c>
      <c r="K33" s="161" cm="1">
        <f t="array" ref="K33">INDEX(F:F,COUNTA(F:F))</f>
        <v>25</v>
      </c>
      <c r="L33" s="162" cm="1">
        <f t="array" ref="L33">INDEX(F:F,COUNTA(F:F)+1)</f>
        <v>29</v>
      </c>
      <c r="P33" t="s">
        <v>622</v>
      </c>
    </row>
    <row r="34" spans="1:16">
      <c r="A34" s="150"/>
      <c r="B34" s="151"/>
      <c r="C34" s="151"/>
      <c r="D34" s="151"/>
      <c r="E34" s="151"/>
      <c r="F34" s="99"/>
    </row>
    <row r="35" spans="1:16">
      <c r="A35" s="150"/>
      <c r="B35" s="151"/>
      <c r="C35" s="151"/>
      <c r="D35" s="151"/>
      <c r="E35" s="151"/>
      <c r="F35" s="99"/>
    </row>
    <row r="36" spans="1:16" ht="17.25" thickBot="1">
      <c r="A36" s="152"/>
      <c r="B36" s="153"/>
      <c r="C36" s="153"/>
      <c r="D36" s="153"/>
      <c r="E36" s="153"/>
      <c r="F36" s="154"/>
    </row>
  </sheetData>
  <phoneticPr fontId="2"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79998168889431442"/>
  </sheetPr>
  <dimension ref="A1:AC32"/>
  <sheetViews>
    <sheetView zoomScale="85" zoomScaleNormal="85" workbookViewId="0">
      <selection activeCell="A14" sqref="A14"/>
    </sheetView>
  </sheetViews>
  <sheetFormatPr defaultRowHeight="16.5"/>
  <cols>
    <col min="1" max="21" width="9" style="4"/>
    <col min="22" max="22" width="25.375" style="4" customWidth="1"/>
    <col min="23" max="25" width="9" style="4"/>
  </cols>
  <sheetData>
    <row r="1" spans="1:29">
      <c r="A1" s="4" t="s">
        <v>0</v>
      </c>
      <c r="B1" s="4" t="s">
        <v>42</v>
      </c>
      <c r="C1" s="4" t="s">
        <v>43</v>
      </c>
      <c r="D1" s="4" t="s">
        <v>44</v>
      </c>
      <c r="E1" s="4" t="s">
        <v>45</v>
      </c>
      <c r="F1" s="4" t="s">
        <v>46</v>
      </c>
      <c r="G1" s="4" t="s">
        <v>47</v>
      </c>
      <c r="H1" s="4" t="s">
        <v>48</v>
      </c>
      <c r="I1" s="4" t="s">
        <v>49</v>
      </c>
      <c r="J1" s="4" t="s">
        <v>50</v>
      </c>
      <c r="K1" s="4" t="s">
        <v>51</v>
      </c>
      <c r="L1" s="4" t="s">
        <v>52</v>
      </c>
      <c r="M1" s="4" t="s">
        <v>53</v>
      </c>
      <c r="N1" s="4" t="s">
        <v>54</v>
      </c>
      <c r="O1" s="4" t="s">
        <v>55</v>
      </c>
      <c r="P1" s="4" t="s">
        <v>56</v>
      </c>
      <c r="Q1" s="4" t="s">
        <v>57</v>
      </c>
      <c r="R1" s="4" t="s">
        <v>58</v>
      </c>
      <c r="S1" s="4" t="s">
        <v>59</v>
      </c>
      <c r="T1" s="4" t="s">
        <v>60</v>
      </c>
      <c r="U1" s="4" t="s">
        <v>61</v>
      </c>
      <c r="V1" s="4" t="s">
        <v>62</v>
      </c>
      <c r="W1" s="4" t="s">
        <v>63</v>
      </c>
      <c r="X1" s="4" t="s">
        <v>64</v>
      </c>
      <c r="Y1" s="4" t="s">
        <v>65</v>
      </c>
    </row>
    <row r="2" spans="1:29">
      <c r="A2" s="4" t="s">
        <v>623</v>
      </c>
      <c r="B2" s="4">
        <v>141</v>
      </c>
      <c r="C2" s="4">
        <v>121</v>
      </c>
      <c r="D2" s="4">
        <v>262</v>
      </c>
      <c r="E2" s="4">
        <v>108</v>
      </c>
      <c r="F2" s="4">
        <v>60</v>
      </c>
      <c r="G2" s="4">
        <v>167</v>
      </c>
      <c r="H2" s="4">
        <v>0</v>
      </c>
      <c r="I2" s="4">
        <v>0</v>
      </c>
      <c r="J2" s="4">
        <v>0</v>
      </c>
      <c r="K2" s="4">
        <v>0</v>
      </c>
      <c r="L2" s="4">
        <v>0</v>
      </c>
      <c r="M2" s="4">
        <v>0</v>
      </c>
      <c r="N2" s="4">
        <v>17</v>
      </c>
      <c r="O2" s="4">
        <v>14</v>
      </c>
      <c r="P2" s="4">
        <v>31</v>
      </c>
      <c r="Q2" s="4">
        <v>14</v>
      </c>
      <c r="R2" s="4">
        <v>5</v>
      </c>
      <c r="S2" s="4">
        <v>19</v>
      </c>
      <c r="T2" s="4">
        <v>179</v>
      </c>
      <c r="U2" s="4">
        <v>146</v>
      </c>
      <c r="V2" s="4">
        <v>325</v>
      </c>
      <c r="W2" s="4">
        <v>109</v>
      </c>
      <c r="X2" s="4">
        <v>60</v>
      </c>
      <c r="Y2" s="4">
        <v>168</v>
      </c>
      <c r="AB2" s="95"/>
      <c r="AC2" s="95"/>
    </row>
    <row r="3" spans="1:29">
      <c r="A3" s="4" t="s">
        <v>624</v>
      </c>
      <c r="B3" s="4">
        <v>72</v>
      </c>
      <c r="C3" s="4">
        <v>95</v>
      </c>
      <c r="D3" s="4">
        <v>167</v>
      </c>
      <c r="E3" s="4">
        <v>56</v>
      </c>
      <c r="F3" s="4">
        <v>51</v>
      </c>
      <c r="G3" s="4">
        <v>107</v>
      </c>
      <c r="H3" s="4">
        <v>0</v>
      </c>
      <c r="I3" s="4">
        <v>0</v>
      </c>
      <c r="J3" s="4">
        <v>0</v>
      </c>
      <c r="K3" s="4">
        <v>0</v>
      </c>
      <c r="L3" s="4">
        <v>0</v>
      </c>
      <c r="M3" s="4">
        <v>0</v>
      </c>
      <c r="N3" s="4">
        <v>21</v>
      </c>
      <c r="O3" s="4">
        <v>19</v>
      </c>
      <c r="P3" s="4">
        <v>40</v>
      </c>
      <c r="Q3" s="4">
        <v>19</v>
      </c>
      <c r="R3" s="4">
        <v>12</v>
      </c>
      <c r="S3" s="4">
        <v>31</v>
      </c>
      <c r="T3" s="4">
        <v>120</v>
      </c>
      <c r="U3" s="4">
        <v>133</v>
      </c>
      <c r="V3" s="4">
        <v>253</v>
      </c>
      <c r="W3" s="4">
        <v>58</v>
      </c>
      <c r="X3" s="4">
        <v>51</v>
      </c>
      <c r="Y3" s="4">
        <v>109</v>
      </c>
      <c r="AB3" s="95"/>
      <c r="AC3" s="95"/>
    </row>
    <row r="4" spans="1:29">
      <c r="A4" s="4" t="s">
        <v>625</v>
      </c>
      <c r="B4" s="4">
        <v>70</v>
      </c>
      <c r="C4" s="4">
        <v>101</v>
      </c>
      <c r="D4" s="4">
        <v>171</v>
      </c>
      <c r="E4" s="4">
        <v>42</v>
      </c>
      <c r="F4" s="4">
        <v>42</v>
      </c>
      <c r="G4" s="4">
        <v>84</v>
      </c>
      <c r="H4" s="4">
        <v>0</v>
      </c>
      <c r="I4" s="4">
        <v>0</v>
      </c>
      <c r="J4" s="4">
        <v>0</v>
      </c>
      <c r="K4" s="4">
        <v>0</v>
      </c>
      <c r="L4" s="4">
        <v>0</v>
      </c>
      <c r="M4" s="4">
        <v>0</v>
      </c>
      <c r="N4" s="4">
        <v>15</v>
      </c>
      <c r="O4" s="4">
        <v>9</v>
      </c>
      <c r="P4" s="4">
        <v>24</v>
      </c>
      <c r="Q4" s="4">
        <v>13</v>
      </c>
      <c r="R4" s="4">
        <v>8</v>
      </c>
      <c r="S4" s="4">
        <v>21</v>
      </c>
      <c r="T4" s="4">
        <v>99</v>
      </c>
      <c r="U4" s="4">
        <v>121</v>
      </c>
      <c r="V4" s="4">
        <v>220</v>
      </c>
      <c r="W4" s="4">
        <v>42</v>
      </c>
      <c r="X4" s="4">
        <v>42</v>
      </c>
      <c r="Y4" s="4">
        <v>84</v>
      </c>
      <c r="AB4" s="95"/>
      <c r="AC4" s="95"/>
    </row>
    <row r="5" spans="1:29">
      <c r="A5" s="4" t="s">
        <v>626</v>
      </c>
      <c r="B5" s="4">
        <v>191</v>
      </c>
      <c r="C5" s="4">
        <v>142</v>
      </c>
      <c r="D5" s="4">
        <v>333</v>
      </c>
      <c r="E5" s="4">
        <v>134</v>
      </c>
      <c r="F5" s="4">
        <v>70</v>
      </c>
      <c r="G5" s="4">
        <v>203</v>
      </c>
      <c r="H5" s="4">
        <v>0</v>
      </c>
      <c r="I5" s="4">
        <v>0</v>
      </c>
      <c r="J5" s="4">
        <v>0</v>
      </c>
      <c r="K5" s="4">
        <v>0</v>
      </c>
      <c r="L5" s="4">
        <v>0</v>
      </c>
      <c r="M5" s="4">
        <v>0</v>
      </c>
      <c r="N5" s="4">
        <v>26</v>
      </c>
      <c r="O5" s="4">
        <v>11</v>
      </c>
      <c r="P5" s="4">
        <v>37</v>
      </c>
      <c r="Q5" s="4">
        <v>23</v>
      </c>
      <c r="R5" s="4">
        <v>11</v>
      </c>
      <c r="S5" s="4">
        <v>34</v>
      </c>
      <c r="T5" s="4">
        <v>253</v>
      </c>
      <c r="U5" s="4">
        <v>187</v>
      </c>
      <c r="V5" s="4">
        <v>440</v>
      </c>
      <c r="W5" s="4">
        <v>136</v>
      </c>
      <c r="X5" s="4">
        <v>70</v>
      </c>
      <c r="Y5" s="4">
        <v>205</v>
      </c>
      <c r="AB5" s="95"/>
      <c r="AC5" s="95"/>
    </row>
    <row r="6" spans="1:29">
      <c r="A6" s="4" t="s">
        <v>627</v>
      </c>
      <c r="B6" s="4">
        <v>255</v>
      </c>
      <c r="C6" s="4">
        <v>81</v>
      </c>
      <c r="D6" s="4">
        <v>336</v>
      </c>
      <c r="E6" s="4">
        <v>140</v>
      </c>
      <c r="F6" s="4">
        <v>45</v>
      </c>
      <c r="G6" s="4">
        <v>185</v>
      </c>
      <c r="H6" s="4">
        <v>0</v>
      </c>
      <c r="I6" s="4">
        <v>0</v>
      </c>
      <c r="J6" s="4">
        <v>0</v>
      </c>
      <c r="K6" s="4">
        <v>0</v>
      </c>
      <c r="L6" s="4">
        <v>0</v>
      </c>
      <c r="M6" s="4">
        <v>0</v>
      </c>
      <c r="N6" s="4">
        <v>32</v>
      </c>
      <c r="O6" s="4">
        <v>20</v>
      </c>
      <c r="P6" s="4">
        <v>52</v>
      </c>
      <c r="Q6" s="4">
        <v>26</v>
      </c>
      <c r="R6" s="4">
        <v>13</v>
      </c>
      <c r="S6" s="4">
        <v>39</v>
      </c>
      <c r="T6" s="4">
        <v>351</v>
      </c>
      <c r="U6" s="4">
        <v>122</v>
      </c>
      <c r="V6" s="4">
        <v>473</v>
      </c>
      <c r="W6" s="4">
        <v>142</v>
      </c>
      <c r="X6" s="4">
        <v>45</v>
      </c>
      <c r="Y6" s="4">
        <v>187</v>
      </c>
      <c r="AB6" s="95"/>
      <c r="AC6" s="95"/>
    </row>
    <row r="7" spans="1:29">
      <c r="A7" s="4" t="s">
        <v>628</v>
      </c>
      <c r="B7" s="4">
        <v>172</v>
      </c>
      <c r="C7" s="4">
        <v>84</v>
      </c>
      <c r="D7" s="4">
        <v>256</v>
      </c>
      <c r="E7" s="4">
        <v>126</v>
      </c>
      <c r="F7" s="4">
        <v>41</v>
      </c>
      <c r="G7" s="4">
        <v>167</v>
      </c>
      <c r="H7" s="4">
        <v>0</v>
      </c>
      <c r="I7" s="4">
        <v>0</v>
      </c>
      <c r="J7" s="4">
        <v>0</v>
      </c>
      <c r="K7" s="4">
        <v>0</v>
      </c>
      <c r="L7" s="4">
        <v>0</v>
      </c>
      <c r="M7" s="4">
        <v>0</v>
      </c>
      <c r="N7" s="4">
        <v>27</v>
      </c>
      <c r="O7" s="4">
        <v>17</v>
      </c>
      <c r="P7" s="4">
        <v>44</v>
      </c>
      <c r="Q7" s="4">
        <v>27</v>
      </c>
      <c r="R7" s="4">
        <v>12</v>
      </c>
      <c r="S7" s="4">
        <v>39</v>
      </c>
      <c r="T7" s="4">
        <v>320</v>
      </c>
      <c r="U7" s="4">
        <v>112</v>
      </c>
      <c r="V7" s="4">
        <v>432</v>
      </c>
      <c r="W7" s="4">
        <v>127</v>
      </c>
      <c r="X7" s="4">
        <v>42</v>
      </c>
      <c r="Y7" s="4">
        <v>169</v>
      </c>
      <c r="AB7" s="95"/>
      <c r="AC7" s="95"/>
    </row>
    <row r="8" spans="1:29">
      <c r="A8" s="4" t="s">
        <v>629</v>
      </c>
      <c r="B8" s="4">
        <v>161</v>
      </c>
      <c r="C8" s="4">
        <v>168</v>
      </c>
      <c r="D8" s="4">
        <v>329</v>
      </c>
      <c r="E8" s="4">
        <v>120</v>
      </c>
      <c r="F8" s="4">
        <v>81</v>
      </c>
      <c r="G8" s="4">
        <v>199</v>
      </c>
      <c r="H8" s="4">
        <v>0</v>
      </c>
      <c r="I8" s="4">
        <v>0</v>
      </c>
      <c r="J8" s="4">
        <v>0</v>
      </c>
      <c r="K8" s="4">
        <v>0</v>
      </c>
      <c r="L8" s="4">
        <v>0</v>
      </c>
      <c r="M8" s="4">
        <v>0</v>
      </c>
      <c r="N8" s="4">
        <v>27</v>
      </c>
      <c r="O8" s="4">
        <v>23</v>
      </c>
      <c r="P8" s="4">
        <v>50</v>
      </c>
      <c r="Q8" s="4">
        <v>24</v>
      </c>
      <c r="R8" s="4">
        <v>18</v>
      </c>
      <c r="S8" s="4">
        <v>42</v>
      </c>
      <c r="T8" s="4">
        <v>250</v>
      </c>
      <c r="U8" s="4">
        <v>231</v>
      </c>
      <c r="V8" s="4">
        <v>481</v>
      </c>
      <c r="W8" s="4">
        <v>121</v>
      </c>
      <c r="X8" s="4">
        <v>81</v>
      </c>
      <c r="Y8" s="4">
        <v>200</v>
      </c>
      <c r="AB8" s="95"/>
      <c r="AC8" s="95"/>
    </row>
    <row r="9" spans="1:29">
      <c r="A9" s="4" t="s">
        <v>630</v>
      </c>
      <c r="B9" s="4">
        <v>208</v>
      </c>
      <c r="C9" s="4">
        <v>205</v>
      </c>
      <c r="D9" s="4">
        <v>413</v>
      </c>
      <c r="E9" s="4">
        <v>110</v>
      </c>
      <c r="F9" s="4">
        <v>73</v>
      </c>
      <c r="G9" s="4">
        <v>183</v>
      </c>
      <c r="H9" s="4">
        <v>0</v>
      </c>
      <c r="I9" s="4">
        <v>0</v>
      </c>
      <c r="J9" s="4">
        <v>0</v>
      </c>
      <c r="K9" s="4">
        <v>0</v>
      </c>
      <c r="L9" s="4">
        <v>0</v>
      </c>
      <c r="M9" s="4">
        <v>0</v>
      </c>
      <c r="N9" s="4">
        <v>16</v>
      </c>
      <c r="O9" s="4">
        <v>34</v>
      </c>
      <c r="P9" s="4">
        <v>50</v>
      </c>
      <c r="Q9" s="4">
        <v>13</v>
      </c>
      <c r="R9" s="4">
        <v>19</v>
      </c>
      <c r="S9" s="4">
        <v>32</v>
      </c>
      <c r="T9" s="4">
        <v>280</v>
      </c>
      <c r="U9" s="4">
        <v>272</v>
      </c>
      <c r="V9" s="4">
        <v>552</v>
      </c>
      <c r="W9" s="4">
        <v>112</v>
      </c>
      <c r="X9" s="4">
        <v>74</v>
      </c>
      <c r="Y9" s="4">
        <v>186</v>
      </c>
      <c r="AB9" s="95"/>
      <c r="AC9" s="95"/>
    </row>
    <row r="10" spans="1:29">
      <c r="A10" s="4" t="s">
        <v>631</v>
      </c>
      <c r="B10" s="4">
        <v>56</v>
      </c>
      <c r="C10" s="4">
        <v>107</v>
      </c>
      <c r="D10" s="4">
        <v>163</v>
      </c>
      <c r="E10" s="4">
        <v>44</v>
      </c>
      <c r="F10" s="4">
        <v>52</v>
      </c>
      <c r="G10" s="4">
        <v>96</v>
      </c>
      <c r="H10" s="4">
        <v>0</v>
      </c>
      <c r="I10" s="4">
        <v>0</v>
      </c>
      <c r="J10" s="4">
        <v>0</v>
      </c>
      <c r="K10" s="4">
        <v>0</v>
      </c>
      <c r="L10" s="4">
        <v>0</v>
      </c>
      <c r="M10" s="4">
        <v>0</v>
      </c>
      <c r="N10" s="4">
        <v>9</v>
      </c>
      <c r="O10" s="4">
        <v>23</v>
      </c>
      <c r="P10" s="4">
        <v>32</v>
      </c>
      <c r="Q10" s="4">
        <v>8</v>
      </c>
      <c r="R10" s="4">
        <v>18</v>
      </c>
      <c r="S10" s="4">
        <v>26</v>
      </c>
      <c r="T10" s="4">
        <v>72</v>
      </c>
      <c r="U10" s="4">
        <v>157</v>
      </c>
      <c r="V10" s="4">
        <v>229</v>
      </c>
      <c r="W10" s="4">
        <v>45</v>
      </c>
      <c r="X10" s="4">
        <v>52</v>
      </c>
      <c r="Y10" s="4">
        <v>97</v>
      </c>
      <c r="AB10" s="95"/>
      <c r="AC10" s="95"/>
    </row>
    <row r="11" spans="1:29">
      <c r="A11" s="4" t="s">
        <v>632</v>
      </c>
      <c r="B11" s="4">
        <v>43</v>
      </c>
      <c r="C11" s="4">
        <v>96</v>
      </c>
      <c r="D11" s="4">
        <v>139</v>
      </c>
      <c r="E11" s="4">
        <v>33</v>
      </c>
      <c r="F11" s="4">
        <v>41</v>
      </c>
      <c r="G11" s="4">
        <v>74</v>
      </c>
      <c r="H11" s="4">
        <v>0</v>
      </c>
      <c r="I11" s="4">
        <v>0</v>
      </c>
      <c r="J11" s="4">
        <v>0</v>
      </c>
      <c r="K11" s="4">
        <v>0</v>
      </c>
      <c r="L11" s="4">
        <v>0</v>
      </c>
      <c r="M11" s="4">
        <v>0</v>
      </c>
      <c r="N11" s="4">
        <v>17</v>
      </c>
      <c r="O11" s="4">
        <v>13</v>
      </c>
      <c r="P11" s="4">
        <v>30</v>
      </c>
      <c r="Q11" s="4">
        <v>13</v>
      </c>
      <c r="R11" s="4">
        <v>12</v>
      </c>
      <c r="S11" s="4">
        <v>25</v>
      </c>
      <c r="T11" s="4">
        <v>78</v>
      </c>
      <c r="U11" s="4">
        <v>116</v>
      </c>
      <c r="V11" s="4">
        <v>194</v>
      </c>
      <c r="W11" s="4">
        <v>34</v>
      </c>
      <c r="X11" s="4">
        <v>41</v>
      </c>
      <c r="Y11" s="4">
        <v>75</v>
      </c>
      <c r="AB11" s="95"/>
      <c r="AC11" s="95"/>
    </row>
    <row r="12" spans="1:29">
      <c r="A12" s="4" t="s">
        <v>633</v>
      </c>
      <c r="B12" s="4">
        <v>314</v>
      </c>
      <c r="C12" s="4">
        <v>94</v>
      </c>
      <c r="D12" s="4">
        <v>408</v>
      </c>
      <c r="E12" s="4">
        <v>126</v>
      </c>
      <c r="F12" s="4">
        <v>59</v>
      </c>
      <c r="G12" s="4">
        <v>185</v>
      </c>
      <c r="H12" s="4">
        <v>0</v>
      </c>
      <c r="I12" s="4">
        <v>0</v>
      </c>
      <c r="J12" s="4">
        <v>0</v>
      </c>
      <c r="K12" s="4">
        <v>0</v>
      </c>
      <c r="L12" s="4">
        <v>0</v>
      </c>
      <c r="M12" s="4">
        <v>0</v>
      </c>
      <c r="N12" s="4">
        <v>20</v>
      </c>
      <c r="O12" s="4">
        <v>19</v>
      </c>
      <c r="P12" s="4">
        <v>39</v>
      </c>
      <c r="Q12" s="4">
        <v>18</v>
      </c>
      <c r="R12" s="4">
        <v>14</v>
      </c>
      <c r="S12" s="4">
        <v>32</v>
      </c>
      <c r="T12" s="4">
        <v>355</v>
      </c>
      <c r="U12" s="4">
        <v>124</v>
      </c>
      <c r="V12" s="4">
        <v>479</v>
      </c>
      <c r="W12" s="4">
        <v>129</v>
      </c>
      <c r="X12" s="4">
        <v>59</v>
      </c>
      <c r="Y12" s="4">
        <v>188</v>
      </c>
      <c r="AB12" s="95"/>
      <c r="AC12" s="95"/>
    </row>
    <row r="13" spans="1:29">
      <c r="A13" s="4" t="s">
        <v>634</v>
      </c>
      <c r="B13" s="4">
        <v>211</v>
      </c>
      <c r="C13" s="4">
        <v>129</v>
      </c>
      <c r="D13" s="4">
        <v>340</v>
      </c>
      <c r="E13" s="4">
        <v>133</v>
      </c>
      <c r="F13" s="4">
        <v>48</v>
      </c>
      <c r="G13" s="4">
        <v>179</v>
      </c>
      <c r="H13" s="4">
        <v>0</v>
      </c>
      <c r="I13" s="4">
        <v>0</v>
      </c>
      <c r="J13" s="4">
        <v>0</v>
      </c>
      <c r="K13" s="4">
        <v>0</v>
      </c>
      <c r="L13" s="4">
        <v>0</v>
      </c>
      <c r="M13" s="4">
        <v>0</v>
      </c>
      <c r="N13" s="4">
        <v>20</v>
      </c>
      <c r="O13" s="4">
        <v>16</v>
      </c>
      <c r="P13" s="4">
        <v>36</v>
      </c>
      <c r="Q13" s="4">
        <v>19</v>
      </c>
      <c r="R13" s="4">
        <v>11</v>
      </c>
      <c r="S13" s="4">
        <v>30</v>
      </c>
      <c r="T13" s="4">
        <v>287</v>
      </c>
      <c r="U13" s="4">
        <v>180</v>
      </c>
      <c r="V13" s="4">
        <v>467</v>
      </c>
      <c r="W13" s="4">
        <v>135</v>
      </c>
      <c r="X13" s="4">
        <v>48</v>
      </c>
      <c r="Y13" s="4">
        <v>181</v>
      </c>
      <c r="AB13" s="95"/>
      <c r="AC13" s="95"/>
    </row>
    <row r="14" spans="1:29">
      <c r="A14" s="4" t="s">
        <v>635</v>
      </c>
      <c r="B14" s="4">
        <v>219</v>
      </c>
      <c r="C14" s="4">
        <v>141</v>
      </c>
      <c r="D14" s="4">
        <v>360</v>
      </c>
      <c r="E14" s="4">
        <v>149</v>
      </c>
      <c r="F14" s="4">
        <v>63</v>
      </c>
      <c r="G14" s="4">
        <v>211</v>
      </c>
      <c r="H14" s="4">
        <v>0</v>
      </c>
      <c r="I14" s="4">
        <v>0</v>
      </c>
      <c r="J14" s="4">
        <v>0</v>
      </c>
      <c r="K14" s="4">
        <v>0</v>
      </c>
      <c r="L14" s="4">
        <v>0</v>
      </c>
      <c r="M14" s="4">
        <v>0</v>
      </c>
      <c r="N14" s="4">
        <v>24</v>
      </c>
      <c r="O14" s="4">
        <v>25</v>
      </c>
      <c r="P14" s="4">
        <v>49</v>
      </c>
      <c r="Q14" s="4">
        <v>24</v>
      </c>
      <c r="R14" s="4">
        <v>21</v>
      </c>
      <c r="S14" s="4">
        <v>45</v>
      </c>
      <c r="T14" s="4">
        <v>342</v>
      </c>
      <c r="U14" s="4">
        <v>214</v>
      </c>
      <c r="V14" s="4">
        <v>556</v>
      </c>
      <c r="W14" s="4">
        <v>151</v>
      </c>
      <c r="X14" s="4">
        <v>64</v>
      </c>
      <c r="Y14" s="4">
        <v>214</v>
      </c>
      <c r="AB14" s="95"/>
      <c r="AC14" s="95"/>
    </row>
    <row r="15" spans="1:29">
      <c r="A15" s="4" t="s">
        <v>636</v>
      </c>
      <c r="B15" s="4">
        <v>232</v>
      </c>
      <c r="C15" s="4">
        <v>201</v>
      </c>
      <c r="D15" s="4">
        <v>433</v>
      </c>
      <c r="E15" s="4">
        <v>140</v>
      </c>
      <c r="F15" s="4">
        <v>83</v>
      </c>
      <c r="G15" s="4">
        <v>222</v>
      </c>
      <c r="H15" s="4">
        <v>0</v>
      </c>
      <c r="I15" s="4">
        <v>0</v>
      </c>
      <c r="J15" s="4">
        <v>0</v>
      </c>
      <c r="K15" s="4">
        <v>0</v>
      </c>
      <c r="L15" s="4">
        <v>0</v>
      </c>
      <c r="M15" s="4">
        <v>0</v>
      </c>
      <c r="N15" s="4">
        <v>30</v>
      </c>
      <c r="O15" s="4">
        <v>28</v>
      </c>
      <c r="P15" s="4">
        <v>58</v>
      </c>
      <c r="Q15" s="4">
        <v>27</v>
      </c>
      <c r="R15" s="4">
        <v>19</v>
      </c>
      <c r="S15" s="4">
        <v>46</v>
      </c>
      <c r="T15" s="4">
        <v>309</v>
      </c>
      <c r="U15" s="4">
        <v>276</v>
      </c>
      <c r="V15" s="4">
        <v>585</v>
      </c>
      <c r="W15" s="4">
        <v>142</v>
      </c>
      <c r="X15" s="4">
        <v>85</v>
      </c>
      <c r="Y15" s="4">
        <v>226</v>
      </c>
      <c r="AB15" s="95"/>
      <c r="AC15" s="95"/>
    </row>
    <row r="16" spans="1:29">
      <c r="A16" s="4" t="s">
        <v>637</v>
      </c>
      <c r="B16" s="4">
        <v>188</v>
      </c>
      <c r="C16" s="4">
        <v>122</v>
      </c>
      <c r="D16" s="4">
        <v>310</v>
      </c>
      <c r="E16" s="4">
        <v>102</v>
      </c>
      <c r="F16" s="4">
        <v>54</v>
      </c>
      <c r="G16" s="4">
        <v>155</v>
      </c>
      <c r="H16" s="4">
        <v>0</v>
      </c>
      <c r="I16" s="4">
        <v>0</v>
      </c>
      <c r="J16" s="4">
        <v>0</v>
      </c>
      <c r="K16" s="4">
        <v>0</v>
      </c>
      <c r="L16" s="4">
        <v>0</v>
      </c>
      <c r="M16" s="4">
        <v>0</v>
      </c>
      <c r="N16" s="4">
        <v>13</v>
      </c>
      <c r="O16" s="4">
        <v>23</v>
      </c>
      <c r="P16" s="4">
        <v>36</v>
      </c>
      <c r="Q16" s="4">
        <v>12</v>
      </c>
      <c r="R16" s="4">
        <v>16</v>
      </c>
      <c r="S16" s="4">
        <v>28</v>
      </c>
      <c r="T16" s="4">
        <v>263</v>
      </c>
      <c r="U16" s="4">
        <v>166</v>
      </c>
      <c r="V16" s="4">
        <v>429</v>
      </c>
      <c r="W16" s="4">
        <v>102</v>
      </c>
      <c r="X16" s="4">
        <v>54</v>
      </c>
      <c r="Y16" s="4">
        <v>155</v>
      </c>
      <c r="AB16" s="95"/>
      <c r="AC16" s="95"/>
    </row>
    <row r="17" spans="1:29">
      <c r="A17" s="4" t="s">
        <v>638</v>
      </c>
      <c r="B17" s="4">
        <v>38</v>
      </c>
      <c r="C17" s="4">
        <v>86</v>
      </c>
      <c r="D17" s="4">
        <v>124</v>
      </c>
      <c r="E17" s="4">
        <v>30</v>
      </c>
      <c r="F17" s="4">
        <v>48</v>
      </c>
      <c r="G17" s="4">
        <v>77</v>
      </c>
      <c r="H17" s="4">
        <v>0</v>
      </c>
      <c r="I17" s="4">
        <v>0</v>
      </c>
      <c r="J17" s="4">
        <v>0</v>
      </c>
      <c r="K17" s="4">
        <v>0</v>
      </c>
      <c r="L17" s="4">
        <v>0</v>
      </c>
      <c r="M17" s="4">
        <v>0</v>
      </c>
      <c r="N17" s="4">
        <v>10</v>
      </c>
      <c r="O17" s="4">
        <v>12</v>
      </c>
      <c r="P17" s="4">
        <v>22</v>
      </c>
      <c r="Q17" s="4">
        <v>9</v>
      </c>
      <c r="R17" s="4">
        <v>10</v>
      </c>
      <c r="S17" s="4">
        <v>18</v>
      </c>
      <c r="T17" s="4">
        <v>61</v>
      </c>
      <c r="U17" s="4">
        <v>125</v>
      </c>
      <c r="V17" s="4">
        <v>186</v>
      </c>
      <c r="W17" s="4">
        <v>30</v>
      </c>
      <c r="X17" s="4">
        <v>50</v>
      </c>
      <c r="Y17" s="4">
        <v>79</v>
      </c>
      <c r="AB17" s="95"/>
      <c r="AC17" s="95"/>
    </row>
    <row r="18" spans="1:29">
      <c r="A18" s="4" t="s">
        <v>639</v>
      </c>
      <c r="B18" s="4">
        <v>42</v>
      </c>
      <c r="C18" s="4">
        <v>127</v>
      </c>
      <c r="D18" s="4">
        <v>169</v>
      </c>
      <c r="E18" s="4">
        <v>34</v>
      </c>
      <c r="F18" s="4">
        <v>50</v>
      </c>
      <c r="G18" s="4">
        <v>83</v>
      </c>
      <c r="H18" s="4">
        <v>0</v>
      </c>
      <c r="I18" s="4">
        <v>0</v>
      </c>
      <c r="J18" s="4">
        <v>0</v>
      </c>
      <c r="K18" s="4">
        <v>0</v>
      </c>
      <c r="L18" s="4">
        <v>0</v>
      </c>
      <c r="M18" s="4">
        <v>0</v>
      </c>
      <c r="N18" s="4">
        <v>7</v>
      </c>
      <c r="O18" s="4">
        <v>32</v>
      </c>
      <c r="P18" s="4">
        <v>39</v>
      </c>
      <c r="Q18" s="4">
        <v>7</v>
      </c>
      <c r="R18" s="4">
        <v>18</v>
      </c>
      <c r="S18" s="4">
        <v>25</v>
      </c>
      <c r="T18" s="4">
        <v>69</v>
      </c>
      <c r="U18" s="4">
        <v>186</v>
      </c>
      <c r="V18" s="4">
        <v>255</v>
      </c>
      <c r="W18" s="4">
        <v>34</v>
      </c>
      <c r="X18" s="4">
        <v>50</v>
      </c>
      <c r="Y18" s="4">
        <v>83</v>
      </c>
      <c r="AB18" s="95"/>
      <c r="AC18" s="95"/>
    </row>
    <row r="19" spans="1:29">
      <c r="A19" s="4" t="s">
        <v>640</v>
      </c>
      <c r="B19" s="4">
        <v>202</v>
      </c>
      <c r="C19" s="4">
        <v>145</v>
      </c>
      <c r="D19" s="4">
        <v>347</v>
      </c>
      <c r="E19" s="4">
        <v>121</v>
      </c>
      <c r="F19" s="4">
        <v>62</v>
      </c>
      <c r="G19" s="4">
        <v>182</v>
      </c>
      <c r="H19" s="4">
        <v>0</v>
      </c>
      <c r="I19" s="4">
        <v>0</v>
      </c>
      <c r="J19" s="4">
        <v>0</v>
      </c>
      <c r="K19" s="4">
        <v>0</v>
      </c>
      <c r="L19" s="4">
        <v>0</v>
      </c>
      <c r="M19" s="4">
        <v>0</v>
      </c>
      <c r="N19" s="4">
        <v>20</v>
      </c>
      <c r="O19" s="4">
        <v>30</v>
      </c>
      <c r="P19" s="4">
        <v>50</v>
      </c>
      <c r="Q19" s="4">
        <v>17</v>
      </c>
      <c r="R19" s="4">
        <v>25</v>
      </c>
      <c r="S19" s="4">
        <v>42</v>
      </c>
      <c r="T19" s="4">
        <v>264</v>
      </c>
      <c r="U19" s="4">
        <v>203</v>
      </c>
      <c r="V19" s="4">
        <v>467</v>
      </c>
      <c r="W19" s="4">
        <v>123</v>
      </c>
      <c r="X19" s="4">
        <v>64</v>
      </c>
      <c r="Y19" s="4">
        <v>186</v>
      </c>
      <c r="AB19" s="95"/>
      <c r="AC19" s="95"/>
    </row>
    <row r="20" spans="1:29">
      <c r="A20" s="4" t="s">
        <v>641</v>
      </c>
      <c r="B20" s="4">
        <v>222</v>
      </c>
      <c r="C20" s="4">
        <v>183</v>
      </c>
      <c r="D20" s="4">
        <v>405</v>
      </c>
      <c r="E20" s="4">
        <v>139</v>
      </c>
      <c r="F20" s="4">
        <v>82</v>
      </c>
      <c r="G20" s="4">
        <v>218</v>
      </c>
      <c r="H20" s="4">
        <v>0</v>
      </c>
      <c r="I20" s="4">
        <v>0</v>
      </c>
      <c r="J20" s="4">
        <v>0</v>
      </c>
      <c r="K20" s="4">
        <v>0</v>
      </c>
      <c r="L20" s="4">
        <v>0</v>
      </c>
      <c r="M20" s="4">
        <v>0</v>
      </c>
      <c r="N20" s="4">
        <v>18</v>
      </c>
      <c r="O20" s="4">
        <v>36</v>
      </c>
      <c r="P20" s="4">
        <v>54</v>
      </c>
      <c r="Q20" s="4">
        <v>17</v>
      </c>
      <c r="R20" s="4">
        <v>21</v>
      </c>
      <c r="S20" s="4">
        <v>38</v>
      </c>
      <c r="T20" s="4">
        <v>332</v>
      </c>
      <c r="U20" s="4">
        <v>268</v>
      </c>
      <c r="V20" s="4">
        <v>600</v>
      </c>
      <c r="W20" s="4">
        <v>140</v>
      </c>
      <c r="X20" s="4">
        <v>84</v>
      </c>
      <c r="Y20" s="4">
        <v>221</v>
      </c>
      <c r="AB20" s="95"/>
      <c r="AC20" s="95"/>
    </row>
    <row r="21" spans="1:29">
      <c r="A21" s="4" t="s">
        <v>642</v>
      </c>
      <c r="B21" s="4">
        <v>242</v>
      </c>
      <c r="C21" s="4">
        <v>176</v>
      </c>
      <c r="D21" s="4">
        <v>418</v>
      </c>
      <c r="E21" s="4">
        <v>122</v>
      </c>
      <c r="F21" s="4">
        <v>74</v>
      </c>
      <c r="G21" s="4">
        <v>194</v>
      </c>
      <c r="H21" s="4">
        <v>0</v>
      </c>
      <c r="I21" s="4">
        <v>0</v>
      </c>
      <c r="J21" s="4">
        <v>0</v>
      </c>
      <c r="K21" s="4">
        <v>0</v>
      </c>
      <c r="L21" s="4">
        <v>0</v>
      </c>
      <c r="M21" s="4">
        <v>0</v>
      </c>
      <c r="N21" s="4">
        <v>20</v>
      </c>
      <c r="O21" s="4">
        <v>39</v>
      </c>
      <c r="P21" s="4">
        <v>59</v>
      </c>
      <c r="Q21" s="4">
        <v>17</v>
      </c>
      <c r="R21" s="4">
        <v>29</v>
      </c>
      <c r="S21" s="4">
        <v>45</v>
      </c>
      <c r="T21" s="4">
        <v>359</v>
      </c>
      <c r="U21" s="4">
        <v>270</v>
      </c>
      <c r="V21" s="4">
        <v>629</v>
      </c>
      <c r="W21" s="4">
        <v>127</v>
      </c>
      <c r="X21" s="4">
        <v>76</v>
      </c>
      <c r="Y21" s="4">
        <v>201</v>
      </c>
      <c r="AB21" s="95"/>
      <c r="AC21" s="95"/>
    </row>
    <row r="22" spans="1:29">
      <c r="A22" s="4" t="s">
        <v>643</v>
      </c>
      <c r="B22" s="4">
        <v>155</v>
      </c>
      <c r="C22" s="4">
        <v>173</v>
      </c>
      <c r="D22" s="4">
        <v>328</v>
      </c>
      <c r="E22" s="4">
        <v>119</v>
      </c>
      <c r="F22" s="4">
        <v>80</v>
      </c>
      <c r="G22" s="4">
        <v>198</v>
      </c>
      <c r="H22" s="4">
        <v>0</v>
      </c>
      <c r="I22" s="4">
        <v>0</v>
      </c>
      <c r="J22" s="4">
        <v>0</v>
      </c>
      <c r="K22" s="4">
        <v>0</v>
      </c>
      <c r="L22" s="4">
        <v>0</v>
      </c>
      <c r="M22" s="4">
        <v>0</v>
      </c>
      <c r="N22" s="4">
        <v>23</v>
      </c>
      <c r="O22" s="4">
        <v>26</v>
      </c>
      <c r="P22" s="4">
        <v>49</v>
      </c>
      <c r="Q22" s="4">
        <v>19</v>
      </c>
      <c r="R22" s="4">
        <v>18</v>
      </c>
      <c r="S22" s="4">
        <v>37</v>
      </c>
      <c r="T22" s="4">
        <v>215</v>
      </c>
      <c r="U22" s="4">
        <v>212</v>
      </c>
      <c r="V22" s="4">
        <v>427</v>
      </c>
      <c r="W22" s="4">
        <v>123</v>
      </c>
      <c r="X22" s="4">
        <v>80</v>
      </c>
      <c r="Y22" s="4">
        <v>202</v>
      </c>
      <c r="AB22" s="95"/>
      <c r="AC22" s="95"/>
    </row>
    <row r="23" spans="1:29">
      <c r="A23" s="4" t="s">
        <v>644</v>
      </c>
      <c r="B23" s="4">
        <v>144</v>
      </c>
      <c r="C23" s="4">
        <v>120</v>
      </c>
      <c r="D23" s="4">
        <v>264</v>
      </c>
      <c r="E23" s="4">
        <v>90</v>
      </c>
      <c r="F23" s="4">
        <v>67</v>
      </c>
      <c r="G23" s="4">
        <v>157</v>
      </c>
      <c r="H23" s="4">
        <v>0</v>
      </c>
      <c r="I23" s="4">
        <v>0</v>
      </c>
      <c r="J23" s="4">
        <v>0</v>
      </c>
      <c r="K23" s="4">
        <v>0</v>
      </c>
      <c r="L23" s="4">
        <v>0</v>
      </c>
      <c r="M23" s="4">
        <v>0</v>
      </c>
      <c r="N23" s="4">
        <v>23</v>
      </c>
      <c r="O23" s="4">
        <v>24</v>
      </c>
      <c r="P23" s="4">
        <v>47</v>
      </c>
      <c r="Q23" s="4">
        <v>20</v>
      </c>
      <c r="R23" s="4">
        <v>16</v>
      </c>
      <c r="S23" s="4">
        <v>36</v>
      </c>
      <c r="T23" s="4">
        <v>210</v>
      </c>
      <c r="U23" s="4">
        <v>164</v>
      </c>
      <c r="V23" s="4">
        <v>374</v>
      </c>
      <c r="W23" s="4">
        <v>92</v>
      </c>
      <c r="X23" s="4">
        <v>68</v>
      </c>
      <c r="Y23" s="4">
        <v>160</v>
      </c>
      <c r="AB23" s="95"/>
      <c r="AC23" s="95"/>
    </row>
    <row r="24" spans="1:29">
      <c r="A24" s="4" t="s">
        <v>645</v>
      </c>
      <c r="B24" s="4">
        <v>49</v>
      </c>
      <c r="C24" s="4">
        <v>263</v>
      </c>
      <c r="D24" s="4">
        <v>312</v>
      </c>
      <c r="E24" s="4">
        <v>37</v>
      </c>
      <c r="F24" s="4">
        <v>122</v>
      </c>
      <c r="G24" s="4">
        <v>159</v>
      </c>
      <c r="H24" s="4">
        <v>0</v>
      </c>
      <c r="I24" s="4">
        <v>0</v>
      </c>
      <c r="J24" s="4">
        <v>0</v>
      </c>
      <c r="K24" s="4">
        <v>0</v>
      </c>
      <c r="L24" s="4">
        <v>0</v>
      </c>
      <c r="M24" s="4">
        <v>0</v>
      </c>
      <c r="N24" s="4">
        <v>3</v>
      </c>
      <c r="O24" s="4">
        <v>68</v>
      </c>
      <c r="P24" s="4">
        <v>71</v>
      </c>
      <c r="Q24" s="4">
        <v>3</v>
      </c>
      <c r="R24" s="4">
        <v>44</v>
      </c>
      <c r="S24" s="4">
        <v>47</v>
      </c>
      <c r="T24" s="4">
        <v>64</v>
      </c>
      <c r="U24" s="4">
        <v>366</v>
      </c>
      <c r="V24" s="4">
        <v>430</v>
      </c>
      <c r="W24" s="4">
        <v>37</v>
      </c>
      <c r="X24" s="4">
        <v>123</v>
      </c>
      <c r="Y24" s="4">
        <v>160</v>
      </c>
      <c r="AB24" s="95"/>
      <c r="AC24" s="95"/>
    </row>
    <row r="25" spans="1:29">
      <c r="A25" s="4" t="s">
        <v>646</v>
      </c>
      <c r="B25" s="4">
        <v>56</v>
      </c>
      <c r="C25" s="4">
        <v>82</v>
      </c>
      <c r="D25" s="4">
        <v>138</v>
      </c>
      <c r="E25" s="4">
        <v>38</v>
      </c>
      <c r="F25" s="4">
        <v>49</v>
      </c>
      <c r="G25" s="4">
        <v>87</v>
      </c>
      <c r="H25" s="4">
        <v>0</v>
      </c>
      <c r="I25" s="4">
        <v>0</v>
      </c>
      <c r="J25" s="4">
        <v>0</v>
      </c>
      <c r="K25" s="4">
        <v>0</v>
      </c>
      <c r="L25" s="4">
        <v>0</v>
      </c>
      <c r="M25" s="4">
        <v>0</v>
      </c>
      <c r="N25" s="4">
        <v>5</v>
      </c>
      <c r="O25" s="4">
        <v>17</v>
      </c>
      <c r="P25" s="4">
        <v>22</v>
      </c>
      <c r="Q25" s="4">
        <v>5</v>
      </c>
      <c r="R25" s="4">
        <v>13</v>
      </c>
      <c r="S25" s="4">
        <v>18</v>
      </c>
      <c r="T25" s="4">
        <v>76</v>
      </c>
      <c r="U25" s="4">
        <v>108</v>
      </c>
      <c r="V25" s="4">
        <v>184</v>
      </c>
      <c r="W25" s="4">
        <v>39</v>
      </c>
      <c r="X25" s="4">
        <v>50</v>
      </c>
      <c r="Y25" s="4">
        <v>89</v>
      </c>
      <c r="AB25" s="95"/>
      <c r="AC25" s="95"/>
    </row>
    <row r="26" spans="1:29">
      <c r="A26" s="4" t="s">
        <v>647</v>
      </c>
      <c r="B26" s="4">
        <v>209</v>
      </c>
      <c r="C26" s="4">
        <v>173</v>
      </c>
      <c r="D26" s="4">
        <v>382</v>
      </c>
      <c r="E26" s="4">
        <v>109</v>
      </c>
      <c r="F26" s="4">
        <v>68</v>
      </c>
      <c r="G26" s="4">
        <v>175</v>
      </c>
      <c r="H26" s="4">
        <v>0</v>
      </c>
      <c r="I26" s="4">
        <v>0</v>
      </c>
      <c r="J26" s="4">
        <v>0</v>
      </c>
      <c r="K26" s="4">
        <v>0</v>
      </c>
      <c r="L26" s="4">
        <v>0</v>
      </c>
      <c r="M26" s="4">
        <v>0</v>
      </c>
      <c r="N26" s="4">
        <v>21</v>
      </c>
      <c r="O26" s="4">
        <v>38</v>
      </c>
      <c r="P26" s="4">
        <v>59</v>
      </c>
      <c r="Q26" s="4">
        <v>19</v>
      </c>
      <c r="R26" s="4">
        <v>22</v>
      </c>
      <c r="S26" s="4">
        <v>40</v>
      </c>
      <c r="T26" s="4">
        <v>284</v>
      </c>
      <c r="U26" s="4">
        <v>246</v>
      </c>
      <c r="V26" s="4">
        <v>530</v>
      </c>
      <c r="W26" s="4">
        <v>109</v>
      </c>
      <c r="X26" s="4">
        <v>68</v>
      </c>
      <c r="Y26" s="4">
        <v>175</v>
      </c>
      <c r="AB26" s="95"/>
      <c r="AC26" s="95"/>
    </row>
    <row r="27" spans="1:29">
      <c r="A27" s="4" t="s">
        <v>648</v>
      </c>
      <c r="B27" s="4">
        <v>357</v>
      </c>
      <c r="C27" s="4">
        <v>115</v>
      </c>
      <c r="D27" s="4">
        <v>472</v>
      </c>
      <c r="E27" s="4">
        <v>177</v>
      </c>
      <c r="F27" s="4">
        <v>65</v>
      </c>
      <c r="G27" s="4">
        <v>240</v>
      </c>
      <c r="H27" s="4">
        <v>0</v>
      </c>
      <c r="I27" s="4">
        <v>0</v>
      </c>
      <c r="J27" s="4">
        <v>0</v>
      </c>
      <c r="K27" s="4">
        <v>0</v>
      </c>
      <c r="L27" s="4">
        <v>0</v>
      </c>
      <c r="M27" s="4">
        <v>0</v>
      </c>
      <c r="N27" s="4">
        <v>35</v>
      </c>
      <c r="O27" s="4">
        <v>37</v>
      </c>
      <c r="P27" s="4">
        <v>72</v>
      </c>
      <c r="Q27" s="4">
        <v>29</v>
      </c>
      <c r="R27" s="4">
        <v>21</v>
      </c>
      <c r="S27" s="4">
        <v>50</v>
      </c>
      <c r="T27" s="4">
        <v>478</v>
      </c>
      <c r="U27" s="4">
        <v>190</v>
      </c>
      <c r="V27" s="4">
        <v>668</v>
      </c>
      <c r="W27" s="4">
        <v>181</v>
      </c>
      <c r="X27" s="4">
        <v>66</v>
      </c>
      <c r="Y27" s="4">
        <v>245</v>
      </c>
      <c r="AB27" s="95"/>
      <c r="AC27" s="95"/>
    </row>
    <row r="28" spans="1:29">
      <c r="A28" s="4" t="s">
        <v>649</v>
      </c>
      <c r="B28" s="4">
        <v>387</v>
      </c>
      <c r="C28" s="4">
        <v>218</v>
      </c>
      <c r="D28" s="4">
        <v>605</v>
      </c>
      <c r="E28" s="4">
        <v>279</v>
      </c>
      <c r="F28" s="4">
        <v>111</v>
      </c>
      <c r="G28" s="4">
        <v>390</v>
      </c>
      <c r="H28" s="4">
        <v>0</v>
      </c>
      <c r="I28" s="4">
        <v>0</v>
      </c>
      <c r="J28" s="4">
        <v>0</v>
      </c>
      <c r="K28" s="4">
        <v>0</v>
      </c>
      <c r="L28" s="4">
        <v>0</v>
      </c>
      <c r="M28" s="4">
        <v>0</v>
      </c>
      <c r="N28" s="4">
        <v>65</v>
      </c>
      <c r="O28" s="4">
        <v>37</v>
      </c>
      <c r="P28" s="4">
        <v>102</v>
      </c>
      <c r="Q28" s="4">
        <v>60</v>
      </c>
      <c r="R28" s="4">
        <v>27</v>
      </c>
      <c r="S28" s="4">
        <v>87</v>
      </c>
      <c r="T28" s="4">
        <v>564</v>
      </c>
      <c r="U28" s="4">
        <v>300</v>
      </c>
      <c r="V28" s="4">
        <v>864</v>
      </c>
      <c r="W28" s="4">
        <v>283</v>
      </c>
      <c r="X28" s="4">
        <v>111</v>
      </c>
      <c r="Y28" s="4">
        <v>394</v>
      </c>
      <c r="AB28" s="95"/>
      <c r="AC28" s="95"/>
    </row>
    <row r="29" spans="1:29">
      <c r="A29" s="4" t="s">
        <v>650</v>
      </c>
      <c r="B29" s="4">
        <v>280</v>
      </c>
      <c r="C29" s="4">
        <v>193</v>
      </c>
      <c r="D29" s="4">
        <v>473</v>
      </c>
      <c r="E29" s="4">
        <v>152</v>
      </c>
      <c r="F29" s="4">
        <v>88</v>
      </c>
      <c r="G29" s="4">
        <v>240</v>
      </c>
      <c r="H29" s="4">
        <v>0</v>
      </c>
      <c r="I29" s="4">
        <v>0</v>
      </c>
      <c r="J29" s="4">
        <v>0</v>
      </c>
      <c r="K29" s="4">
        <v>0</v>
      </c>
      <c r="L29" s="4">
        <v>0</v>
      </c>
      <c r="M29" s="4">
        <v>0</v>
      </c>
      <c r="N29" s="4">
        <v>24</v>
      </c>
      <c r="O29" s="4">
        <v>43</v>
      </c>
      <c r="P29" s="4">
        <v>67</v>
      </c>
      <c r="Q29" s="4">
        <v>18</v>
      </c>
      <c r="R29" s="4">
        <v>25</v>
      </c>
      <c r="S29" s="4">
        <v>43</v>
      </c>
      <c r="T29" s="4">
        <v>403</v>
      </c>
      <c r="U29" s="4">
        <v>269</v>
      </c>
      <c r="V29" s="4">
        <v>672</v>
      </c>
      <c r="W29" s="4">
        <v>155</v>
      </c>
      <c r="X29" s="4">
        <v>89</v>
      </c>
      <c r="Y29" s="4">
        <v>244</v>
      </c>
      <c r="AB29" s="95"/>
      <c r="AC29" s="95"/>
    </row>
    <row r="30" spans="1:29">
      <c r="A30" s="4" t="s">
        <v>651</v>
      </c>
      <c r="B30" s="4">
        <v>122</v>
      </c>
      <c r="C30" s="4">
        <v>158</v>
      </c>
      <c r="D30" s="4">
        <v>280</v>
      </c>
      <c r="E30" s="4">
        <v>90</v>
      </c>
      <c r="F30" s="4">
        <v>82</v>
      </c>
      <c r="G30" s="4">
        <v>172</v>
      </c>
      <c r="H30" s="4">
        <v>0</v>
      </c>
      <c r="I30" s="4">
        <v>0</v>
      </c>
      <c r="J30" s="4">
        <v>0</v>
      </c>
      <c r="K30" s="4">
        <v>0</v>
      </c>
      <c r="L30" s="4">
        <v>0</v>
      </c>
      <c r="M30" s="4">
        <v>0</v>
      </c>
      <c r="N30" s="4">
        <v>12</v>
      </c>
      <c r="O30" s="4">
        <v>28</v>
      </c>
      <c r="P30" s="4">
        <v>40</v>
      </c>
      <c r="Q30" s="4">
        <v>9</v>
      </c>
      <c r="R30" s="4">
        <v>18</v>
      </c>
      <c r="S30" s="4">
        <v>27</v>
      </c>
      <c r="T30" s="4">
        <v>177</v>
      </c>
      <c r="U30" s="4">
        <v>218</v>
      </c>
      <c r="V30" s="4">
        <v>395</v>
      </c>
      <c r="W30" s="4">
        <v>91</v>
      </c>
      <c r="X30" s="4">
        <v>83</v>
      </c>
      <c r="Y30" s="4">
        <v>174</v>
      </c>
      <c r="AB30" s="95"/>
      <c r="AC30" s="95"/>
    </row>
    <row r="31" spans="1:29">
      <c r="A31" s="4" t="s">
        <v>652</v>
      </c>
      <c r="B31" s="4">
        <v>49</v>
      </c>
      <c r="C31" s="4">
        <v>132</v>
      </c>
      <c r="D31" s="4">
        <v>181</v>
      </c>
      <c r="E31" s="4">
        <v>37</v>
      </c>
      <c r="F31" s="4">
        <v>66</v>
      </c>
      <c r="G31" s="4">
        <v>103</v>
      </c>
      <c r="H31" s="4">
        <v>0</v>
      </c>
      <c r="I31" s="4">
        <v>0</v>
      </c>
      <c r="J31" s="4">
        <v>0</v>
      </c>
      <c r="K31" s="4">
        <v>0</v>
      </c>
      <c r="L31" s="4">
        <v>0</v>
      </c>
      <c r="M31" s="4">
        <v>0</v>
      </c>
      <c r="N31" s="4">
        <v>10</v>
      </c>
      <c r="O31" s="4">
        <v>30</v>
      </c>
      <c r="P31" s="4">
        <v>40</v>
      </c>
      <c r="Q31" s="4">
        <v>9</v>
      </c>
      <c r="R31" s="4">
        <v>19</v>
      </c>
      <c r="S31" s="4">
        <v>28</v>
      </c>
      <c r="T31" s="4">
        <v>77</v>
      </c>
      <c r="U31" s="4">
        <v>187</v>
      </c>
      <c r="V31" s="4">
        <v>264</v>
      </c>
      <c r="W31" s="4">
        <v>37</v>
      </c>
      <c r="X31" s="4">
        <v>66</v>
      </c>
      <c r="Y31" s="4">
        <v>103</v>
      </c>
      <c r="AB31" s="95"/>
      <c r="AC31" s="95"/>
    </row>
    <row r="32" spans="1:29">
      <c r="A32" s="4" t="s">
        <v>152</v>
      </c>
      <c r="B32" s="4">
        <v>60</v>
      </c>
      <c r="C32" s="4">
        <v>106</v>
      </c>
      <c r="D32" s="4">
        <v>166</v>
      </c>
      <c r="E32" s="4">
        <v>37</v>
      </c>
      <c r="F32" s="4">
        <v>49</v>
      </c>
      <c r="G32" s="4">
        <v>86</v>
      </c>
      <c r="H32" s="4">
        <v>0</v>
      </c>
      <c r="I32" s="4">
        <v>0</v>
      </c>
      <c r="J32" s="4">
        <v>0</v>
      </c>
      <c r="K32" s="4">
        <v>0</v>
      </c>
      <c r="L32" s="4">
        <v>0</v>
      </c>
      <c r="M32" s="4">
        <v>0</v>
      </c>
      <c r="N32" s="4">
        <v>6</v>
      </c>
      <c r="O32" s="4">
        <v>23</v>
      </c>
      <c r="P32" s="4">
        <v>29</v>
      </c>
      <c r="Q32" s="4">
        <v>4</v>
      </c>
      <c r="R32" s="4">
        <v>15</v>
      </c>
      <c r="S32" s="4">
        <v>19</v>
      </c>
      <c r="T32" s="4">
        <v>89</v>
      </c>
      <c r="U32" s="4">
        <v>156</v>
      </c>
      <c r="V32" s="4">
        <v>245</v>
      </c>
      <c r="W32" s="4">
        <v>37</v>
      </c>
      <c r="X32" s="4">
        <v>49</v>
      </c>
      <c r="Y32" s="4">
        <v>86</v>
      </c>
      <c r="AB32" s="95"/>
      <c r="AC32" s="95"/>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ACD7F-6084-4655-BE48-D523E3310174}">
  <sheetPr>
    <tabColor theme="9" tint="0.79998168889431442"/>
  </sheetPr>
  <dimension ref="A1:W500"/>
  <sheetViews>
    <sheetView topLeftCell="C1" zoomScale="85" zoomScaleNormal="85" workbookViewId="0">
      <selection activeCell="G24" sqref="G24"/>
    </sheetView>
  </sheetViews>
  <sheetFormatPr defaultRowHeight="16.5"/>
  <cols>
    <col min="1" max="1" width="23.375" style="4" customWidth="1"/>
    <col min="2" max="2" width="9.875" style="255" customWidth="1"/>
    <col min="3" max="3" width="30.75" customWidth="1"/>
    <col min="4" max="4" width="13.75" bestFit="1" customWidth="1"/>
    <col min="5" max="5" width="6" customWidth="1"/>
    <col min="6" max="6" width="21.125" style="4" customWidth="1"/>
    <col min="7" max="7" width="16.125" style="255" bestFit="1" customWidth="1"/>
    <col min="8" max="8" width="22.875" customWidth="1"/>
    <col min="9" max="9" width="13.75" bestFit="1" customWidth="1"/>
    <col min="12" max="12" width="8.625" style="95"/>
    <col min="13" max="13" width="17.125" style="95" customWidth="1"/>
    <col min="14" max="14" width="20.125" style="95" customWidth="1"/>
  </cols>
  <sheetData>
    <row r="1" spans="1:23" s="95" customFormat="1">
      <c r="A1" s="254" t="s">
        <v>354</v>
      </c>
      <c r="B1" s="254" t="s">
        <v>355</v>
      </c>
      <c r="C1" s="256" t="s">
        <v>601</v>
      </c>
      <c r="F1" s="254" t="s">
        <v>356</v>
      </c>
      <c r="G1" s="254" t="s">
        <v>357</v>
      </c>
      <c r="H1" s="256" t="s">
        <v>601</v>
      </c>
      <c r="Q1" s="257" t="s">
        <v>444</v>
      </c>
      <c r="S1" s="134" t="s">
        <v>443</v>
      </c>
      <c r="T1" s="134" t="s">
        <v>602</v>
      </c>
      <c r="U1" s="134" t="s">
        <v>604</v>
      </c>
      <c r="V1" s="134" t="s">
        <v>603</v>
      </c>
      <c r="W1" s="134" t="s">
        <v>605</v>
      </c>
    </row>
    <row r="2" spans="1:23" ht="17.25" thickBot="1">
      <c r="A2" s="4" t="s">
        <v>793</v>
      </c>
      <c r="B2" s="255">
        <v>45</v>
      </c>
      <c r="C2" s="18" t="str" cm="1">
        <f t="array" ref="C2">IFERROR(IF(A2="","",IF(ISNUMBER(MATCH(TRUE,ISNUMBER(SEARCH($Q$2:$Q$51, $A2)),0))=TRUE,"United States of America",INDEX($S$2:$S$199,MATCH(TRUE,ISNUMBER(SEARCH($S$2:$S$199, $A2)),0)))),"United States of America")</f>
        <v>Malaysia</v>
      </c>
      <c r="D2" s="18" t="str" cm="1">
        <f t="array" ref="D2">IF(A2="","",IF(ISNUMBER(MATCH(TRUE,ISNUMBER(SEARCH($Q$2:$Q$51, $A2)),0))=TRUE,"",IF(ISNUMBER(MATCH(TRUE,ISNUMBER(SEARCH($S$2:$S$199, $A2)),0))=TRUE,"","미국 확인 필요")))</f>
        <v/>
      </c>
      <c r="F2" s="4" t="s">
        <v>867</v>
      </c>
      <c r="G2" s="255">
        <v>15055</v>
      </c>
      <c r="H2" s="18" t="str" cm="1">
        <f t="array" ref="H2">IFERROR(IF(F2="","",IF(ISNUMBER(MATCH(TRUE,ISNUMBER(SEARCH($Q$2:$Q$51, $F2)),0))=TRUE,"United States of America",INDEX($S$2:$S$199,MATCH(TRUE,ISNUMBER(SEARCH($S$2:$S$199, $F2)),0)))),"United States of America")</f>
        <v>Korea</v>
      </c>
      <c r="I2" s="18" t="str" cm="1">
        <f t="array" ref="I2">IF(F2="","",IF(ISNUMBER(MATCH(TRUE,ISNUMBER(SEARCH($Q$2:$Q$51, $F2)),0))=TRUE,"",IF(ISNUMBER(MATCH(TRUE,ISNUMBER(SEARCH($S$2:$S$199, $F2)),0))=TRUE,"","미국 확인 필요")))</f>
        <v/>
      </c>
      <c r="L2" s="256"/>
      <c r="Q2" s="252" t="s">
        <v>393</v>
      </c>
      <c r="S2" s="86" t="s">
        <v>358</v>
      </c>
      <c r="T2" s="214">
        <f t="shared" ref="T2:T65" si="0">SUMIF(C:C,S2,B:B)</f>
        <v>0</v>
      </c>
      <c r="U2" s="214" t="str">
        <f>IF(T2=0,"",RANK(T2,T:T,0)+COUNTIF(T$1:T1,T2))</f>
        <v/>
      </c>
      <c r="V2" s="214">
        <f t="shared" ref="V2:V65" si="1">SUMIF(H:H,S2,G:G)</f>
        <v>0</v>
      </c>
      <c r="W2" s="214" t="str">
        <f>IF(V2=0,"",RANK(V2,V:V,0)+COUNTIF(V$1:V1,V2))</f>
        <v/>
      </c>
    </row>
    <row r="3" spans="1:23" ht="17.25" thickBot="1">
      <c r="A3" s="4" t="s">
        <v>794</v>
      </c>
      <c r="B3" s="255">
        <v>70</v>
      </c>
      <c r="C3" s="18" t="str" cm="1">
        <f t="array" ref="C3">IFERROR(IF(A3="","",IF(ISNUMBER(MATCH(TRUE,ISNUMBER(SEARCH($Q$2:$Q$51, $A3)),0))=TRUE,"United States of America",INDEX($S$2:$S$199,MATCH(TRUE,ISNUMBER(SEARCH($S$2:$S$199, $A3)),0)))),"United States of America")</f>
        <v>Japan</v>
      </c>
      <c r="D3" s="18" t="str" cm="1">
        <f t="array" ref="D3">IF(A3="","",IF(ISNUMBER(MATCH(TRUE,ISNUMBER(SEARCH($Q$2:$Q$51, $A3)),0))=TRUE,"",IF(ISNUMBER(MATCH(TRUE,ISNUMBER(SEARCH($S$2:$S$199, $A3)),0))=TRUE,"","미국 확인 필요")))</f>
        <v/>
      </c>
      <c r="F3" s="4" t="s">
        <v>807</v>
      </c>
      <c r="G3" s="255">
        <v>4033</v>
      </c>
      <c r="H3" s="18" t="str" cm="1">
        <f t="array" ref="H3">IFERROR(IF(F3="","",IF(ISNUMBER(MATCH(TRUE,ISNUMBER(SEARCH($Q$2:$Q$51, $F3)),0))=TRUE,"United States of America",INDEX($S$2:$S$199,MATCH(TRUE,ISNUMBER(SEARCH($S$2:$S$199, $F3)),0)))),"United States of America")</f>
        <v>United States of America</v>
      </c>
      <c r="I3" s="18" t="str" cm="1">
        <f t="array" ref="I3">IF(F3="","",IF(ISNUMBER(MATCH(TRUE,ISNUMBER(SEARCH($Q$2:$Q$51, $F3)),0))=TRUE,"",IF(ISNUMBER(MATCH(TRUE,ISNUMBER(SEARCH($S$2:$S$199, $F3)),0))=TRUE,"","미국 확인 필요")))</f>
        <v>미국 확인 필요</v>
      </c>
      <c r="L3" s="362" t="s">
        <v>620</v>
      </c>
      <c r="M3" s="363"/>
      <c r="N3" s="364"/>
      <c r="Q3" s="252" t="s">
        <v>394</v>
      </c>
      <c r="S3" s="86" t="s">
        <v>359</v>
      </c>
      <c r="T3" s="214">
        <f t="shared" si="0"/>
        <v>0</v>
      </c>
      <c r="U3" s="214" t="str">
        <f>IF(T3=0,"",RANK(T3,T:T,0)+COUNTIF(T$1:T2,T3))</f>
        <v/>
      </c>
      <c r="V3" s="214">
        <f t="shared" si="1"/>
        <v>0</v>
      </c>
      <c r="W3" s="214" t="str">
        <f>IF(V3=0,"",RANK(V3,V:V,0)+COUNTIF(V$1:V2,V3))</f>
        <v/>
      </c>
    </row>
    <row r="4" spans="1:23">
      <c r="A4" s="4" t="s">
        <v>795</v>
      </c>
      <c r="B4" s="255">
        <v>163</v>
      </c>
      <c r="C4" s="18" t="str" cm="1">
        <f t="array" ref="C4">IFERROR(IF(A4="","",IF(ISNUMBER(MATCH(TRUE,ISNUMBER(SEARCH($Q$2:$Q$51, $A4)),0))=TRUE,"United States of America",INDEX($S$2:$S$199,MATCH(TRUE,ISNUMBER(SEARCH($S$2:$S$199, $A4)),0)))),"United States of America")</f>
        <v>United States of America</v>
      </c>
      <c r="D4" s="18" t="str" cm="1">
        <f t="array" ref="D4">IF(A4="","",IF(ISNUMBER(MATCH(TRUE,ISNUMBER(SEARCH($Q$2:$Q$51, $A4)),0))=TRUE,"",IF(ISNUMBER(MATCH(TRUE,ISNUMBER(SEARCH($S$2:$S$199, $A4)),0))=TRUE,"","미국 확인 필요")))</f>
        <v/>
      </c>
      <c r="F4" s="4" t="s">
        <v>882</v>
      </c>
      <c r="G4" s="255">
        <v>3721</v>
      </c>
      <c r="H4" s="18" t="str" cm="1">
        <f t="array" ref="H4">IFERROR(IF(F4="","",IF(ISNUMBER(MATCH(TRUE,ISNUMBER(SEARCH($Q$2:$Q$51, $F4)),0))=TRUE,"United States of America",INDEX($S$2:$S$199,MATCH(TRUE,ISNUMBER(SEARCH($S$2:$S$199, $F4)),0)))),"United States of America")</f>
        <v>India</v>
      </c>
      <c r="I4" s="18" t="str" cm="1">
        <f t="array" ref="I4">IF(F4="","",IF(ISNUMBER(MATCH(TRUE,ISNUMBER(SEARCH($Q$2:$Q$51, $F4)),0))=TRUE,"",IF(ISNUMBER(MATCH(TRUE,ISNUMBER(SEARCH($S$2:$S$199, $F4)),0))=TRUE,"","미국 확인 필요")))</f>
        <v/>
      </c>
      <c r="L4" s="244" t="s">
        <v>345</v>
      </c>
      <c r="M4" s="245" t="s">
        <v>346</v>
      </c>
      <c r="N4" s="287">
        <f>followers!H1</f>
        <v>45352</v>
      </c>
      <c r="Q4" s="252" t="s">
        <v>395</v>
      </c>
      <c r="S4" s="86" t="s">
        <v>360</v>
      </c>
      <c r="T4" s="214">
        <f t="shared" si="0"/>
        <v>21</v>
      </c>
      <c r="U4" s="214">
        <f>IF(T4=0,"",RANK(T4,T:T,0)+COUNTIF(T$1:T3,T4))</f>
        <v>23</v>
      </c>
      <c r="V4" s="214">
        <f t="shared" si="1"/>
        <v>0</v>
      </c>
      <c r="W4" s="214" t="str">
        <f>IF(V4=0,"",RANK(V4,V:V,0)+COUNTIF(V$1:V3,V4))</f>
        <v/>
      </c>
    </row>
    <row r="5" spans="1:23" ht="25.5">
      <c r="A5" s="4" t="s">
        <v>796</v>
      </c>
      <c r="B5" s="255">
        <v>15</v>
      </c>
      <c r="C5" s="18" t="str" cm="1">
        <f t="array" ref="C5">IFERROR(IF(A5="","",IF(ISNUMBER(MATCH(TRUE,ISNUMBER(SEARCH($Q$2:$Q$51, $A5)),0))=TRUE,"United States of America",INDEX($S$2:$S$199,MATCH(TRUE,ISNUMBER(SEARCH($S$2:$S$199, $A5)),0)))),"United States of America")</f>
        <v>United States of America</v>
      </c>
      <c r="D5" s="18" t="str" cm="1">
        <f t="array" ref="D5">IF(A5="","",IF(ISNUMBER(MATCH(TRUE,ISNUMBER(SEARCH($Q$2:$Q$51, $A5)),0))=TRUE,"",IF(ISNUMBER(MATCH(TRUE,ISNUMBER(SEARCH($S$2:$S$199, $A5)),0))=TRUE,"","미국 확인 필요")))</f>
        <v/>
      </c>
      <c r="F5" s="4" t="s">
        <v>800</v>
      </c>
      <c r="G5" s="255">
        <v>2145</v>
      </c>
      <c r="H5" s="18" t="str" cm="1">
        <f t="array" ref="H5">IFERROR(IF(F5="","",IF(ISNUMBER(MATCH(TRUE,ISNUMBER(SEARCH($Q$2:$Q$51, $F5)),0))=TRUE,"United States of America",INDEX($S$2:$S$199,MATCH(TRUE,ISNUMBER(SEARCH($S$2:$S$199, $F5)),0)))),"United States of America")</f>
        <v>India</v>
      </c>
      <c r="I5" s="18" t="str" cm="1">
        <f t="array" ref="I5">IF(F5="","",IF(ISNUMBER(MATCH(TRUE,ISNUMBER(SEARCH($Q$2:$Q$51, $F5)),0))=TRUE,"",IF(ISNUMBER(MATCH(TRUE,ISNUMBER(SEARCH($S$2:$S$199, $F5)),0))=TRUE,"","미국 확인 필요")))</f>
        <v/>
      </c>
      <c r="L5" s="246">
        <v>1</v>
      </c>
      <c r="M5" s="249" t="str">
        <f t="shared" ref="M5:M14" si="2">INDEX(S:S,MATCH(L5,U:U,0))</f>
        <v>United States of America</v>
      </c>
      <c r="N5" s="250">
        <f t="shared" ref="N5:N14" si="3">INDEX(T:T,MATCH(L5,U:U,0))</f>
        <v>3548</v>
      </c>
      <c r="Q5" s="252" t="s">
        <v>396</v>
      </c>
      <c r="S5" s="86" t="s">
        <v>361</v>
      </c>
      <c r="T5" s="214">
        <f t="shared" si="0"/>
        <v>0</v>
      </c>
      <c r="U5" s="214" t="str">
        <f>IF(T5=0,"",RANK(T5,T:T,0)+COUNTIF(T$1:T4,T5))</f>
        <v/>
      </c>
      <c r="V5" s="214">
        <f t="shared" si="1"/>
        <v>0</v>
      </c>
      <c r="W5" s="214" t="str">
        <f>IF(V5=0,"",RANK(V5,V:V,0)+COUNTIF(V$1:V4,V5))</f>
        <v/>
      </c>
    </row>
    <row r="6" spans="1:23">
      <c r="A6" s="4" t="s">
        <v>797</v>
      </c>
      <c r="B6" s="255">
        <v>83</v>
      </c>
      <c r="C6" s="18" t="str" cm="1">
        <f t="array" ref="C6">IFERROR(IF(A6="","",IF(ISNUMBER(MATCH(TRUE,ISNUMBER(SEARCH($Q$2:$Q$51, $A6)),0))=TRUE,"United States of America",INDEX($S$2:$S$199,MATCH(TRUE,ISNUMBER(SEARCH($S$2:$S$199, $A6)),0)))),"United States of America")</f>
        <v>United States of America</v>
      </c>
      <c r="D6" s="18" t="str" cm="1">
        <f t="array" ref="D6">IF(A6="","",IF(ISNUMBER(MATCH(TRUE,ISNUMBER(SEARCH($Q$2:$Q$51, $A6)),0))=TRUE,"",IF(ISNUMBER(MATCH(TRUE,ISNUMBER(SEARCH($S$2:$S$199, $A6)),0))=TRUE,"","미국 확인 필요")))</f>
        <v>미국 확인 필요</v>
      </c>
      <c r="F6" s="4" t="s">
        <v>858</v>
      </c>
      <c r="G6" s="255">
        <v>1439</v>
      </c>
      <c r="H6" s="18" t="str" cm="1">
        <f t="array" ref="H6">IFERROR(IF(F6="","",IF(ISNUMBER(MATCH(TRUE,ISNUMBER(SEARCH($Q$2:$Q$51, $F6)),0))=TRUE,"United States of America",INDEX($S$2:$S$199,MATCH(TRUE,ISNUMBER(SEARCH($S$2:$S$199, $F6)),0)))),"United States of America")</f>
        <v>India</v>
      </c>
      <c r="I6" s="18" t="str" cm="1">
        <f t="array" ref="I6">IF(F6="","",IF(ISNUMBER(MATCH(TRUE,ISNUMBER(SEARCH($Q$2:$Q$51, $F6)),0))=TRUE,"",IF(ISNUMBER(MATCH(TRUE,ISNUMBER(SEARCH($S$2:$S$199, $F6)),0))=TRUE,"","미국 확인 필요")))</f>
        <v/>
      </c>
      <c r="L6" s="246">
        <v>2</v>
      </c>
      <c r="M6" s="249" t="str">
        <f t="shared" si="2"/>
        <v>Korea</v>
      </c>
      <c r="N6" s="250">
        <f t="shared" si="3"/>
        <v>3312</v>
      </c>
      <c r="Q6" s="252" t="s">
        <v>397</v>
      </c>
      <c r="S6" s="86" t="s">
        <v>362</v>
      </c>
      <c r="T6" s="214">
        <f t="shared" si="0"/>
        <v>79</v>
      </c>
      <c r="U6" s="214">
        <f>IF(T6=0,"",RANK(T6,T:T,0)+COUNTIF(T$1:T5,T6))</f>
        <v>14</v>
      </c>
      <c r="V6" s="214">
        <f t="shared" si="1"/>
        <v>633</v>
      </c>
      <c r="W6" s="214">
        <f>IF(V6=0,"",RANK(V6,V:V,0)+COUNTIF(V$1:V5,V6))</f>
        <v>11</v>
      </c>
    </row>
    <row r="7" spans="1:23">
      <c r="A7" s="4" t="s">
        <v>798</v>
      </c>
      <c r="B7" s="255">
        <v>153</v>
      </c>
      <c r="C7" s="18" t="str" cm="1">
        <f t="array" ref="C7">IFERROR(IF(A7="","",IF(ISNUMBER(MATCH(TRUE,ISNUMBER(SEARCH($Q$2:$Q$51, $A7)),0))=TRUE,"United States of America",INDEX($S$2:$S$199,MATCH(TRUE,ISNUMBER(SEARCH($S$2:$S$199, $A7)),0)))),"United States of America")</f>
        <v>India</v>
      </c>
      <c r="D7" s="18" t="str" cm="1">
        <f t="array" ref="D7">IF(A7="","",IF(ISNUMBER(MATCH(TRUE,ISNUMBER(SEARCH($Q$2:$Q$51, $A7)),0))=TRUE,"",IF(ISNUMBER(MATCH(TRUE,ISNUMBER(SEARCH($S$2:$S$199, $A7)),0))=TRUE,"","미국 확인 필요")))</f>
        <v/>
      </c>
      <c r="F7" s="4" t="s">
        <v>894</v>
      </c>
      <c r="G7" s="255">
        <v>1252</v>
      </c>
      <c r="H7" s="18" t="str" cm="1">
        <f t="array" ref="H7">IFERROR(IF(F7="","",IF(ISNUMBER(MATCH(TRUE,ISNUMBER(SEARCH($Q$2:$Q$51, $F7)),0))=TRUE,"United States of America",INDEX($S$2:$S$199,MATCH(TRUE,ISNUMBER(SEARCH($S$2:$S$199, $F7)),0)))),"United States of America")</f>
        <v>China</v>
      </c>
      <c r="I7" s="18" t="str" cm="1">
        <f t="array" ref="I7">IF(F7="","",IF(ISNUMBER(MATCH(TRUE,ISNUMBER(SEARCH($Q$2:$Q$51, $F7)),0))=TRUE,"",IF(ISNUMBER(MATCH(TRUE,ISNUMBER(SEARCH($S$2:$S$199, $F7)),0))=TRUE,"","미국 확인 필요")))</f>
        <v/>
      </c>
      <c r="L7" s="246">
        <v>3</v>
      </c>
      <c r="M7" s="249" t="str">
        <f t="shared" si="2"/>
        <v>India</v>
      </c>
      <c r="N7" s="250">
        <f t="shared" si="3"/>
        <v>1401</v>
      </c>
      <c r="Q7" s="252" t="s">
        <v>398</v>
      </c>
      <c r="S7" s="86" t="s">
        <v>363</v>
      </c>
      <c r="T7" s="214">
        <f t="shared" si="0"/>
        <v>196</v>
      </c>
      <c r="U7" s="214">
        <f>IF(T7=0,"",RANK(T7,T:T,0)+COUNTIF(T$1:T6,T7))</f>
        <v>6</v>
      </c>
      <c r="V7" s="214">
        <f t="shared" si="1"/>
        <v>1097</v>
      </c>
      <c r="W7" s="214">
        <f>IF(V7=0,"",RANK(V7,V:V,0)+COUNTIF(V$1:V6,V7))</f>
        <v>7</v>
      </c>
    </row>
    <row r="8" spans="1:23">
      <c r="A8" s="4" t="s">
        <v>799</v>
      </c>
      <c r="B8" s="255">
        <v>23</v>
      </c>
      <c r="C8" s="18" t="str" cm="1">
        <f t="array" ref="C8">IFERROR(IF(A8="","",IF(ISNUMBER(MATCH(TRUE,ISNUMBER(SEARCH($Q$2:$Q$51, $A8)),0))=TRUE,"United States of America",INDEX($S$2:$S$199,MATCH(TRUE,ISNUMBER(SEARCH($S$2:$S$199, $A8)),0)))),"United States of America")</f>
        <v>United States of America</v>
      </c>
      <c r="D8" s="18" t="str" cm="1">
        <f t="array" ref="D8">IF(A8="","",IF(ISNUMBER(MATCH(TRUE,ISNUMBER(SEARCH($Q$2:$Q$51, $A8)),0))=TRUE,"",IF(ISNUMBER(MATCH(TRUE,ISNUMBER(SEARCH($S$2:$S$199, $A8)),0))=TRUE,"","미국 확인 필요")))</f>
        <v/>
      </c>
      <c r="F8" s="4" t="s">
        <v>810</v>
      </c>
      <c r="G8" s="255">
        <v>1169</v>
      </c>
      <c r="H8" s="18" t="str" cm="1">
        <f t="array" ref="H8">IFERROR(IF(F8="","",IF(ISNUMBER(MATCH(TRUE,ISNUMBER(SEARCH($Q$2:$Q$51, $F8)),0))=TRUE,"United States of America",INDEX($S$2:$S$199,MATCH(TRUE,ISNUMBER(SEARCH($S$2:$S$199, $F8)),0)))),"United States of America")</f>
        <v>Taiwan</v>
      </c>
      <c r="I8" s="18" t="str" cm="1">
        <f t="array" ref="I8">IF(F8="","",IF(ISNUMBER(MATCH(TRUE,ISNUMBER(SEARCH($Q$2:$Q$51, $F8)),0))=TRUE,"",IF(ISNUMBER(MATCH(TRUE,ISNUMBER(SEARCH($S$2:$S$199, $F8)),0))=TRUE,"","미국 확인 필요")))</f>
        <v/>
      </c>
      <c r="L8" s="246">
        <v>4</v>
      </c>
      <c r="M8" s="249" t="str">
        <f t="shared" si="2"/>
        <v>Taiwan</v>
      </c>
      <c r="N8" s="250">
        <f t="shared" si="3"/>
        <v>595</v>
      </c>
      <c r="Q8" s="252" t="s">
        <v>399</v>
      </c>
      <c r="S8" s="86" t="s">
        <v>351</v>
      </c>
      <c r="T8" s="214">
        <f t="shared" si="0"/>
        <v>361</v>
      </c>
      <c r="U8" s="214">
        <f>IF(T8=0,"",RANK(T8,T:T,0)+COUNTIF(T$1:T7,T8))</f>
        <v>5</v>
      </c>
      <c r="V8" s="214">
        <f t="shared" si="1"/>
        <v>674</v>
      </c>
      <c r="W8" s="214">
        <f>IF(V8=0,"",RANK(V8,V:V,0)+COUNTIF(V$1:V7,V8))</f>
        <v>9</v>
      </c>
    </row>
    <row r="9" spans="1:23">
      <c r="A9" s="4" t="s">
        <v>800</v>
      </c>
      <c r="B9" s="255">
        <v>89</v>
      </c>
      <c r="C9" s="18" t="str" cm="1">
        <f t="array" ref="C9">IFERROR(IF(A9="","",IF(ISNUMBER(MATCH(TRUE,ISNUMBER(SEARCH($Q$2:$Q$51, $A9)),0))=TRUE,"United States of America",INDEX($S$2:$S$199,MATCH(TRUE,ISNUMBER(SEARCH($S$2:$S$199, $A9)),0)))),"United States of America")</f>
        <v>India</v>
      </c>
      <c r="D9" s="18" t="str" cm="1">
        <f t="array" ref="D9">IF(A9="","",IF(ISNUMBER(MATCH(TRUE,ISNUMBER(SEARCH($Q$2:$Q$51, $A9)),0))=TRUE,"",IF(ISNUMBER(MATCH(TRUE,ISNUMBER(SEARCH($S$2:$S$199, $A9)),0))=TRUE,"","미국 확인 필요")))</f>
        <v/>
      </c>
      <c r="F9" s="4" t="s">
        <v>897</v>
      </c>
      <c r="G9" s="255">
        <v>1097</v>
      </c>
      <c r="H9" s="18" t="str" cm="1">
        <f t="array" ref="H9">IFERROR(IF(F9="","",IF(ISNUMBER(MATCH(TRUE,ISNUMBER(SEARCH($Q$2:$Q$51, $F9)),0))=TRUE,"United States of America",INDEX($S$2:$S$199,MATCH(TRUE,ISNUMBER(SEARCH($S$2:$S$199, $F9)),0)))),"United States of America")</f>
        <v>Singapore</v>
      </c>
      <c r="I9" s="18" t="str" cm="1">
        <f t="array" ref="I9">IF(F9="","",IF(ISNUMBER(MATCH(TRUE,ISNUMBER(SEARCH($Q$2:$Q$51, $F9)),0))=TRUE,"",IF(ISNUMBER(MATCH(TRUE,ISNUMBER(SEARCH($S$2:$S$199, $F9)),0))=TRUE,"","미국 확인 필요")))</f>
        <v/>
      </c>
      <c r="L9" s="246">
        <v>5</v>
      </c>
      <c r="M9" s="249" t="str">
        <f t="shared" si="2"/>
        <v>United Kingdom</v>
      </c>
      <c r="N9" s="250">
        <f t="shared" si="3"/>
        <v>361</v>
      </c>
      <c r="Q9" s="252" t="s">
        <v>400</v>
      </c>
      <c r="S9" s="86" t="s">
        <v>365</v>
      </c>
      <c r="T9" s="214">
        <f t="shared" si="0"/>
        <v>0</v>
      </c>
      <c r="U9" s="214" t="str">
        <f>IF(T9=0,"",RANK(T9,T:T,0)+COUNTIF(T$1:T8,T9))</f>
        <v/>
      </c>
      <c r="V9" s="214">
        <f t="shared" si="1"/>
        <v>238</v>
      </c>
      <c r="W9" s="214">
        <f>IF(V9=0,"",RANK(V9,V:V,0)+COUNTIF(V$1:V8,V9))</f>
        <v>25</v>
      </c>
    </row>
    <row r="10" spans="1:23">
      <c r="A10" s="4" t="s">
        <v>801</v>
      </c>
      <c r="B10" s="255">
        <v>126</v>
      </c>
      <c r="C10" s="18" t="str" cm="1">
        <f t="array" ref="C10">IFERROR(IF(A10="","",IF(ISNUMBER(MATCH(TRUE,ISNUMBER(SEARCH($Q$2:$Q$51, $A10)),0))=TRUE,"United States of America",INDEX($S$2:$S$199,MATCH(TRUE,ISNUMBER(SEARCH($S$2:$S$199, $A10)),0)))),"United States of America")</f>
        <v>Taiwan</v>
      </c>
      <c r="D10" s="18" t="str" cm="1">
        <f t="array" ref="D10">IF(A10="","",IF(ISNUMBER(MATCH(TRUE,ISNUMBER(SEARCH($Q$2:$Q$51, $A10)),0))=TRUE,"",IF(ISNUMBER(MATCH(TRUE,ISNUMBER(SEARCH($S$2:$S$199, $A10)),0))=TRUE,"","미국 확인 필요")))</f>
        <v/>
      </c>
      <c r="F10" s="4" t="s">
        <v>895</v>
      </c>
      <c r="G10" s="255">
        <v>967</v>
      </c>
      <c r="H10" s="18" t="str" cm="1">
        <f t="array" ref="H10">IFERROR(IF(F10="","",IF(ISNUMBER(MATCH(TRUE,ISNUMBER(SEARCH($Q$2:$Q$51, $F10)),0))=TRUE,"United States of America",INDEX($S$2:$S$199,MATCH(TRUE,ISNUMBER(SEARCH($S$2:$S$199, $F10)),0)))),"United States of America")</f>
        <v>India</v>
      </c>
      <c r="I10" s="18" t="str" cm="1">
        <f t="array" ref="I10">IF(F10="","",IF(ISNUMBER(MATCH(TRUE,ISNUMBER(SEARCH($Q$2:$Q$51, $F10)),0))=TRUE,"",IF(ISNUMBER(MATCH(TRUE,ISNUMBER(SEARCH($S$2:$S$199, $F10)),0))=TRUE,"","미국 확인 필요")))</f>
        <v/>
      </c>
      <c r="L10" s="246">
        <v>6</v>
      </c>
      <c r="M10" s="249" t="str">
        <f t="shared" si="2"/>
        <v>Singapore</v>
      </c>
      <c r="N10" s="250">
        <f t="shared" si="3"/>
        <v>196</v>
      </c>
      <c r="Q10" s="252" t="s">
        <v>401</v>
      </c>
      <c r="S10" s="86" t="s">
        <v>366</v>
      </c>
      <c r="T10" s="214">
        <f t="shared" si="0"/>
        <v>15</v>
      </c>
      <c r="U10" s="214">
        <f>IF(T10=0,"",RANK(T10,T:T,0)+COUNTIF(T$1:T9,T10))</f>
        <v>27</v>
      </c>
      <c r="V10" s="214">
        <f t="shared" si="1"/>
        <v>0</v>
      </c>
      <c r="W10" s="214" t="str">
        <f>IF(V10=0,"",RANK(V10,V:V,0)+COUNTIF(V$1:V9,V10))</f>
        <v/>
      </c>
    </row>
    <row r="11" spans="1:23">
      <c r="A11" s="4" t="s">
        <v>802</v>
      </c>
      <c r="B11" s="255">
        <v>43</v>
      </c>
      <c r="C11" s="18" t="str" cm="1">
        <f t="array" ref="C11">IFERROR(IF(A11="","",IF(ISNUMBER(MATCH(TRUE,ISNUMBER(SEARCH($Q$2:$Q$51, $A11)),0))=TRUE,"United States of America",INDEX($S$2:$S$199,MATCH(TRUE,ISNUMBER(SEARCH($S$2:$S$199, $A11)),0)))),"United States of America")</f>
        <v>Taiwan</v>
      </c>
      <c r="D11" s="18" t="str" cm="1">
        <f t="array" ref="D11">IF(A11="","",IF(ISNUMBER(MATCH(TRUE,ISNUMBER(SEARCH($Q$2:$Q$51, $A11)),0))=TRUE,"",IF(ISNUMBER(MATCH(TRUE,ISNUMBER(SEARCH($S$2:$S$199, $A11)),0))=TRUE,"","미국 확인 필요")))</f>
        <v/>
      </c>
      <c r="F11" s="4" t="s">
        <v>809</v>
      </c>
      <c r="G11" s="255">
        <v>949</v>
      </c>
      <c r="H11" s="18" t="str" cm="1">
        <f t="array" ref="H11">IFERROR(IF(F11="","",IF(ISNUMBER(MATCH(TRUE,ISNUMBER(SEARCH($Q$2:$Q$51, $F11)),0))=TRUE,"United States of America",INDEX($S$2:$S$199,MATCH(TRUE,ISNUMBER(SEARCH($S$2:$S$199, $F11)),0)))),"United States of America")</f>
        <v>Brazil</v>
      </c>
      <c r="I11" s="18" t="str" cm="1">
        <f t="array" ref="I11">IF(F11="","",IF(ISNUMBER(MATCH(TRUE,ISNUMBER(SEARCH($Q$2:$Q$51, $F11)),0))=TRUE,"",IF(ISNUMBER(MATCH(TRUE,ISNUMBER(SEARCH($S$2:$S$199, $F11)),0))=TRUE,"","미국 확인 필요")))</f>
        <v/>
      </c>
      <c r="L11" s="246">
        <v>7</v>
      </c>
      <c r="M11" s="249" t="str">
        <f t="shared" si="2"/>
        <v>Germany</v>
      </c>
      <c r="N11" s="250">
        <f t="shared" si="3"/>
        <v>182</v>
      </c>
      <c r="Q11" s="252" t="s">
        <v>402</v>
      </c>
      <c r="S11" s="86" t="s">
        <v>367</v>
      </c>
      <c r="T11" s="214">
        <f t="shared" si="0"/>
        <v>23</v>
      </c>
      <c r="U11" s="214">
        <f>IF(T11=0,"",RANK(T11,T:T,0)+COUNTIF(T$1:T10,T11))</f>
        <v>22</v>
      </c>
      <c r="V11" s="214">
        <f t="shared" si="1"/>
        <v>0</v>
      </c>
      <c r="W11" s="214" t="str">
        <f>IF(V11=0,"",RANK(V11,V:V,0)+COUNTIF(V$1:V10,V11))</f>
        <v/>
      </c>
    </row>
    <row r="12" spans="1:23">
      <c r="A12" s="4" t="s">
        <v>803</v>
      </c>
      <c r="B12" s="255">
        <v>161</v>
      </c>
      <c r="C12" s="18" t="str" cm="1">
        <f t="array" ref="C12">IFERROR(IF(A12="","",IF(ISNUMBER(MATCH(TRUE,ISNUMBER(SEARCH($Q$2:$Q$51, $A12)),0))=TRUE,"United States of America",INDEX($S$2:$S$199,MATCH(TRUE,ISNUMBER(SEARCH($S$2:$S$199, $A12)),0)))),"United States of America")</f>
        <v>United States of America</v>
      </c>
      <c r="D12" s="18" t="str" cm="1">
        <f t="array" ref="D12">IF(A12="","",IF(ISNUMBER(MATCH(TRUE,ISNUMBER(SEARCH($Q$2:$Q$51, $A12)),0))=TRUE,"",IF(ISNUMBER(MATCH(TRUE,ISNUMBER(SEARCH($S$2:$S$199, $A12)),0))=TRUE,"","미국 확인 필요")))</f>
        <v>미국 확인 필요</v>
      </c>
      <c r="F12" s="4" t="s">
        <v>864</v>
      </c>
      <c r="G12" s="255">
        <v>933</v>
      </c>
      <c r="H12" s="18" t="str" cm="1">
        <f t="array" ref="H12">IFERROR(IF(F12="","",IF(ISNUMBER(MATCH(TRUE,ISNUMBER(SEARCH($Q$2:$Q$51, $F12)),0))=TRUE,"United States of America",INDEX($S$2:$S$199,MATCH(TRUE,ISNUMBER(SEARCH($S$2:$S$199, $F12)),0)))),"United States of America")</f>
        <v>India</v>
      </c>
      <c r="I12" s="18" t="str" cm="1">
        <f t="array" ref="I12">IF(F12="","",IF(ISNUMBER(MATCH(TRUE,ISNUMBER(SEARCH($Q$2:$Q$51, $F12)),0))=TRUE,"",IF(ISNUMBER(MATCH(TRUE,ISNUMBER(SEARCH($S$2:$S$199, $F12)),0))=TRUE,"","미국 확인 필요")))</f>
        <v/>
      </c>
      <c r="L12" s="246">
        <v>8</v>
      </c>
      <c r="M12" s="249" t="str">
        <f t="shared" si="2"/>
        <v>France</v>
      </c>
      <c r="N12" s="250">
        <f t="shared" si="3"/>
        <v>151</v>
      </c>
      <c r="Q12" s="252" t="s">
        <v>403</v>
      </c>
      <c r="S12" s="86" t="s">
        <v>368</v>
      </c>
      <c r="T12" s="214">
        <f t="shared" si="0"/>
        <v>182</v>
      </c>
      <c r="U12" s="214">
        <f>IF(T12=0,"",RANK(T12,T:T,0)+COUNTIF(T$1:T11,T12))</f>
        <v>7</v>
      </c>
      <c r="V12" s="214">
        <f t="shared" si="1"/>
        <v>590</v>
      </c>
      <c r="W12" s="214">
        <f>IF(V12=0,"",RANK(V12,V:V,0)+COUNTIF(V$1:V11,V12))</f>
        <v>12</v>
      </c>
    </row>
    <row r="13" spans="1:23">
      <c r="A13" s="4" t="s">
        <v>804</v>
      </c>
      <c r="B13" s="255">
        <v>76</v>
      </c>
      <c r="C13" s="18" t="str" cm="1">
        <f t="array" ref="C13">IFERROR(IF(A13="","",IF(ISNUMBER(MATCH(TRUE,ISNUMBER(SEARCH($Q$2:$Q$51, $A13)),0))=TRUE,"United States of America",INDEX($S$2:$S$199,MATCH(TRUE,ISNUMBER(SEARCH($S$2:$S$199, $A13)),0)))),"United States of America")</f>
        <v>United States of America</v>
      </c>
      <c r="D13" s="18" t="str" cm="1">
        <f t="array" ref="D13">IF(A13="","",IF(ISNUMBER(MATCH(TRUE,ISNUMBER(SEARCH($Q$2:$Q$51, $A13)),0))=TRUE,"",IF(ISNUMBER(MATCH(TRUE,ISNUMBER(SEARCH($S$2:$S$199, $A13)),0))=TRUE,"","미국 확인 필요")))</f>
        <v>미국 확인 필요</v>
      </c>
      <c r="F13" s="4" t="s">
        <v>898</v>
      </c>
      <c r="G13" s="255">
        <v>842</v>
      </c>
      <c r="H13" s="18" t="str" cm="1">
        <f t="array" ref="H13">IFERROR(IF(F13="","",IF(ISNUMBER(MATCH(TRUE,ISNUMBER(SEARCH($Q$2:$Q$51, $F13)),0))=TRUE,"United States of America",INDEX($S$2:$S$199,MATCH(TRUE,ISNUMBER(SEARCH($S$2:$S$199, $F13)),0)))),"United States of America")</f>
        <v>China</v>
      </c>
      <c r="I13" s="18" t="str" cm="1">
        <f t="array" ref="I13">IF(F13="","",IF(ISNUMBER(MATCH(TRUE,ISNUMBER(SEARCH($Q$2:$Q$51, $F13)),0))=TRUE,"",IF(ISNUMBER(MATCH(TRUE,ISNUMBER(SEARCH($S$2:$S$199, $F13)),0))=TRUE,"","미국 확인 필요")))</f>
        <v/>
      </c>
      <c r="L13" s="246">
        <v>9</v>
      </c>
      <c r="M13" s="249" t="str">
        <f t="shared" si="2"/>
        <v>Netherlands</v>
      </c>
      <c r="N13" s="250">
        <f t="shared" si="3"/>
        <v>128</v>
      </c>
      <c r="Q13" s="252" t="s">
        <v>404</v>
      </c>
      <c r="S13" s="86" t="s">
        <v>369</v>
      </c>
      <c r="T13" s="214">
        <f t="shared" si="0"/>
        <v>115</v>
      </c>
      <c r="U13" s="214">
        <f>IF(T13=0,"",RANK(T13,T:T,0)+COUNTIF(T$1:T12,T13))</f>
        <v>10</v>
      </c>
      <c r="V13" s="214">
        <f t="shared" si="1"/>
        <v>441</v>
      </c>
      <c r="W13" s="214">
        <f>IF(V13=0,"",RANK(V13,V:V,0)+COUNTIF(V$1:V12,V13))</f>
        <v>15</v>
      </c>
    </row>
    <row r="14" spans="1:23">
      <c r="A14" s="4" t="s">
        <v>805</v>
      </c>
      <c r="B14" s="255">
        <v>21</v>
      </c>
      <c r="C14" s="18" t="str" cm="1">
        <f t="array" ref="C14">IFERROR(IF(A14="","",IF(ISNUMBER(MATCH(TRUE,ISNUMBER(SEARCH($Q$2:$Q$51, $A14)),0))=TRUE,"United States of America",INDEX($S$2:$S$199,MATCH(TRUE,ISNUMBER(SEARCH($S$2:$S$199, $A14)),0)))),"United States of America")</f>
        <v>Hungary</v>
      </c>
      <c r="D14" s="18" t="str" cm="1">
        <f t="array" ref="D14">IF(A14="","",IF(ISNUMBER(MATCH(TRUE,ISNUMBER(SEARCH($Q$2:$Q$51, $A14)),0))=TRUE,"",IF(ISNUMBER(MATCH(TRUE,ISNUMBER(SEARCH($S$2:$S$199, $A14)),0))=TRUE,"","미국 확인 필요")))</f>
        <v/>
      </c>
      <c r="F14" s="4" t="s">
        <v>853</v>
      </c>
      <c r="G14" s="255">
        <v>757</v>
      </c>
      <c r="H14" s="18" t="str" cm="1">
        <f t="array" ref="H14">IFERROR(IF(F14="","",IF(ISNUMBER(MATCH(TRUE,ISNUMBER(SEARCH($Q$2:$Q$51, $F14)),0))=TRUE,"United States of America",INDEX($S$2:$S$199,MATCH(TRUE,ISNUMBER(SEARCH($S$2:$S$199, $F14)),0)))),"United States of America")</f>
        <v>United States of America</v>
      </c>
      <c r="I14" s="18" t="str" cm="1">
        <f t="array" ref="I14">IF(F14="","",IF(ISNUMBER(MATCH(TRUE,ISNUMBER(SEARCH($Q$2:$Q$51, $F14)),0))=TRUE,"",IF(ISNUMBER(MATCH(TRUE,ISNUMBER(SEARCH($S$2:$S$199, $F14)),0))=TRUE,"","미국 확인 필요")))</f>
        <v>미국 확인 필요</v>
      </c>
      <c r="L14" s="247">
        <v>10</v>
      </c>
      <c r="M14" s="249" t="str">
        <f t="shared" si="2"/>
        <v>Spain</v>
      </c>
      <c r="N14" s="250">
        <f t="shared" si="3"/>
        <v>115</v>
      </c>
      <c r="Q14" s="252" t="s">
        <v>405</v>
      </c>
      <c r="S14" s="86" t="s">
        <v>370</v>
      </c>
      <c r="T14" s="214">
        <f t="shared" si="0"/>
        <v>151</v>
      </c>
      <c r="U14" s="214">
        <f>IF(T14=0,"",RANK(T14,T:T,0)+COUNTIF(T$1:T13,T14))</f>
        <v>8</v>
      </c>
      <c r="V14" s="214">
        <f t="shared" si="1"/>
        <v>480</v>
      </c>
      <c r="W14" s="214">
        <f>IF(V14=0,"",RANK(V14,V:V,0)+COUNTIF(V$1:V13,V14))</f>
        <v>14</v>
      </c>
    </row>
    <row r="15" spans="1:23" ht="17.25" thickBot="1">
      <c r="A15" s="4" t="s">
        <v>806</v>
      </c>
      <c r="B15" s="255">
        <v>110</v>
      </c>
      <c r="C15" s="18" t="str" cm="1">
        <f t="array" ref="C15">IFERROR(IF(A15="","",IF(ISNUMBER(MATCH(TRUE,ISNUMBER(SEARCH($Q$2:$Q$51, $A15)),0))=TRUE,"United States of America",INDEX($S$2:$S$199,MATCH(TRUE,ISNUMBER(SEARCH($S$2:$S$199, $A15)),0)))),"United States of America")</f>
        <v>Germany</v>
      </c>
      <c r="D15" s="18" t="str" cm="1">
        <f t="array" ref="D15">IF(A15="","",IF(ISNUMBER(MATCH(TRUE,ISNUMBER(SEARCH($Q$2:$Q$51, $A15)),0))=TRUE,"",IF(ISNUMBER(MATCH(TRUE,ISNUMBER(SEARCH($S$2:$S$199, $A15)),0))=TRUE,"","미국 확인 필요")))</f>
        <v/>
      </c>
      <c r="F15" s="4" t="s">
        <v>815</v>
      </c>
      <c r="G15" s="255">
        <v>754</v>
      </c>
      <c r="H15" s="18" t="str" cm="1">
        <f t="array" ref="H15">IFERROR(IF(F15="","",IF(ISNUMBER(MATCH(TRUE,ISNUMBER(SEARCH($Q$2:$Q$51, $F15)),0))=TRUE,"United States of America",INDEX($S$2:$S$199,MATCH(TRUE,ISNUMBER(SEARCH($S$2:$S$199, $F15)),0)))),"United States of America")</f>
        <v>United States of America</v>
      </c>
      <c r="I15" s="18" t="str" cm="1">
        <f t="array" ref="I15">IF(F15="","",IF(ISNUMBER(MATCH(TRUE,ISNUMBER(SEARCH($Q$2:$Q$51, $F15)),0))=TRUE,"",IF(ISNUMBER(MATCH(TRUE,ISNUMBER(SEARCH($S$2:$S$199, $F15)),0))=TRUE,"","미국 확인 필요")))</f>
        <v/>
      </c>
      <c r="L15" s="360" t="s">
        <v>153</v>
      </c>
      <c r="M15" s="361"/>
      <c r="N15" s="251" t="str">
        <f>TEXT(SUM(T:T),"#,###")&amp;" (전체 "&amp;TEXT(SUM(T:T)/SUM(visitors!V:V),"#.#%")&amp;")"</f>
        <v>10,815 (전체 81.3%)</v>
      </c>
      <c r="Q15" s="252" t="s">
        <v>406</v>
      </c>
      <c r="S15" s="86" t="s">
        <v>350</v>
      </c>
      <c r="T15" s="214">
        <f t="shared" si="0"/>
        <v>81</v>
      </c>
      <c r="U15" s="214">
        <f>IF(T15=0,"",RANK(T15,T:T,0)+COUNTIF(T$1:T14,T15))</f>
        <v>13</v>
      </c>
      <c r="V15" s="214">
        <f t="shared" si="1"/>
        <v>689</v>
      </c>
      <c r="W15" s="214">
        <f>IF(V15=0,"",RANK(V15,V:V,0)+COUNTIF(V$1:V14,V15))</f>
        <v>8</v>
      </c>
    </row>
    <row r="16" spans="1:23">
      <c r="A16" s="4" t="s">
        <v>807</v>
      </c>
      <c r="B16" s="255">
        <v>982</v>
      </c>
      <c r="C16" s="18" t="str" cm="1">
        <f t="array" ref="C16">IFERROR(IF(A16="","",IF(ISNUMBER(MATCH(TRUE,ISNUMBER(SEARCH($Q$2:$Q$51, $A16)),0))=TRUE,"United States of America",INDEX($S$2:$S$199,MATCH(TRUE,ISNUMBER(SEARCH($S$2:$S$199, $A16)),0)))),"United States of America")</f>
        <v>United States of America</v>
      </c>
      <c r="D16" s="18" t="str" cm="1">
        <f t="array" ref="D16">IF(A16="","",IF(ISNUMBER(MATCH(TRUE,ISNUMBER(SEARCH($Q$2:$Q$51, $A16)),0))=TRUE,"",IF(ISNUMBER(MATCH(TRUE,ISNUMBER(SEARCH($S$2:$S$199, $A16)),0))=TRUE,"","미국 확인 필요")))</f>
        <v>미국 확인 필요</v>
      </c>
      <c r="F16" s="4" t="s">
        <v>859</v>
      </c>
      <c r="G16" s="255">
        <v>674</v>
      </c>
      <c r="H16" s="18" t="str" cm="1">
        <f t="array" ref="H16">IFERROR(IF(F16="","",IF(ISNUMBER(MATCH(TRUE,ISNUMBER(SEARCH($Q$2:$Q$51, $F16)),0))=TRUE,"United States of America",INDEX($S$2:$S$199,MATCH(TRUE,ISNUMBER(SEARCH($S$2:$S$199, $F16)),0)))),"United States of America")</f>
        <v>United Kingdom</v>
      </c>
      <c r="I16" s="18" t="str" cm="1">
        <f t="array" ref="I16">IF(F16="","",IF(ISNUMBER(MATCH(TRUE,ISNUMBER(SEARCH($Q$2:$Q$51, $F16)),0))=TRUE,"",IF(ISNUMBER(MATCH(TRUE,ISNUMBER(SEARCH($S$2:$S$199, $F16)),0))=TRUE,"","미국 확인 필요")))</f>
        <v/>
      </c>
      <c r="Q16" s="252" t="s">
        <v>407</v>
      </c>
      <c r="S16" s="86" t="s">
        <v>352</v>
      </c>
      <c r="T16" s="214">
        <f t="shared" si="0"/>
        <v>128</v>
      </c>
      <c r="U16" s="214">
        <f>IF(T16=0,"",RANK(T16,T:T,0)+COUNTIF(T$1:T15,T16))</f>
        <v>9</v>
      </c>
      <c r="V16" s="214">
        <f t="shared" si="1"/>
        <v>637</v>
      </c>
      <c r="W16" s="214">
        <f>IF(V16=0,"",RANK(V16,V:V,0)+COUNTIF(V$1:V15,V16))</f>
        <v>10</v>
      </c>
    </row>
    <row r="17" spans="1:23">
      <c r="A17" s="4" t="s">
        <v>808</v>
      </c>
      <c r="B17" s="255">
        <v>48</v>
      </c>
      <c r="C17" s="18" t="str" cm="1">
        <f t="array" ref="C17">IFERROR(IF(A17="","",IF(ISNUMBER(MATCH(TRUE,ISNUMBER(SEARCH($Q$2:$Q$51, $A17)),0))=TRUE,"United States of America",INDEX($S$2:$S$199,MATCH(TRUE,ISNUMBER(SEARCH($S$2:$S$199, $A17)),0)))),"United States of America")</f>
        <v>Taiwan</v>
      </c>
      <c r="D17" s="18" t="str" cm="1">
        <f t="array" ref="D17">IF(A17="","",IF(ISNUMBER(MATCH(TRUE,ISNUMBER(SEARCH($Q$2:$Q$51, $A17)),0))=TRUE,"",IF(ISNUMBER(MATCH(TRUE,ISNUMBER(SEARCH($S$2:$S$199, $A17)),0))=TRUE,"","미국 확인 필요")))</f>
        <v/>
      </c>
      <c r="F17" s="4" t="s">
        <v>870</v>
      </c>
      <c r="G17" s="255">
        <v>661</v>
      </c>
      <c r="H17" s="18" t="str" cm="1">
        <f t="array" ref="H17">IFERROR(IF(F17="","",IF(ISNUMBER(MATCH(TRUE,ISNUMBER(SEARCH($Q$2:$Q$51, $F17)),0))=TRUE,"United States of America",INDEX($S$2:$S$199,MATCH(TRUE,ISNUMBER(SEARCH($S$2:$S$199, $F17)),0)))),"United States of America")</f>
        <v>India</v>
      </c>
      <c r="I17" s="18" t="str" cm="1">
        <f t="array" ref="I17">IF(F17="","",IF(ISNUMBER(MATCH(TRUE,ISNUMBER(SEARCH($Q$2:$Q$51, $F17)),0))=TRUE,"",IF(ISNUMBER(MATCH(TRUE,ISNUMBER(SEARCH($S$2:$S$199, $F17)),0))=TRUE,"","미국 확인 필요")))</f>
        <v/>
      </c>
      <c r="Q17" s="252" t="s">
        <v>408</v>
      </c>
      <c r="S17" s="86" t="s">
        <v>371</v>
      </c>
      <c r="T17" s="214">
        <f t="shared" si="0"/>
        <v>0</v>
      </c>
      <c r="U17" s="214" t="str">
        <f>IF(T17=0,"",RANK(T17,T:T,0)+COUNTIF(T$1:T16,T17))</f>
        <v/>
      </c>
      <c r="V17" s="214">
        <f t="shared" si="1"/>
        <v>0</v>
      </c>
      <c r="W17" s="214" t="str">
        <f>IF(V17=0,"",RANK(V17,V:V,0)+COUNTIF(V$1:V16,V17))</f>
        <v/>
      </c>
    </row>
    <row r="18" spans="1:23">
      <c r="A18" s="4" t="s">
        <v>809</v>
      </c>
      <c r="B18" s="255">
        <v>43</v>
      </c>
      <c r="C18" s="18" t="str" cm="1">
        <f t="array" ref="C18">IFERROR(IF(A18="","",IF(ISNUMBER(MATCH(TRUE,ISNUMBER(SEARCH($Q$2:$Q$51, $A18)),0))=TRUE,"United States of America",INDEX($S$2:$S$199,MATCH(TRUE,ISNUMBER(SEARCH($S$2:$S$199, $A18)),0)))),"United States of America")</f>
        <v>Brazil</v>
      </c>
      <c r="D18" s="18" t="str" cm="1">
        <f t="array" ref="D18">IF(A18="","",IF(ISNUMBER(MATCH(TRUE,ISNUMBER(SEARCH($Q$2:$Q$51, $A18)),0))=TRUE,"",IF(ISNUMBER(MATCH(TRUE,ISNUMBER(SEARCH($S$2:$S$199, $A18)),0))=TRUE,"","미국 확인 필요")))</f>
        <v/>
      </c>
      <c r="F18" s="4" t="s">
        <v>804</v>
      </c>
      <c r="G18" s="255">
        <v>591</v>
      </c>
      <c r="H18" s="18" t="str" cm="1">
        <f t="array" ref="H18">IFERROR(IF(F18="","",IF(ISNUMBER(MATCH(TRUE,ISNUMBER(SEARCH($Q$2:$Q$51, $F18)),0))=TRUE,"United States of America",INDEX($S$2:$S$199,MATCH(TRUE,ISNUMBER(SEARCH($S$2:$S$199, $F18)),0)))),"United States of America")</f>
        <v>United States of America</v>
      </c>
      <c r="I18" s="18" t="str" cm="1">
        <f t="array" ref="I18">IF(F18="","",IF(ISNUMBER(MATCH(TRUE,ISNUMBER(SEARCH($Q$2:$Q$51, $F18)),0))=TRUE,"",IF(ISNUMBER(MATCH(TRUE,ISNUMBER(SEARCH($S$2:$S$199, $F18)),0))=TRUE,"","미국 확인 필요")))</f>
        <v>미국 확인 필요</v>
      </c>
      <c r="Q18" s="252" t="s">
        <v>409</v>
      </c>
      <c r="S18" s="86" t="s">
        <v>372</v>
      </c>
      <c r="T18" s="214">
        <f t="shared" si="0"/>
        <v>17</v>
      </c>
      <c r="U18" s="214">
        <f>IF(T18=0,"",RANK(T18,T:T,0)+COUNTIF(T$1:T17,T18))</f>
        <v>25</v>
      </c>
      <c r="V18" s="214">
        <f t="shared" si="1"/>
        <v>439</v>
      </c>
      <c r="W18" s="214">
        <f>IF(V18=0,"",RANK(V18,V:V,0)+COUNTIF(V$1:V17,V18))</f>
        <v>16</v>
      </c>
    </row>
    <row r="19" spans="1:23">
      <c r="A19" s="4" t="s">
        <v>810</v>
      </c>
      <c r="B19" s="255">
        <v>349</v>
      </c>
      <c r="C19" s="18" t="str" cm="1">
        <f t="array" ref="C19">IFERROR(IF(A19="","",IF(ISNUMBER(MATCH(TRUE,ISNUMBER(SEARCH($Q$2:$Q$51, $A19)),0))=TRUE,"United States of America",INDEX($S$2:$S$199,MATCH(TRUE,ISNUMBER(SEARCH($S$2:$S$199, $A19)),0)))),"United States of America")</f>
        <v>Taiwan</v>
      </c>
      <c r="D19" s="18" t="str" cm="1">
        <f t="array" ref="D19">IF(A19="","",IF(ISNUMBER(MATCH(TRUE,ISNUMBER(SEARCH($Q$2:$Q$51, $A19)),0))=TRUE,"",IF(ISNUMBER(MATCH(TRUE,ISNUMBER(SEARCH($S$2:$S$199, $A19)),0))=TRUE,"","미국 확인 필요")))</f>
        <v/>
      </c>
      <c r="F19" s="4" t="s">
        <v>830</v>
      </c>
      <c r="G19" s="255">
        <v>576</v>
      </c>
      <c r="H19" s="18" t="str" cm="1">
        <f t="array" ref="H19">IFERROR(IF(F19="","",IF(ISNUMBER(MATCH(TRUE,ISNUMBER(SEARCH($Q$2:$Q$51, $F19)),0))=TRUE,"United States of America",INDEX($S$2:$S$199,MATCH(TRUE,ISNUMBER(SEARCH($S$2:$S$199, $F19)),0)))),"United States of America")</f>
        <v>United States of America</v>
      </c>
      <c r="I19" s="18" t="str" cm="1">
        <f t="array" ref="I19">IF(F19="","",IF(ISNUMBER(MATCH(TRUE,ISNUMBER(SEARCH($Q$2:$Q$51, $F19)),0))=TRUE,"",IF(ISNUMBER(MATCH(TRUE,ISNUMBER(SEARCH($S$2:$S$199, $F19)),0))=TRUE,"","미국 확인 필요")))</f>
        <v/>
      </c>
      <c r="Q19" s="252" t="s">
        <v>364</v>
      </c>
      <c r="S19" s="86" t="s">
        <v>373</v>
      </c>
      <c r="T19" s="214">
        <f t="shared" si="0"/>
        <v>43</v>
      </c>
      <c r="U19" s="214">
        <f>IF(T19=0,"",RANK(T19,T:T,0)+COUNTIF(T$1:T18,T19))</f>
        <v>19</v>
      </c>
      <c r="V19" s="214">
        <f t="shared" si="1"/>
        <v>1887</v>
      </c>
      <c r="W19" s="214">
        <f>IF(V19=0,"",RANK(V19,V:V,0)+COUNTIF(V$1:V18,V19))</f>
        <v>5</v>
      </c>
    </row>
    <row r="20" spans="1:23" ht="17.25" thickBot="1">
      <c r="A20" s="4" t="s">
        <v>811</v>
      </c>
      <c r="B20" s="255">
        <v>17</v>
      </c>
      <c r="C20" s="18" t="str" cm="1">
        <f t="array" ref="C20">IFERROR(IF(A20="","",IF(ISNUMBER(MATCH(TRUE,ISNUMBER(SEARCH($Q$2:$Q$51, $A20)),0))=TRUE,"United States of America",INDEX($S$2:$S$199,MATCH(TRUE,ISNUMBER(SEARCH($S$2:$S$199, $A20)),0)))),"United States of America")</f>
        <v>Mexico</v>
      </c>
      <c r="D20" s="18" t="str" cm="1">
        <f t="array" ref="D20">IF(A20="","",IF(ISNUMBER(MATCH(TRUE,ISNUMBER(SEARCH($Q$2:$Q$51, $A20)),0))=TRUE,"",IF(ISNUMBER(MATCH(TRUE,ISNUMBER(SEARCH($S$2:$S$199, $A20)),0))=TRUE,"","미국 확인 필요")))</f>
        <v/>
      </c>
      <c r="F20" s="4" t="s">
        <v>862</v>
      </c>
      <c r="G20" s="255">
        <v>542</v>
      </c>
      <c r="H20" s="18" t="str" cm="1">
        <f t="array" ref="H20">IFERROR(IF(F20="","",IF(ISNUMBER(MATCH(TRUE,ISNUMBER(SEARCH($Q$2:$Q$51, $F20)),0))=TRUE,"United States of America",INDEX($S$2:$S$199,MATCH(TRUE,ISNUMBER(SEARCH($S$2:$S$199, $F20)),0)))),"United States of America")</f>
        <v>Korea</v>
      </c>
      <c r="I20" s="18" t="str" cm="1">
        <f t="array" ref="I20">IF(F20="","",IF(ISNUMBER(MATCH(TRUE,ISNUMBER(SEARCH($Q$2:$Q$51, $F20)),0))=TRUE,"",IF(ISNUMBER(MATCH(TRUE,ISNUMBER(SEARCH($S$2:$S$199, $F20)),0))=TRUE,"","미국 확인 필요")))</f>
        <v/>
      </c>
      <c r="L20" s="256"/>
      <c r="Q20" s="252" t="s">
        <v>410</v>
      </c>
      <c r="S20" s="86" t="s">
        <v>347</v>
      </c>
      <c r="T20" s="214">
        <f t="shared" si="0"/>
        <v>1401</v>
      </c>
      <c r="U20" s="214">
        <f>IF(T20=0,"",RANK(T20,T:T,0)+COUNTIF(T$1:T19,T20))</f>
        <v>3</v>
      </c>
      <c r="V20" s="214">
        <f t="shared" si="1"/>
        <v>12391</v>
      </c>
      <c r="W20" s="214">
        <f>IF(V20=0,"",RANK(V20,V:V,0)+COUNTIF(V$1:V19,V20))</f>
        <v>2</v>
      </c>
    </row>
    <row r="21" spans="1:23" ht="17.25" thickBot="1">
      <c r="A21" s="4" t="s">
        <v>812</v>
      </c>
      <c r="B21" s="255">
        <v>150</v>
      </c>
      <c r="C21" s="18" t="str" cm="1">
        <f t="array" ref="C21">IFERROR(IF(A21="","",IF(ISNUMBER(MATCH(TRUE,ISNUMBER(SEARCH($Q$2:$Q$51, $A21)),0))=TRUE,"United States of America",INDEX($S$2:$S$199,MATCH(TRUE,ISNUMBER(SEARCH($S$2:$S$199, $A21)),0)))),"United States of America")</f>
        <v>United States of America</v>
      </c>
      <c r="D21" s="18" t="str" cm="1">
        <f t="array" ref="D21">IF(A21="","",IF(ISNUMBER(MATCH(TRUE,ISNUMBER(SEARCH($Q$2:$Q$51, $A21)),0))=TRUE,"",IF(ISNUMBER(MATCH(TRUE,ISNUMBER(SEARCH($S$2:$S$199, $A21)),0))=TRUE,"","미국 확인 필요")))</f>
        <v>미국 확인 필요</v>
      </c>
      <c r="F21" s="4" t="s">
        <v>855</v>
      </c>
      <c r="G21" s="255">
        <v>541</v>
      </c>
      <c r="H21" s="18" t="str" cm="1">
        <f t="array" ref="H21">IFERROR(IF(F21="","",IF(ISNUMBER(MATCH(TRUE,ISNUMBER(SEARCH($Q$2:$Q$51, $F21)),0))=TRUE,"United States of America",INDEX($S$2:$S$199,MATCH(TRUE,ISNUMBER(SEARCH($S$2:$S$199, $F21)),0)))),"United States of America")</f>
        <v>Italy</v>
      </c>
      <c r="I21" s="18" t="str" cm="1">
        <f t="array" ref="I21">IF(F21="","",IF(ISNUMBER(MATCH(TRUE,ISNUMBER(SEARCH($Q$2:$Q$51, $F21)),0))=TRUE,"",IF(ISNUMBER(MATCH(TRUE,ISNUMBER(SEARCH($S$2:$S$199, $F21)),0))=TRUE,"","미국 확인 필요")))</f>
        <v/>
      </c>
      <c r="L21" s="362" t="s">
        <v>621</v>
      </c>
      <c r="M21" s="363"/>
      <c r="N21" s="364"/>
      <c r="Q21" s="252" t="s">
        <v>411</v>
      </c>
      <c r="S21" s="86" t="s">
        <v>374</v>
      </c>
      <c r="T21" s="214">
        <f t="shared" si="0"/>
        <v>0</v>
      </c>
      <c r="U21" s="214" t="str">
        <f>IF(T21=0,"",RANK(T21,T:T,0)+COUNTIF(T$1:T20,T21))</f>
        <v/>
      </c>
      <c r="V21" s="214">
        <f t="shared" si="1"/>
        <v>239</v>
      </c>
      <c r="W21" s="214">
        <f>IF(V21=0,"",RANK(V21,V:V,0)+COUNTIF(V$1:V20,V21))</f>
        <v>24</v>
      </c>
    </row>
    <row r="22" spans="1:23">
      <c r="A22" s="4" t="s">
        <v>813</v>
      </c>
      <c r="B22" s="255">
        <v>25</v>
      </c>
      <c r="C22" s="18" t="str" cm="1">
        <f t="array" ref="C22">IFERROR(IF(A22="","",IF(ISNUMBER(MATCH(TRUE,ISNUMBER(SEARCH($Q$2:$Q$51, $A22)),0))=TRUE,"United States of America",INDEX($S$2:$S$199,MATCH(TRUE,ISNUMBER(SEARCH($S$2:$S$199, $A22)),0)))),"United States of America")</f>
        <v>Philippines</v>
      </c>
      <c r="D22" s="18" t="str" cm="1">
        <f t="array" ref="D22">IF(A22="","",IF(ISNUMBER(MATCH(TRUE,ISNUMBER(SEARCH($Q$2:$Q$51, $A22)),0))=TRUE,"",IF(ISNUMBER(MATCH(TRUE,ISNUMBER(SEARCH($S$2:$S$199, $A22)),0))=TRUE,"","미국 확인 필요")))</f>
        <v/>
      </c>
      <c r="F22" s="4" t="s">
        <v>856</v>
      </c>
      <c r="G22" s="255">
        <v>504</v>
      </c>
      <c r="H22" s="18" t="str" cm="1">
        <f t="array" ref="H22">IFERROR(IF(F22="","",IF(ISNUMBER(MATCH(TRUE,ISNUMBER(SEARCH($Q$2:$Q$51, $F22)),0))=TRUE,"United States of America",INDEX($S$2:$S$199,MATCH(TRUE,ISNUMBER(SEARCH($S$2:$S$199, $F22)),0)))),"United States of America")</f>
        <v>India</v>
      </c>
      <c r="I22" s="18" t="str" cm="1">
        <f t="array" ref="I22">IF(F22="","",IF(ISNUMBER(MATCH(TRUE,ISNUMBER(SEARCH($Q$2:$Q$51, $F22)),0))=TRUE,"",IF(ISNUMBER(MATCH(TRUE,ISNUMBER(SEARCH($S$2:$S$199, $F22)),0))=TRUE,"","미국 확인 필요")))</f>
        <v/>
      </c>
      <c r="L22" s="244" t="s">
        <v>345</v>
      </c>
      <c r="M22" s="248" t="s">
        <v>353</v>
      </c>
      <c r="N22" s="287">
        <f>followers!H1</f>
        <v>45352</v>
      </c>
      <c r="Q22" s="252" t="s">
        <v>412</v>
      </c>
      <c r="S22" s="86" t="s">
        <v>375</v>
      </c>
      <c r="T22" s="214">
        <f t="shared" si="0"/>
        <v>38</v>
      </c>
      <c r="U22" s="214">
        <f>IF(T22=0,"",RANK(T22,T:T,0)+COUNTIF(T$1:T21,T22))</f>
        <v>21</v>
      </c>
      <c r="V22" s="214">
        <f t="shared" si="1"/>
        <v>174</v>
      </c>
      <c r="W22" s="214">
        <f>IF(V22=0,"",RANK(V22,V:V,0)+COUNTIF(V$1:V21,V22))</f>
        <v>29</v>
      </c>
    </row>
    <row r="23" spans="1:23">
      <c r="A23" s="4" t="s">
        <v>814</v>
      </c>
      <c r="B23" s="255">
        <v>16</v>
      </c>
      <c r="C23" s="18" t="str" cm="1">
        <f t="array" ref="C23">IFERROR(IF(A23="","",IF(ISNUMBER(MATCH(TRUE,ISNUMBER(SEARCH($Q$2:$Q$51, $A23)),0))=TRUE,"United States of America",INDEX($S$2:$S$199,MATCH(TRUE,ISNUMBER(SEARCH($S$2:$S$199, $A23)),0)))),"United States of America")</f>
        <v>Germany</v>
      </c>
      <c r="D23" s="18" t="str" cm="1">
        <f t="array" ref="D23">IF(A23="","",IF(ISNUMBER(MATCH(TRUE,ISNUMBER(SEARCH($Q$2:$Q$51, $A23)),0))=TRUE,"",IF(ISNUMBER(MATCH(TRUE,ISNUMBER(SEARCH($S$2:$S$199, $A23)),0))=TRUE,"","미국 확인 필요")))</f>
        <v/>
      </c>
      <c r="F23" s="4" t="s">
        <v>850</v>
      </c>
      <c r="G23" s="255">
        <v>497</v>
      </c>
      <c r="H23" s="18" t="str" cm="1">
        <f t="array" ref="H23">IFERROR(IF(F23="","",IF(ISNUMBER(MATCH(TRUE,ISNUMBER(SEARCH($Q$2:$Q$51, $F23)),0))=TRUE,"United States of America",INDEX($S$2:$S$199,MATCH(TRUE,ISNUMBER(SEARCH($S$2:$S$199, $F23)),0)))),"United States of America")</f>
        <v>India</v>
      </c>
      <c r="I23" s="18" t="str" cm="1">
        <f t="array" ref="I23">IF(F23="","",IF(ISNUMBER(MATCH(TRUE,ISNUMBER(SEARCH($Q$2:$Q$51, $F23)),0))=TRUE,"",IF(ISNUMBER(MATCH(TRUE,ISNUMBER(SEARCH($S$2:$S$199, $F23)),0))=TRUE,"","미국 확인 필요")))</f>
        <v/>
      </c>
      <c r="L23" s="258">
        <v>1</v>
      </c>
      <c r="M23" s="259" t="str">
        <f t="shared" ref="M23:M32" si="4">INDEX(S:S,MATCH(L5,W:W,0))</f>
        <v>Korea</v>
      </c>
      <c r="N23" s="274">
        <f t="shared" ref="N23:N32" si="5">INDEX(V:V,MATCH(L5,W:W,0))</f>
        <v>16836</v>
      </c>
      <c r="Q23" s="252" t="s">
        <v>413</v>
      </c>
      <c r="S23" s="86" t="s">
        <v>376</v>
      </c>
      <c r="T23" s="214">
        <f t="shared" si="0"/>
        <v>0</v>
      </c>
      <c r="U23" s="214" t="str">
        <f>IF(T23=0,"",RANK(T23,T:T,0)+COUNTIF(T$1:T22,T23))</f>
        <v/>
      </c>
      <c r="V23" s="214">
        <f t="shared" si="1"/>
        <v>0</v>
      </c>
      <c r="W23" s="214" t="str">
        <f>IF(V23=0,"",RANK(V23,V:V,0)+COUNTIF(V$1:V22,V23))</f>
        <v/>
      </c>
    </row>
    <row r="24" spans="1:23">
      <c r="A24" s="4" t="s">
        <v>815</v>
      </c>
      <c r="B24" s="255">
        <v>396</v>
      </c>
      <c r="C24" s="18" t="str" cm="1">
        <f t="array" ref="C24">IFERROR(IF(A24="","",IF(ISNUMBER(MATCH(TRUE,ISNUMBER(SEARCH($Q$2:$Q$51, $A24)),0))=TRUE,"United States of America",INDEX($S$2:$S$199,MATCH(TRUE,ISNUMBER(SEARCH($S$2:$S$199, $A24)),0)))),"United States of America")</f>
        <v>United States of America</v>
      </c>
      <c r="D24" s="18" t="str" cm="1">
        <f t="array" ref="D24">IF(A24="","",IF(ISNUMBER(MATCH(TRUE,ISNUMBER(SEARCH($Q$2:$Q$51, $A24)),0))=TRUE,"",IF(ISNUMBER(MATCH(TRUE,ISNUMBER(SEARCH($S$2:$S$199, $A24)),0))=TRUE,"","미국 확인 필요")))</f>
        <v/>
      </c>
      <c r="F24" s="4" t="s">
        <v>899</v>
      </c>
      <c r="G24" s="255">
        <v>491</v>
      </c>
      <c r="H24" s="18" t="str" cm="1">
        <f t="array" ref="H24">IFERROR(IF(F24="","",IF(ISNUMBER(MATCH(TRUE,ISNUMBER(SEARCH($Q$2:$Q$51, $F24)),0))=TRUE,"United States of America",INDEX($S$2:$S$199,MATCH(TRUE,ISNUMBER(SEARCH($S$2:$S$199, $F24)),0)))),"United States of America")</f>
        <v>Egypt</v>
      </c>
      <c r="I24" s="18" t="str" cm="1">
        <f t="array" ref="I24">IF(F24="","",IF(ISNUMBER(MATCH(TRUE,ISNUMBER(SEARCH($Q$2:$Q$51, $F24)),0))=TRUE,"",IF(ISNUMBER(MATCH(TRUE,ISNUMBER(SEARCH($S$2:$S$199, $F24)),0))=TRUE,"","미국 확인 필요")))</f>
        <v/>
      </c>
      <c r="L24" s="246">
        <v>2</v>
      </c>
      <c r="M24" s="259" t="str">
        <f t="shared" si="4"/>
        <v>India</v>
      </c>
      <c r="N24" s="274">
        <f t="shared" si="5"/>
        <v>12391</v>
      </c>
      <c r="Q24" s="252" t="s">
        <v>414</v>
      </c>
      <c r="S24" s="86" t="s">
        <v>377</v>
      </c>
      <c r="T24" s="214">
        <f t="shared" si="0"/>
        <v>106</v>
      </c>
      <c r="U24" s="214">
        <f>IF(T24=0,"",RANK(T24,T:T,0)+COUNTIF(T$1:T23,T24))</f>
        <v>11</v>
      </c>
      <c r="V24" s="214">
        <f t="shared" si="1"/>
        <v>334</v>
      </c>
      <c r="W24" s="214">
        <f>IF(V24=0,"",RANK(V24,V:V,0)+COUNTIF(V$1:V23,V24))</f>
        <v>19</v>
      </c>
    </row>
    <row r="25" spans="1:23" ht="25.5">
      <c r="A25" s="4" t="s">
        <v>816</v>
      </c>
      <c r="B25" s="255">
        <v>17</v>
      </c>
      <c r="C25" s="18" t="str" cm="1">
        <f t="array" ref="C25">IFERROR(IF(A25="","",IF(ISNUMBER(MATCH(TRUE,ISNUMBER(SEARCH($Q$2:$Q$51, $A25)),0))=TRUE,"United States of America",INDEX($S$2:$S$199,MATCH(TRUE,ISNUMBER(SEARCH($S$2:$S$199, $A25)),0)))),"United States of America")</f>
        <v>Germany</v>
      </c>
      <c r="D25" s="18" t="str" cm="1">
        <f t="array" ref="D25">IF(A25="","",IF(ISNUMBER(MATCH(TRUE,ISNUMBER(SEARCH($Q$2:$Q$51, $A25)),0))=TRUE,"",IF(ISNUMBER(MATCH(TRUE,ISNUMBER(SEARCH($S$2:$S$199, $A25)),0))=TRUE,"","미국 확인 필요")))</f>
        <v/>
      </c>
      <c r="F25" s="4" t="s">
        <v>852</v>
      </c>
      <c r="G25" s="255">
        <v>480</v>
      </c>
      <c r="H25" s="18" t="str" cm="1">
        <f t="array" ref="H25">IFERROR(IF(F25="","",IF(ISNUMBER(MATCH(TRUE,ISNUMBER(SEARCH($Q$2:$Q$51, $F25)),0))=TRUE,"United States of America",INDEX($S$2:$S$199,MATCH(TRUE,ISNUMBER(SEARCH($S$2:$S$199, $F25)),0)))),"United States of America")</f>
        <v>France</v>
      </c>
      <c r="I25" s="18" t="str" cm="1">
        <f t="array" ref="I25">IF(F25="","",IF(ISNUMBER(MATCH(TRUE,ISNUMBER(SEARCH($Q$2:$Q$51, $F25)),0))=TRUE,"",IF(ISNUMBER(MATCH(TRUE,ISNUMBER(SEARCH($S$2:$S$199, $F25)),0))=TRUE,"","미국 확인 필요")))</f>
        <v/>
      </c>
      <c r="L25" s="246">
        <v>3</v>
      </c>
      <c r="M25" s="259" t="str">
        <f t="shared" si="4"/>
        <v>United States of America</v>
      </c>
      <c r="N25" s="274">
        <f t="shared" si="5"/>
        <v>11565</v>
      </c>
      <c r="Q25" s="252" t="s">
        <v>415</v>
      </c>
      <c r="S25" s="86" t="s">
        <v>378</v>
      </c>
      <c r="T25" s="214">
        <f t="shared" si="0"/>
        <v>3312</v>
      </c>
      <c r="U25" s="214">
        <f>IF(T25=0,"",RANK(T25,T:T,0)+COUNTIF(T$1:T24,T25))</f>
        <v>2</v>
      </c>
      <c r="V25" s="214">
        <f t="shared" si="1"/>
        <v>16836</v>
      </c>
      <c r="W25" s="214">
        <f>IF(V25=0,"",RANK(V25,V:V,0)+COUNTIF(V$1:V24,V25))</f>
        <v>1</v>
      </c>
    </row>
    <row r="26" spans="1:23">
      <c r="A26" s="4" t="s">
        <v>817</v>
      </c>
      <c r="B26" s="255">
        <v>33</v>
      </c>
      <c r="C26" s="18" t="str" cm="1">
        <f t="array" ref="C26">IFERROR(IF(A26="","",IF(ISNUMBER(MATCH(TRUE,ISNUMBER(SEARCH($Q$2:$Q$51, $A26)),0))=TRUE,"United States of America",INDEX($S$2:$S$199,MATCH(TRUE,ISNUMBER(SEARCH($S$2:$S$199, $A26)),0)))),"United States of America")</f>
        <v>United States of America</v>
      </c>
      <c r="D26" s="18" t="str" cm="1">
        <f t="array" ref="D26">IF(A26="","",IF(ISNUMBER(MATCH(TRUE,ISNUMBER(SEARCH($Q$2:$Q$51, $A26)),0))=TRUE,"",IF(ISNUMBER(MATCH(TRUE,ISNUMBER(SEARCH($S$2:$S$199, $A26)),0))=TRUE,"","미국 확인 필요")))</f>
        <v>미국 확인 필요</v>
      </c>
      <c r="F26" s="4" t="s">
        <v>827</v>
      </c>
      <c r="G26" s="255">
        <v>455</v>
      </c>
      <c r="H26" s="18" t="str" cm="1">
        <f t="array" ref="H26">IFERROR(IF(F26="","",IF(ISNUMBER(MATCH(TRUE,ISNUMBER(SEARCH($Q$2:$Q$51, $F26)),0))=TRUE,"United States of America",INDEX($S$2:$S$199,MATCH(TRUE,ISNUMBER(SEARCH($S$2:$S$199, $F26)),0)))),"United States of America")</f>
        <v>China</v>
      </c>
      <c r="I26" s="18" t="str" cm="1">
        <f t="array" ref="I26">IF(F26="","",IF(ISNUMBER(MATCH(TRUE,ISNUMBER(SEARCH($Q$2:$Q$51, $F26)),0))=TRUE,"",IF(ISNUMBER(MATCH(TRUE,ISNUMBER(SEARCH($S$2:$S$199, $F26)),0))=TRUE,"","미국 확인 필요")))</f>
        <v/>
      </c>
      <c r="L26" s="246">
        <v>4</v>
      </c>
      <c r="M26" s="259" t="str">
        <f t="shared" si="4"/>
        <v>China</v>
      </c>
      <c r="N26" s="274">
        <f t="shared" si="5"/>
        <v>3657</v>
      </c>
      <c r="Q26" s="252" t="s">
        <v>416</v>
      </c>
      <c r="S26" s="86" t="s">
        <v>379</v>
      </c>
      <c r="T26" s="214">
        <f t="shared" si="0"/>
        <v>45</v>
      </c>
      <c r="U26" s="214">
        <f>IF(T26=0,"",RANK(T26,T:T,0)+COUNTIF(T$1:T25,T26))</f>
        <v>18</v>
      </c>
      <c r="V26" s="214">
        <f t="shared" si="1"/>
        <v>415</v>
      </c>
      <c r="W26" s="214">
        <f>IF(V26=0,"",RANK(V26,V:V,0)+COUNTIF(V$1:V25,V26))</f>
        <v>17</v>
      </c>
    </row>
    <row r="27" spans="1:23">
      <c r="A27" s="4" t="s">
        <v>818</v>
      </c>
      <c r="B27" s="255">
        <v>29</v>
      </c>
      <c r="C27" s="18" t="str" cm="1">
        <f t="array" ref="C27">IFERROR(IF(A27="","",IF(ISNUMBER(MATCH(TRUE,ISNUMBER(SEARCH($Q$2:$Q$51, $A27)),0))=TRUE,"United States of America",INDEX($S$2:$S$199,MATCH(TRUE,ISNUMBER(SEARCH($S$2:$S$199, $A27)),0)))),"United States of America")</f>
        <v>United States of America</v>
      </c>
      <c r="D27" s="18" t="str" cm="1">
        <f t="array" ref="D27">IF(A27="","",IF(ISNUMBER(MATCH(TRUE,ISNUMBER(SEARCH($Q$2:$Q$51, $A27)),0))=TRUE,"",IF(ISNUMBER(MATCH(TRUE,ISNUMBER(SEARCH($S$2:$S$199, $A27)),0))=TRUE,"","미국 확인 필요")))</f>
        <v>미국 확인 필요</v>
      </c>
      <c r="F27" s="4" t="s">
        <v>819</v>
      </c>
      <c r="G27" s="255">
        <v>451</v>
      </c>
      <c r="H27" s="18" t="str" cm="1">
        <f t="array" ref="H27">IFERROR(IF(F27="","",IF(ISNUMBER(MATCH(TRUE,ISNUMBER(SEARCH($Q$2:$Q$51, $F27)),0))=TRUE,"United States of America",INDEX($S$2:$S$199,MATCH(TRUE,ISNUMBER(SEARCH($S$2:$S$199, $F27)),0)))),"United States of America")</f>
        <v>United States of America</v>
      </c>
      <c r="I27" s="18" t="str" cm="1">
        <f t="array" ref="I27">IF(F27="","",IF(ISNUMBER(MATCH(TRUE,ISNUMBER(SEARCH($Q$2:$Q$51, $F27)),0))=TRUE,"",IF(ISNUMBER(MATCH(TRUE,ISNUMBER(SEARCH($S$2:$S$199, $F27)),0))=TRUE,"","미국 확인 필요")))</f>
        <v/>
      </c>
      <c r="L27" s="246">
        <v>5</v>
      </c>
      <c r="M27" s="259" t="str">
        <f t="shared" si="4"/>
        <v>Brazil</v>
      </c>
      <c r="N27" s="274">
        <f t="shared" si="5"/>
        <v>1887</v>
      </c>
      <c r="Q27" s="252" t="s">
        <v>417</v>
      </c>
      <c r="S27" s="86" t="s">
        <v>380</v>
      </c>
      <c r="T27" s="214">
        <f t="shared" si="0"/>
        <v>0</v>
      </c>
      <c r="U27" s="214" t="str">
        <f>IF(T27=0,"",RANK(T27,T:T,0)+COUNTIF(T$1:T26,T27))</f>
        <v/>
      </c>
      <c r="V27" s="214">
        <f t="shared" si="1"/>
        <v>0</v>
      </c>
      <c r="W27" s="214" t="str">
        <f>IF(V27=0,"",RANK(V27,V:V,0)+COUNTIF(V$1:V26,V27))</f>
        <v/>
      </c>
    </row>
    <row r="28" spans="1:23">
      <c r="A28" s="4" t="s">
        <v>819</v>
      </c>
      <c r="B28" s="255">
        <v>71</v>
      </c>
      <c r="C28" s="18" t="str" cm="1">
        <f t="array" ref="C28">IFERROR(IF(A28="","",IF(ISNUMBER(MATCH(TRUE,ISNUMBER(SEARCH($Q$2:$Q$51, $A28)),0))=TRUE,"United States of America",INDEX($S$2:$S$199,MATCH(TRUE,ISNUMBER(SEARCH($S$2:$S$199, $A28)),0)))),"United States of America")</f>
        <v>United States of America</v>
      </c>
      <c r="D28" s="18" t="str" cm="1">
        <f t="array" ref="D28">IF(A28="","",IF(ISNUMBER(MATCH(TRUE,ISNUMBER(SEARCH($Q$2:$Q$51, $A28)),0))=TRUE,"",IF(ISNUMBER(MATCH(TRUE,ISNUMBER(SEARCH($S$2:$S$199, $A28)),0))=TRUE,"","미국 확인 필요")))</f>
        <v/>
      </c>
      <c r="F28" s="4" t="s">
        <v>900</v>
      </c>
      <c r="G28" s="255">
        <v>423</v>
      </c>
      <c r="H28" s="18" t="str" cm="1">
        <f t="array" ref="H28">IFERROR(IF(F28="","",IF(ISNUMBER(MATCH(TRUE,ISNUMBER(SEARCH($Q$2:$Q$51, $F28)),0))=TRUE,"United States of America",INDEX($S$2:$S$199,MATCH(TRUE,ISNUMBER(SEARCH($S$2:$S$199, $F28)),0)))),"United States of America")</f>
        <v>China</v>
      </c>
      <c r="I28" s="18" t="str" cm="1">
        <f t="array" ref="I28">IF(F28="","",IF(ISNUMBER(MATCH(TRUE,ISNUMBER(SEARCH($Q$2:$Q$51, $F28)),0))=TRUE,"",IF(ISNUMBER(MATCH(TRUE,ISNUMBER(SEARCH($S$2:$S$199, $F28)),0))=TRUE,"","미국 확인 필요")))</f>
        <v/>
      </c>
      <c r="L28" s="246">
        <v>6</v>
      </c>
      <c r="M28" s="259" t="str">
        <f t="shared" si="4"/>
        <v>Taiwan</v>
      </c>
      <c r="N28" s="274">
        <f t="shared" si="5"/>
        <v>1613</v>
      </c>
      <c r="Q28" s="252" t="s">
        <v>418</v>
      </c>
      <c r="S28" s="86" t="s">
        <v>381</v>
      </c>
      <c r="T28" s="214">
        <f t="shared" si="0"/>
        <v>0</v>
      </c>
      <c r="U28" s="214" t="str">
        <f>IF(T28=0,"",RANK(T28,T:T,0)+COUNTIF(T$1:T27,T28))</f>
        <v/>
      </c>
      <c r="V28" s="214">
        <f t="shared" si="1"/>
        <v>0</v>
      </c>
      <c r="W28" s="214" t="str">
        <f>IF(V28=0,"",RANK(V28,V:V,0)+COUNTIF(V$1:V27,V28))</f>
        <v/>
      </c>
    </row>
    <row r="29" spans="1:23">
      <c r="A29" s="4" t="s">
        <v>820</v>
      </c>
      <c r="B29" s="255">
        <v>47</v>
      </c>
      <c r="C29" s="18" t="str" cm="1">
        <f t="array" ref="C29">IFERROR(IF(A29="","",IF(ISNUMBER(MATCH(TRUE,ISNUMBER(SEARCH($Q$2:$Q$51, $A29)),0))=TRUE,"United States of America",INDEX($S$2:$S$199,MATCH(TRUE,ISNUMBER(SEARCH($S$2:$S$199, $A29)),0)))),"United States of America")</f>
        <v>United States of America</v>
      </c>
      <c r="D29" s="18" t="str" cm="1">
        <f t="array" ref="D29">IF(A29="","",IF(ISNUMBER(MATCH(TRUE,ISNUMBER(SEARCH($Q$2:$Q$51, $A29)),0))=TRUE,"",IF(ISNUMBER(MATCH(TRUE,ISNUMBER(SEARCH($S$2:$S$199, $A29)),0))=TRUE,"","미국 확인 필요")))</f>
        <v>미국 확인 필요</v>
      </c>
      <c r="F29" s="4" t="s">
        <v>868</v>
      </c>
      <c r="G29" s="255">
        <v>405</v>
      </c>
      <c r="H29" s="18" t="str" cm="1">
        <f t="array" ref="H29">IFERROR(IF(F29="","",IF(ISNUMBER(MATCH(TRUE,ISNUMBER(SEARCH($Q$2:$Q$51, $F29)),0))=TRUE,"United States of America",INDEX($S$2:$S$199,MATCH(TRUE,ISNUMBER(SEARCH($S$2:$S$199, $F29)),0)))),"United States of America")</f>
        <v>United States of America</v>
      </c>
      <c r="I29" s="18" t="str" cm="1">
        <f t="array" ref="I29">IF(F29="","",IF(ISNUMBER(MATCH(TRUE,ISNUMBER(SEARCH($Q$2:$Q$51, $F29)),0))=TRUE,"",IF(ISNUMBER(MATCH(TRUE,ISNUMBER(SEARCH($S$2:$S$199, $F29)),0))=TRUE,"","미국 확인 필요")))</f>
        <v>미국 확인 필요</v>
      </c>
      <c r="L29" s="246">
        <v>7</v>
      </c>
      <c r="M29" s="259" t="str">
        <f t="shared" si="4"/>
        <v>Singapore</v>
      </c>
      <c r="N29" s="274">
        <f t="shared" si="5"/>
        <v>1097</v>
      </c>
      <c r="Q29" s="252" t="s">
        <v>419</v>
      </c>
      <c r="S29" s="86" t="s">
        <v>382</v>
      </c>
      <c r="T29" s="214">
        <f t="shared" si="0"/>
        <v>39</v>
      </c>
      <c r="U29" s="214">
        <f>IF(T29=0,"",RANK(T29,T:T,0)+COUNTIF(T$1:T28,T29))</f>
        <v>20</v>
      </c>
      <c r="V29" s="214">
        <f t="shared" si="1"/>
        <v>372</v>
      </c>
      <c r="W29" s="214">
        <f>IF(V29=0,"",RANK(V29,V:V,0)+COUNTIF(V$1:V28,V29))</f>
        <v>18</v>
      </c>
    </row>
    <row r="30" spans="1:23">
      <c r="A30" s="4" t="s">
        <v>821</v>
      </c>
      <c r="B30" s="255">
        <v>19</v>
      </c>
      <c r="C30" s="18" t="str" cm="1">
        <f t="array" ref="C30">IFERROR(IF(A30="","",IF(ISNUMBER(MATCH(TRUE,ISNUMBER(SEARCH($Q$2:$Q$51, $A30)),0))=TRUE,"United States of America",INDEX($S$2:$S$199,MATCH(TRUE,ISNUMBER(SEARCH($S$2:$S$199, $A30)),0)))),"United States of America")</f>
        <v>Italy</v>
      </c>
      <c r="D30" s="18" t="str" cm="1">
        <f t="array" ref="D30">IF(A30="","",IF(ISNUMBER(MATCH(TRUE,ISNUMBER(SEARCH($Q$2:$Q$51, $A30)),0))=TRUE,"",IF(ISNUMBER(MATCH(TRUE,ISNUMBER(SEARCH($S$2:$S$199, $A30)),0))=TRUE,"","미국 확인 필요")))</f>
        <v/>
      </c>
      <c r="F30" s="4" t="s">
        <v>812</v>
      </c>
      <c r="G30" s="255">
        <v>402</v>
      </c>
      <c r="H30" s="18" t="str" cm="1">
        <f t="array" ref="H30">IFERROR(IF(F30="","",IF(ISNUMBER(MATCH(TRUE,ISNUMBER(SEARCH($Q$2:$Q$51, $F30)),0))=TRUE,"United States of America",INDEX($S$2:$S$199,MATCH(TRUE,ISNUMBER(SEARCH($S$2:$S$199, $F30)),0)))),"United States of America")</f>
        <v>United States of America</v>
      </c>
      <c r="I30" s="18" t="str" cm="1">
        <f t="array" ref="I30">IF(F30="","",IF(ISNUMBER(MATCH(TRUE,ISNUMBER(SEARCH($Q$2:$Q$51, $F30)),0))=TRUE,"",IF(ISNUMBER(MATCH(TRUE,ISNUMBER(SEARCH($S$2:$S$199, $F30)),0))=TRUE,"","미국 확인 필요")))</f>
        <v>미국 확인 필요</v>
      </c>
      <c r="L30" s="246">
        <v>8</v>
      </c>
      <c r="M30" s="259" t="str">
        <f t="shared" si="4"/>
        <v>Italy</v>
      </c>
      <c r="N30" s="274">
        <f t="shared" si="5"/>
        <v>689</v>
      </c>
      <c r="Q30" s="252" t="s">
        <v>420</v>
      </c>
      <c r="S30" s="86" t="s">
        <v>383</v>
      </c>
      <c r="T30" s="214">
        <f t="shared" si="0"/>
        <v>0</v>
      </c>
      <c r="U30" s="214" t="str">
        <f>IF(T30=0,"",RANK(T30,T:T,0)+COUNTIF(T$1:T29,T30))</f>
        <v/>
      </c>
      <c r="V30" s="214">
        <f t="shared" si="1"/>
        <v>200</v>
      </c>
      <c r="W30" s="214">
        <f>IF(V30=0,"",RANK(V30,V:V,0)+COUNTIF(V$1:V29,V30))</f>
        <v>27</v>
      </c>
    </row>
    <row r="31" spans="1:23">
      <c r="A31" s="4" t="s">
        <v>822</v>
      </c>
      <c r="B31" s="255">
        <v>21</v>
      </c>
      <c r="C31" s="18" t="str" cm="1">
        <f t="array" ref="C31">IFERROR(IF(A31="","",IF(ISNUMBER(MATCH(TRUE,ISNUMBER(SEARCH($Q$2:$Q$51, $A31)),0))=TRUE,"United States of America",INDEX($S$2:$S$199,MATCH(TRUE,ISNUMBER(SEARCH($S$2:$S$199, $A31)),0)))),"United States of America")</f>
        <v>Germany</v>
      </c>
      <c r="D31" s="18" t="str" cm="1">
        <f t="array" ref="D31">IF(A31="","",IF(ISNUMBER(MATCH(TRUE,ISNUMBER(SEARCH($Q$2:$Q$51, $A31)),0))=TRUE,"",IF(ISNUMBER(MATCH(TRUE,ISNUMBER(SEARCH($S$2:$S$199, $A31)),0))=TRUE,"","미국 확인 필요")))</f>
        <v/>
      </c>
      <c r="F31" s="4" t="s">
        <v>901</v>
      </c>
      <c r="G31" s="255">
        <v>387</v>
      </c>
      <c r="H31" s="18" t="str" cm="1">
        <f t="array" ref="H31">IFERROR(IF(F31="","",IF(ISNUMBER(MATCH(TRUE,ISNUMBER(SEARCH($Q$2:$Q$51, $F31)),0))=TRUE,"United States of America",INDEX($S$2:$S$199,MATCH(TRUE,ISNUMBER(SEARCH($S$2:$S$199, $F31)),0)))),"United States of America")</f>
        <v>China</v>
      </c>
      <c r="I31" s="18" t="str" cm="1">
        <f t="array" ref="I31">IF(F31="","",IF(ISNUMBER(MATCH(TRUE,ISNUMBER(SEARCH($Q$2:$Q$51, $F31)),0))=TRUE,"",IF(ISNUMBER(MATCH(TRUE,ISNUMBER(SEARCH($S$2:$S$199, $F31)),0))=TRUE,"","미국 확인 필요")))</f>
        <v/>
      </c>
      <c r="L31" s="246">
        <v>9</v>
      </c>
      <c r="M31" s="259" t="str">
        <f t="shared" si="4"/>
        <v>United Kingdom</v>
      </c>
      <c r="N31" s="274">
        <f t="shared" si="5"/>
        <v>674</v>
      </c>
      <c r="Q31" s="252" t="s">
        <v>421</v>
      </c>
      <c r="S31" s="86" t="s">
        <v>384</v>
      </c>
      <c r="T31" s="214">
        <f t="shared" si="0"/>
        <v>0</v>
      </c>
      <c r="U31" s="214" t="str">
        <f>IF(T31=0,"",RANK(T31,T:T,0)+COUNTIF(T$1:T30,T31))</f>
        <v/>
      </c>
      <c r="V31" s="214">
        <f t="shared" si="1"/>
        <v>0</v>
      </c>
      <c r="W31" s="214" t="str">
        <f>IF(V31=0,"",RANK(V31,V:V,0)+COUNTIF(V$1:V30,V31))</f>
        <v/>
      </c>
    </row>
    <row r="32" spans="1:23">
      <c r="A32" s="4" t="s">
        <v>823</v>
      </c>
      <c r="B32" s="255">
        <v>19</v>
      </c>
      <c r="C32" s="18" t="str" cm="1">
        <f t="array" ref="C32">IFERROR(IF(A32="","",IF(ISNUMBER(MATCH(TRUE,ISNUMBER(SEARCH($Q$2:$Q$51, $A32)),0))=TRUE,"United States of America",INDEX($S$2:$S$199,MATCH(TRUE,ISNUMBER(SEARCH($S$2:$S$199, $A32)),0)))),"United States of America")</f>
        <v>China</v>
      </c>
      <c r="D32" s="18" t="str" cm="1">
        <f t="array" ref="D32">IF(A32="","",IF(ISNUMBER(MATCH(TRUE,ISNUMBER(SEARCH($Q$2:$Q$51, $A32)),0))=TRUE,"",IF(ISNUMBER(MATCH(TRUE,ISNUMBER(SEARCH($S$2:$S$199, $A32)),0))=TRUE,"","미국 확인 필요")))</f>
        <v/>
      </c>
      <c r="F32" s="4" t="s">
        <v>798</v>
      </c>
      <c r="G32" s="255">
        <v>382</v>
      </c>
      <c r="H32" s="18" t="str" cm="1">
        <f t="array" ref="H32">IFERROR(IF(F32="","",IF(ISNUMBER(MATCH(TRUE,ISNUMBER(SEARCH($Q$2:$Q$51, $F32)),0))=TRUE,"United States of America",INDEX($S$2:$S$199,MATCH(TRUE,ISNUMBER(SEARCH($S$2:$S$199, $F32)),0)))),"United States of America")</f>
        <v>India</v>
      </c>
      <c r="I32" s="18" t="str" cm="1">
        <f t="array" ref="I32">IF(F32="","",IF(ISNUMBER(MATCH(TRUE,ISNUMBER(SEARCH($Q$2:$Q$51, $F32)),0))=TRUE,"",IF(ISNUMBER(MATCH(TRUE,ISNUMBER(SEARCH($S$2:$S$199, $F32)),0))=TRUE,"","미국 확인 필요")))</f>
        <v/>
      </c>
      <c r="L32" s="247">
        <v>10</v>
      </c>
      <c r="M32" s="259" t="str">
        <f t="shared" si="4"/>
        <v>Netherlands</v>
      </c>
      <c r="N32" s="274">
        <f t="shared" si="5"/>
        <v>637</v>
      </c>
      <c r="Q32" s="252" t="s">
        <v>422</v>
      </c>
      <c r="S32" s="86" t="s">
        <v>348</v>
      </c>
      <c r="T32" s="214">
        <f t="shared" si="0"/>
        <v>77</v>
      </c>
      <c r="U32" s="214">
        <f>IF(T32=0,"",RANK(T32,T:T,0)+COUNTIF(T$1:T31,T32))</f>
        <v>15</v>
      </c>
      <c r="V32" s="214">
        <f t="shared" si="1"/>
        <v>3657</v>
      </c>
      <c r="W32" s="214">
        <f>IF(V32=0,"",RANK(V32,V:V,0)+COUNTIF(V$1:V31,V32))</f>
        <v>4</v>
      </c>
    </row>
    <row r="33" spans="1:23" ht="17.25" thickBot="1">
      <c r="A33" s="4" t="s">
        <v>824</v>
      </c>
      <c r="B33" s="255">
        <v>37</v>
      </c>
      <c r="C33" s="18" t="str" cm="1">
        <f t="array" ref="C33">IFERROR(IF(A33="","",IF(ISNUMBER(MATCH(TRUE,ISNUMBER(SEARCH($Q$2:$Q$51, $A33)),0))=TRUE,"United States of America",INDEX($S$2:$S$199,MATCH(TRUE,ISNUMBER(SEARCH($S$2:$S$199, $A33)),0)))),"United States of America")</f>
        <v>United States of America</v>
      </c>
      <c r="D33" s="18" t="str" cm="1">
        <f t="array" ref="D33">IF(A33="","",IF(ISNUMBER(MATCH(TRUE,ISNUMBER(SEARCH($Q$2:$Q$51, $A33)),0))=TRUE,"",IF(ISNUMBER(MATCH(TRUE,ISNUMBER(SEARCH($S$2:$S$199, $A33)),0))=TRUE,"","미국 확인 필요")))</f>
        <v>미국 확인 필요</v>
      </c>
      <c r="F33" s="4" t="s">
        <v>861</v>
      </c>
      <c r="G33" s="255">
        <v>379</v>
      </c>
      <c r="H33" s="18" t="str" cm="1">
        <f t="array" ref="H33">IFERROR(IF(F33="","",IF(ISNUMBER(MATCH(TRUE,ISNUMBER(SEARCH($Q$2:$Q$51, $F33)),0))=TRUE,"United States of America",INDEX($S$2:$S$199,MATCH(TRUE,ISNUMBER(SEARCH($S$2:$S$199, $F33)),0)))),"United States of America")</f>
        <v>Korea</v>
      </c>
      <c r="I33" s="18" t="str" cm="1">
        <f t="array" ref="I33">IF(F33="","",IF(ISNUMBER(MATCH(TRUE,ISNUMBER(SEARCH($Q$2:$Q$51, $F33)),0))=TRUE,"",IF(ISNUMBER(MATCH(TRUE,ISNUMBER(SEARCH($S$2:$S$199, $F33)),0))=TRUE,"","미국 확인 필요")))</f>
        <v/>
      </c>
      <c r="L33" s="360" t="s">
        <v>153</v>
      </c>
      <c r="M33" s="361"/>
      <c r="N33" s="251" t="str">
        <f>TEXT(SUM(V:V),"#,###")&amp;" (전체 "&amp;TEXT(SUM(V:V)/'3p'!H49,"#.#%")&amp;")"</f>
        <v>57,918 (전체 58.9%)</v>
      </c>
      <c r="Q33" s="252" t="s">
        <v>423</v>
      </c>
      <c r="S33" s="86" t="s">
        <v>349</v>
      </c>
      <c r="T33" s="214">
        <f t="shared" si="0"/>
        <v>595</v>
      </c>
      <c r="U33" s="214">
        <f>IF(T33=0,"",RANK(T33,T:T,0)+COUNTIF(T$1:T32,T33))</f>
        <v>4</v>
      </c>
      <c r="V33" s="214">
        <f t="shared" si="1"/>
        <v>1613</v>
      </c>
      <c r="W33" s="214">
        <f>IF(V33=0,"",RANK(V33,V:V,0)+COUNTIF(V$1:V32,V33))</f>
        <v>6</v>
      </c>
    </row>
    <row r="34" spans="1:23">
      <c r="A34" s="4" t="s">
        <v>825</v>
      </c>
      <c r="B34" s="255">
        <v>19</v>
      </c>
      <c r="C34" s="18" t="str" cm="1">
        <f t="array" ref="C34">IFERROR(IF(A34="","",IF(ISNUMBER(MATCH(TRUE,ISNUMBER(SEARCH($Q$2:$Q$51, $A34)),0))=TRUE,"United States of America",INDEX($S$2:$S$199,MATCH(TRUE,ISNUMBER(SEARCH($S$2:$S$199, $A34)),0)))),"United States of America")</f>
        <v>United States of America</v>
      </c>
      <c r="D34" s="18" t="str" cm="1">
        <f t="array" ref="D34">IF(A34="","",IF(ISNUMBER(MATCH(TRUE,ISNUMBER(SEARCH($Q$2:$Q$51, $A34)),0))=TRUE,"",IF(ISNUMBER(MATCH(TRUE,ISNUMBER(SEARCH($S$2:$S$199, $A34)),0))=TRUE,"","미국 확인 필요")))</f>
        <v>미국 확인 필요</v>
      </c>
      <c r="F34" s="4" t="s">
        <v>832</v>
      </c>
      <c r="G34" s="255">
        <v>374</v>
      </c>
      <c r="H34" s="18" t="str" cm="1">
        <f t="array" ref="H34">IFERROR(IF(F34="","",IF(ISNUMBER(MATCH(TRUE,ISNUMBER(SEARCH($Q$2:$Q$51, $F34)),0))=TRUE,"United States of America",INDEX($S$2:$S$199,MATCH(TRUE,ISNUMBER(SEARCH($S$2:$S$199, $F34)),0)))),"United States of America")</f>
        <v>United States of America</v>
      </c>
      <c r="I34" s="18" t="str" cm="1">
        <f t="array" ref="I34">IF(F34="","",IF(ISNUMBER(MATCH(TRUE,ISNUMBER(SEARCH($Q$2:$Q$51, $F34)),0))=TRUE,"",IF(ISNUMBER(MATCH(TRUE,ISNUMBER(SEARCH($S$2:$S$199, $F34)),0))=TRUE,"","미국 확인 필요")))</f>
        <v>미국 확인 필요</v>
      </c>
      <c r="Q34" s="252" t="s">
        <v>424</v>
      </c>
      <c r="S34" s="86" t="s">
        <v>385</v>
      </c>
      <c r="T34" s="214">
        <f t="shared" si="0"/>
        <v>54</v>
      </c>
      <c r="U34" s="214">
        <f>IF(T34=0,"",RANK(T34,T:T,0)+COUNTIF(T$1:T33,T34))</f>
        <v>16</v>
      </c>
      <c r="V34" s="214">
        <f t="shared" si="1"/>
        <v>0</v>
      </c>
      <c r="W34" s="214" t="str">
        <f>IF(V34=0,"",RANK(V34,V:V,0)+COUNTIF(V$1:V33,V34))</f>
        <v/>
      </c>
    </row>
    <row r="35" spans="1:23">
      <c r="A35" s="4" t="s">
        <v>826</v>
      </c>
      <c r="B35" s="255">
        <v>42</v>
      </c>
      <c r="C35" s="18" t="str" cm="1">
        <f t="array" ref="C35">IFERROR(IF(A35="","",IF(ISNUMBER(MATCH(TRUE,ISNUMBER(SEARCH($Q$2:$Q$51, $A35)),0))=TRUE,"United States of America",INDEX($S$2:$S$199,MATCH(TRUE,ISNUMBER(SEARCH($S$2:$S$199, $A35)),0)))),"United States of America")</f>
        <v>Netherlands</v>
      </c>
      <c r="D35" s="18" t="str" cm="1">
        <f t="array" ref="D35">IF(A35="","",IF(ISNUMBER(MATCH(TRUE,ISNUMBER(SEARCH($Q$2:$Q$51, $A35)),0))=TRUE,"",IF(ISNUMBER(MATCH(TRUE,ISNUMBER(SEARCH($S$2:$S$199, $A35)),0))=TRUE,"","미국 확인 필요")))</f>
        <v/>
      </c>
      <c r="F35" s="4" t="s">
        <v>795</v>
      </c>
      <c r="G35" s="255">
        <v>362</v>
      </c>
      <c r="H35" s="18" t="str" cm="1">
        <f t="array" ref="H35">IFERROR(IF(F35="","",IF(ISNUMBER(MATCH(TRUE,ISNUMBER(SEARCH($Q$2:$Q$51, $F35)),0))=TRUE,"United States of America",INDEX($S$2:$S$199,MATCH(TRUE,ISNUMBER(SEARCH($S$2:$S$199, $F35)),0)))),"United States of America")</f>
        <v>United States of America</v>
      </c>
      <c r="I35" s="18" t="str" cm="1">
        <f t="array" ref="I35">IF(F35="","",IF(ISNUMBER(MATCH(TRUE,ISNUMBER(SEARCH($Q$2:$Q$51, $F35)),0))=TRUE,"",IF(ISNUMBER(MATCH(TRUE,ISNUMBER(SEARCH($S$2:$S$199, $F35)),0))=TRUE,"","미국 확인 필요")))</f>
        <v/>
      </c>
      <c r="Q35" s="252" t="s">
        <v>425</v>
      </c>
      <c r="S35" s="86" t="s">
        <v>386</v>
      </c>
      <c r="T35" s="214">
        <f t="shared" si="0"/>
        <v>0</v>
      </c>
      <c r="U35" s="214" t="str">
        <f>IF(T35=0,"",RANK(T35,T:T,0)+COUNTIF(T$1:T34,T35))</f>
        <v/>
      </c>
      <c r="V35" s="214">
        <f t="shared" si="1"/>
        <v>0</v>
      </c>
      <c r="W35" s="214" t="str">
        <f>IF(V35=0,"",RANK(V35,V:V,0)+COUNTIF(V$1:V34,V35))</f>
        <v/>
      </c>
    </row>
    <row r="36" spans="1:23">
      <c r="A36" s="4" t="s">
        <v>827</v>
      </c>
      <c r="B36" s="255">
        <v>17</v>
      </c>
      <c r="C36" s="18" t="str" cm="1">
        <f t="array" ref="C36">IFERROR(IF(A36="","",IF(ISNUMBER(MATCH(TRUE,ISNUMBER(SEARCH($Q$2:$Q$51, $A36)),0))=TRUE,"United States of America",INDEX($S$2:$S$199,MATCH(TRUE,ISNUMBER(SEARCH($S$2:$S$199, $A36)),0)))),"United States of America")</f>
        <v>China</v>
      </c>
      <c r="D36" s="18" t="str" cm="1">
        <f t="array" ref="D36">IF(A36="","",IF(ISNUMBER(MATCH(TRUE,ISNUMBER(SEARCH($Q$2:$Q$51, $A36)),0))=TRUE,"",IF(ISNUMBER(MATCH(TRUE,ISNUMBER(SEARCH($S$2:$S$199, $A36)),0))=TRUE,"","미국 확인 필요")))</f>
        <v/>
      </c>
      <c r="F36" s="4" t="s">
        <v>794</v>
      </c>
      <c r="G36" s="255">
        <v>334</v>
      </c>
      <c r="H36" s="18" t="str" cm="1">
        <f t="array" ref="H36">IFERROR(IF(F36="","",IF(ISNUMBER(MATCH(TRUE,ISNUMBER(SEARCH($Q$2:$Q$51, $F36)),0))=TRUE,"United States of America",INDEX($S$2:$S$199,MATCH(TRUE,ISNUMBER(SEARCH($S$2:$S$199, $F36)),0)))),"United States of America")</f>
        <v>Japan</v>
      </c>
      <c r="I36" s="18" t="str" cm="1">
        <f t="array" ref="I36">IF(F36="","",IF(ISNUMBER(MATCH(TRUE,ISNUMBER(SEARCH($Q$2:$Q$51, $F36)),0))=TRUE,"",IF(ISNUMBER(MATCH(TRUE,ISNUMBER(SEARCH($S$2:$S$199, $F36)),0))=TRUE,"","미국 확인 필요")))</f>
        <v/>
      </c>
      <c r="Q36" s="252" t="s">
        <v>426</v>
      </c>
      <c r="S36" s="86" t="s">
        <v>387</v>
      </c>
      <c r="T36" s="214">
        <f t="shared" si="0"/>
        <v>0</v>
      </c>
      <c r="U36" s="214" t="str">
        <f>IF(T36=0,"",RANK(T36,T:T,0)+COUNTIF(T$1:T35,T36))</f>
        <v/>
      </c>
      <c r="V36" s="214">
        <f t="shared" si="1"/>
        <v>0</v>
      </c>
      <c r="W36" s="214" t="str">
        <f>IF(V36=0,"",RANK(V36,V:V,0)+COUNTIF(V$1:V35,V36))</f>
        <v/>
      </c>
    </row>
    <row r="37" spans="1:23">
      <c r="A37" s="4" t="s">
        <v>828</v>
      </c>
      <c r="B37" s="255">
        <v>17</v>
      </c>
      <c r="C37" s="18" t="str" cm="1">
        <f t="array" ref="C37">IFERROR(IF(A37="","",IF(ISNUMBER(MATCH(TRUE,ISNUMBER(SEARCH($Q$2:$Q$51, $A37)),0))=TRUE,"United States of America",INDEX($S$2:$S$199,MATCH(TRUE,ISNUMBER(SEARCH($S$2:$S$199, $A37)),0)))),"United States of America")</f>
        <v>Pakistan</v>
      </c>
      <c r="D37" s="18" t="str" cm="1">
        <f t="array" ref="D37">IF(A37="","",IF(ISNUMBER(MATCH(TRUE,ISNUMBER(SEARCH($Q$2:$Q$51, $A37)),0))=TRUE,"",IF(ISNUMBER(MATCH(TRUE,ISNUMBER(SEARCH($S$2:$S$199, $A37)),0))=TRUE,"","미국 확인 필요")))</f>
        <v/>
      </c>
      <c r="F37" s="4" t="s">
        <v>837</v>
      </c>
      <c r="G37" s="255">
        <v>328</v>
      </c>
      <c r="H37" s="18" t="str" cm="1">
        <f t="array" ref="H37">IFERROR(IF(F37="","",IF(ISNUMBER(MATCH(TRUE,ISNUMBER(SEARCH($Q$2:$Q$51, $F37)),0))=TRUE,"United States of America",INDEX($S$2:$S$199,MATCH(TRUE,ISNUMBER(SEARCH($S$2:$S$199, $F37)),0)))),"United States of America")</f>
        <v>Canada</v>
      </c>
      <c r="I37" s="18" t="str" cm="1">
        <f t="array" ref="I37">IF(F37="","",IF(ISNUMBER(MATCH(TRUE,ISNUMBER(SEARCH($Q$2:$Q$51, $F37)),0))=TRUE,"",IF(ISNUMBER(MATCH(TRUE,ISNUMBER(SEARCH($S$2:$S$199, $F37)),0))=TRUE,"","미국 확인 필요")))</f>
        <v/>
      </c>
      <c r="Q37" s="252" t="s">
        <v>427</v>
      </c>
      <c r="S37" s="86" t="s">
        <v>388</v>
      </c>
      <c r="T37" s="214">
        <f t="shared" si="0"/>
        <v>19</v>
      </c>
      <c r="U37" s="214">
        <f>IF(T37=0,"",RANK(T37,T:T,0)+COUNTIF(T$1:T36,T37))</f>
        <v>24</v>
      </c>
      <c r="V37" s="214">
        <f t="shared" si="1"/>
        <v>0</v>
      </c>
      <c r="W37" s="214" t="str">
        <f>IF(V37=0,"",RANK(V37,V:V,0)+COUNTIF(V$1:V36,V37))</f>
        <v/>
      </c>
    </row>
    <row r="38" spans="1:23">
      <c r="A38" s="4" t="s">
        <v>829</v>
      </c>
      <c r="B38" s="255">
        <v>42</v>
      </c>
      <c r="C38" s="18" t="str" cm="1">
        <f t="array" ref="C38">IFERROR(IF(A38="","",IF(ISNUMBER(MATCH(TRUE,ISNUMBER(SEARCH($Q$2:$Q$51, $A38)),0))=TRUE,"United States of America",INDEX($S$2:$S$199,MATCH(TRUE,ISNUMBER(SEARCH($S$2:$S$199, $A38)),0)))),"United States of America")</f>
        <v>Canada</v>
      </c>
      <c r="D38" s="18" t="str" cm="1">
        <f t="array" ref="D38">IF(A38="","",IF(ISNUMBER(MATCH(TRUE,ISNUMBER(SEARCH($Q$2:$Q$51, $A38)),0))=TRUE,"",IF(ISNUMBER(MATCH(TRUE,ISNUMBER(SEARCH($S$2:$S$199, $A38)),0))=TRUE,"","미국 확인 필요")))</f>
        <v/>
      </c>
      <c r="F38" s="4" t="s">
        <v>801</v>
      </c>
      <c r="G38" s="255">
        <v>326</v>
      </c>
      <c r="H38" s="18" t="str" cm="1">
        <f t="array" ref="H38">IFERROR(IF(F38="","",IF(ISNUMBER(MATCH(TRUE,ISNUMBER(SEARCH($Q$2:$Q$51, $F38)),0))=TRUE,"United States of America",INDEX($S$2:$S$199,MATCH(TRUE,ISNUMBER(SEARCH($S$2:$S$199, $F38)),0)))),"United States of America")</f>
        <v>Taiwan</v>
      </c>
      <c r="I38" s="18" t="str" cm="1">
        <f t="array" ref="I38">IF(F38="","",IF(ISNUMBER(MATCH(TRUE,ISNUMBER(SEARCH($Q$2:$Q$51, $F38)),0))=TRUE,"",IF(ISNUMBER(MATCH(TRUE,ISNUMBER(SEARCH($S$2:$S$199, $F38)),0))=TRUE,"","미국 확인 필요")))</f>
        <v/>
      </c>
      <c r="Q38" s="252" t="s">
        <v>428</v>
      </c>
      <c r="S38" s="86" t="s">
        <v>389</v>
      </c>
      <c r="T38" s="214">
        <f t="shared" si="0"/>
        <v>0</v>
      </c>
      <c r="U38" s="214" t="str">
        <f>IF(T38=0,"",RANK(T38,T:T,0)+COUNTIF(T$1:T37,T38))</f>
        <v/>
      </c>
      <c r="V38" s="214">
        <f t="shared" si="1"/>
        <v>311</v>
      </c>
      <c r="W38" s="214">
        <f>IF(V38=0,"",RANK(V38,V:V,0)+COUNTIF(V$1:V37,V38))</f>
        <v>20</v>
      </c>
    </row>
    <row r="39" spans="1:23">
      <c r="A39" s="4" t="s">
        <v>830</v>
      </c>
      <c r="B39" s="255">
        <v>98</v>
      </c>
      <c r="C39" s="18" t="str" cm="1">
        <f t="array" ref="C39">IFERROR(IF(A39="","",IF(ISNUMBER(MATCH(TRUE,ISNUMBER(SEARCH($Q$2:$Q$51, $A39)),0))=TRUE,"United States of America",INDEX($S$2:$S$199,MATCH(TRUE,ISNUMBER(SEARCH($S$2:$S$199, $A39)),0)))),"United States of America")</f>
        <v>United States of America</v>
      </c>
      <c r="D39" s="18" t="str" cm="1">
        <f t="array" ref="D39">IF(A39="","",IF(ISNUMBER(MATCH(TRUE,ISNUMBER(SEARCH($Q$2:$Q$51, $A39)),0))=TRUE,"",IF(ISNUMBER(MATCH(TRUE,ISNUMBER(SEARCH($S$2:$S$199, $A39)),0))=TRUE,"","미국 확인 필요")))</f>
        <v/>
      </c>
      <c r="F39" s="4" t="s">
        <v>846</v>
      </c>
      <c r="G39" s="255">
        <v>321</v>
      </c>
      <c r="H39" s="18" t="str" cm="1">
        <f t="array" ref="H39">IFERROR(IF(F39="","",IF(ISNUMBER(MATCH(TRUE,ISNUMBER(SEARCH($Q$2:$Q$51, $F39)),0))=TRUE,"United States of America",INDEX($S$2:$S$199,MATCH(TRUE,ISNUMBER(SEARCH($S$2:$S$199, $F39)),0)))),"United States of America")</f>
        <v>Netherlands</v>
      </c>
      <c r="I39" s="18" t="str" cm="1">
        <f t="array" ref="I39">IF(F39="","",IF(ISNUMBER(MATCH(TRUE,ISNUMBER(SEARCH($Q$2:$Q$51, $F39)),0))=TRUE,"",IF(ISNUMBER(MATCH(TRUE,ISNUMBER(SEARCH($S$2:$S$199, $F39)),0))=TRUE,"","미국 확인 필요")))</f>
        <v/>
      </c>
      <c r="Q39" s="252" t="s">
        <v>429</v>
      </c>
      <c r="S39" s="86" t="s">
        <v>390</v>
      </c>
      <c r="T39" s="214">
        <f t="shared" si="0"/>
        <v>0</v>
      </c>
      <c r="U39" s="214" t="str">
        <f>IF(T39=0,"",RANK(T39,T:T,0)+COUNTIF(T$1:T38,T39))</f>
        <v/>
      </c>
      <c r="V39" s="214">
        <f t="shared" si="1"/>
        <v>0</v>
      </c>
      <c r="W39" s="214" t="str">
        <f>IF(V39=0,"",RANK(V39,V:V,0)+COUNTIF(V$1:V38,V39))</f>
        <v/>
      </c>
    </row>
    <row r="40" spans="1:23">
      <c r="A40" s="4" t="s">
        <v>831</v>
      </c>
      <c r="B40" s="255">
        <v>33</v>
      </c>
      <c r="C40" s="18" t="str" cm="1">
        <f t="array" ref="C40">IFERROR(IF(A40="","",IF(ISNUMBER(MATCH(TRUE,ISNUMBER(SEARCH($Q$2:$Q$51, $A40)),0))=TRUE,"United States of America",INDEX($S$2:$S$199,MATCH(TRUE,ISNUMBER(SEARCH($S$2:$S$199, $A40)),0)))),"United States of America")</f>
        <v>France</v>
      </c>
      <c r="D40" s="18" t="str" cm="1">
        <f t="array" ref="D40">IF(A40="","",IF(ISNUMBER(MATCH(TRUE,ISNUMBER(SEARCH($Q$2:$Q$51, $A40)),0))=TRUE,"",IF(ISNUMBER(MATCH(TRUE,ISNUMBER(SEARCH($S$2:$S$199, $A40)),0))=TRUE,"","미국 확인 필요")))</f>
        <v/>
      </c>
      <c r="F40" s="4" t="s">
        <v>803</v>
      </c>
      <c r="G40" s="255">
        <v>319</v>
      </c>
      <c r="H40" s="18" t="str" cm="1">
        <f t="array" ref="H40">IFERROR(IF(F40="","",IF(ISNUMBER(MATCH(TRUE,ISNUMBER(SEARCH($Q$2:$Q$51, $F40)),0))=TRUE,"United States of America",INDEX($S$2:$S$199,MATCH(TRUE,ISNUMBER(SEARCH($S$2:$S$199, $F40)),0)))),"United States of America")</f>
        <v>United States of America</v>
      </c>
      <c r="I40" s="18" t="str" cm="1">
        <f t="array" ref="I40">IF(F40="","",IF(ISNUMBER(MATCH(TRUE,ISNUMBER(SEARCH($Q$2:$Q$51, $F40)),0))=TRUE,"",IF(ISNUMBER(MATCH(TRUE,ISNUMBER(SEARCH($S$2:$S$199, $F40)),0))=TRUE,"","미국 확인 필요")))</f>
        <v>미국 확인 필요</v>
      </c>
      <c r="Q40" s="252" t="s">
        <v>430</v>
      </c>
      <c r="S40" s="86" t="s">
        <v>391</v>
      </c>
      <c r="T40" s="214">
        <f t="shared" si="0"/>
        <v>104</v>
      </c>
      <c r="U40" s="214">
        <f>IF(T40=0,"",RANK(T40,T:T,0)+COUNTIF(T$1:T39,T40))</f>
        <v>12</v>
      </c>
      <c r="V40" s="214">
        <f t="shared" si="1"/>
        <v>291</v>
      </c>
      <c r="W40" s="214">
        <f>IF(V40=0,"",RANK(V40,V:V,0)+COUNTIF(V$1:V39,V40))</f>
        <v>22</v>
      </c>
    </row>
    <row r="41" spans="1:23">
      <c r="A41" s="4" t="s">
        <v>832</v>
      </c>
      <c r="B41" s="255">
        <v>77</v>
      </c>
      <c r="C41" s="18" t="str" cm="1">
        <f t="array" ref="C41">IFERROR(IF(A41="","",IF(ISNUMBER(MATCH(TRUE,ISNUMBER(SEARCH($Q$2:$Q$51, $A41)),0))=TRUE,"United States of America",INDEX($S$2:$S$199,MATCH(TRUE,ISNUMBER(SEARCH($S$2:$S$199, $A41)),0)))),"United States of America")</f>
        <v>United States of America</v>
      </c>
      <c r="D41" s="18" t="str" cm="1">
        <f t="array" ref="D41">IF(A41="","",IF(ISNUMBER(MATCH(TRUE,ISNUMBER(SEARCH($Q$2:$Q$51, $A41)),0))=TRUE,"",IF(ISNUMBER(MATCH(TRUE,ISNUMBER(SEARCH($S$2:$S$199, $A41)),0))=TRUE,"","미국 확인 필요")))</f>
        <v>미국 확인 필요</v>
      </c>
      <c r="F41" s="4" t="s">
        <v>826</v>
      </c>
      <c r="G41" s="255">
        <v>316</v>
      </c>
      <c r="H41" s="18" t="str" cm="1">
        <f t="array" ref="H41">IFERROR(IF(F41="","",IF(ISNUMBER(MATCH(TRUE,ISNUMBER(SEARCH($Q$2:$Q$51, $F41)),0))=TRUE,"United States of America",INDEX($S$2:$S$199,MATCH(TRUE,ISNUMBER(SEARCH($S$2:$S$199, $F41)),0)))),"United States of America")</f>
        <v>Netherlands</v>
      </c>
      <c r="I41" s="18" t="str" cm="1">
        <f t="array" ref="I41">IF(F41="","",IF(ISNUMBER(MATCH(TRUE,ISNUMBER(SEARCH($Q$2:$Q$51, $F41)),0))=TRUE,"",IF(ISNUMBER(MATCH(TRUE,ISNUMBER(SEARCH($S$2:$S$199, $F41)),0))=TRUE,"","미국 확인 필요")))</f>
        <v/>
      </c>
      <c r="Q41" s="252" t="s">
        <v>431</v>
      </c>
      <c r="S41" s="86" t="s">
        <v>392</v>
      </c>
      <c r="T41" s="214">
        <f t="shared" si="0"/>
        <v>17</v>
      </c>
      <c r="U41" s="214">
        <f>IF(T41=0,"",RANK(T41,T:T,0)+COUNTIF(T$1:T40,T41))</f>
        <v>26</v>
      </c>
      <c r="V41" s="214">
        <f t="shared" si="1"/>
        <v>0</v>
      </c>
      <c r="W41" s="214" t="str">
        <f>IF(V41=0,"",RANK(V41,V:V,0)+COUNTIF(V$1:V40,V41))</f>
        <v/>
      </c>
    </row>
    <row r="42" spans="1:23">
      <c r="A42" s="4" t="s">
        <v>833</v>
      </c>
      <c r="B42" s="255">
        <v>17</v>
      </c>
      <c r="C42" s="18" t="str" cm="1">
        <f t="array" ref="C42">IFERROR(IF(A42="","",IF(ISNUMBER(MATCH(TRUE,ISNUMBER(SEARCH($Q$2:$Q$51, $A42)),0))=TRUE,"United States of America",INDEX($S$2:$S$199,MATCH(TRUE,ISNUMBER(SEARCH($S$2:$S$199, $A42)),0)))),"United States of America")</f>
        <v>Japan</v>
      </c>
      <c r="D42" s="18" t="str" cm="1">
        <f t="array" ref="D42">IF(A42="","",IF(ISNUMBER(MATCH(TRUE,ISNUMBER(SEARCH($Q$2:$Q$51, $A42)),0))=TRUE,"",IF(ISNUMBER(MATCH(TRUE,ISNUMBER(SEARCH($S$2:$S$199, $A42)),0))=TRUE,"","미국 확인 필요")))</f>
        <v/>
      </c>
      <c r="F42" s="4" t="s">
        <v>873</v>
      </c>
      <c r="G42" s="255">
        <v>313</v>
      </c>
      <c r="H42" s="18" t="str" cm="1">
        <f t="array" ref="H42">IFERROR(IF(F42="","",IF(ISNUMBER(MATCH(TRUE,ISNUMBER(SEARCH($Q$2:$Q$51, $F42)),0))=TRUE,"United States of America",INDEX($S$2:$S$199,MATCH(TRUE,ISNUMBER(SEARCH($S$2:$S$199, $F42)),0)))),"United States of America")</f>
        <v>United States of America</v>
      </c>
      <c r="I42" s="18" t="str" cm="1">
        <f t="array" ref="I42">IF(F42="","",IF(ISNUMBER(MATCH(TRUE,ISNUMBER(SEARCH($Q$2:$Q$51, $F42)),0))=TRUE,"",IF(ISNUMBER(MATCH(TRUE,ISNUMBER(SEARCH($S$2:$S$199, $F42)),0))=TRUE,"","미국 확인 필요")))</f>
        <v>미국 확인 필요</v>
      </c>
      <c r="Q42" s="252" t="s">
        <v>432</v>
      </c>
      <c r="S42" s="86" t="s">
        <v>442</v>
      </c>
      <c r="T42" s="214">
        <f t="shared" si="0"/>
        <v>0</v>
      </c>
      <c r="U42" s="214" t="str">
        <f>IF(T42=0,"",RANK(T42,T:T,0)+COUNTIF(T$1:T41,T42))</f>
        <v/>
      </c>
      <c r="V42" s="214">
        <f t="shared" si="1"/>
        <v>0</v>
      </c>
      <c r="W42" s="214" t="str">
        <f>IF(V42=0,"",RANK(V42,V:V,0)+COUNTIF(V$1:V41,V42))</f>
        <v/>
      </c>
    </row>
    <row r="43" spans="1:23">
      <c r="A43" s="4" t="s">
        <v>834</v>
      </c>
      <c r="B43" s="255">
        <v>18</v>
      </c>
      <c r="C43" s="18" t="str" cm="1">
        <f t="array" ref="C43">IFERROR(IF(A43="","",IF(ISNUMBER(MATCH(TRUE,ISNUMBER(SEARCH($Q$2:$Q$51, $A43)),0))=TRUE,"United States of America",INDEX($S$2:$S$199,MATCH(TRUE,ISNUMBER(SEARCH($S$2:$S$199, $A43)),0)))),"United States of America")</f>
        <v>Germany</v>
      </c>
      <c r="D43" s="18" t="str" cm="1">
        <f t="array" ref="D43">IF(A43="","",IF(ISNUMBER(MATCH(TRUE,ISNUMBER(SEARCH($Q$2:$Q$51, $A43)),0))=TRUE,"",IF(ISNUMBER(MATCH(TRUE,ISNUMBER(SEARCH($S$2:$S$199, $A43)),0))=TRUE,"","미국 확인 필요")))</f>
        <v/>
      </c>
      <c r="F43" s="4" t="s">
        <v>902</v>
      </c>
      <c r="G43" s="255">
        <v>311</v>
      </c>
      <c r="H43" s="18" t="str" cm="1">
        <f t="array" ref="H43">IFERROR(IF(F43="","",IF(ISNUMBER(MATCH(TRUE,ISNUMBER(SEARCH($Q$2:$Q$51, $F43)),0))=TRUE,"United States of America",INDEX($S$2:$S$199,MATCH(TRUE,ISNUMBER(SEARCH($S$2:$S$199, $F43)),0)))),"United States of America")</f>
        <v>Colombia</v>
      </c>
      <c r="I43" s="18" t="str" cm="1">
        <f t="array" ref="I43">IF(F43="","",IF(ISNUMBER(MATCH(TRUE,ISNUMBER(SEARCH($Q$2:$Q$51, $F43)),0))=TRUE,"",IF(ISNUMBER(MATCH(TRUE,ISNUMBER(SEARCH($S$2:$S$199, $F43)),0))=TRUE,"","미국 확인 필요")))</f>
        <v/>
      </c>
      <c r="Q43" s="252" t="s">
        <v>433</v>
      </c>
      <c r="S43" s="86" t="s">
        <v>445</v>
      </c>
      <c r="T43" s="214">
        <f t="shared" si="0"/>
        <v>0</v>
      </c>
      <c r="U43" s="214" t="str">
        <f>IF(T43=0,"",RANK(T43,T:T,0)+COUNTIF(T$1:T42,T43))</f>
        <v/>
      </c>
      <c r="V43" s="214">
        <f t="shared" si="1"/>
        <v>491</v>
      </c>
      <c r="W43" s="214">
        <f>IF(V43=0,"",RANK(V43,V:V,0)+COUNTIF(V$1:V42,V43))</f>
        <v>13</v>
      </c>
    </row>
    <row r="44" spans="1:23">
      <c r="A44" s="4" t="s">
        <v>835</v>
      </c>
      <c r="B44" s="255">
        <v>74</v>
      </c>
      <c r="C44" s="18" t="str" cm="1">
        <f t="array" ref="C44">IFERROR(IF(A44="","",IF(ISNUMBER(MATCH(TRUE,ISNUMBER(SEARCH($Q$2:$Q$51, $A44)),0))=TRUE,"United States of America",INDEX($S$2:$S$199,MATCH(TRUE,ISNUMBER(SEARCH($S$2:$S$199, $A44)),0)))),"United States of America")</f>
        <v>United States of America</v>
      </c>
      <c r="D44" s="18" t="str" cm="1">
        <f t="array" ref="D44">IF(A44="","",IF(ISNUMBER(MATCH(TRUE,ISNUMBER(SEARCH($Q$2:$Q$51, $A44)),0))=TRUE,"",IF(ISNUMBER(MATCH(TRUE,ISNUMBER(SEARCH($S$2:$S$199, $A44)),0))=TRUE,"","미국 확인 필요")))</f>
        <v/>
      </c>
      <c r="F44" s="4" t="s">
        <v>841</v>
      </c>
      <c r="G44" s="255">
        <v>310</v>
      </c>
      <c r="H44" s="18" t="str" cm="1">
        <f t="array" ref="H44">IFERROR(IF(F44="","",IF(ISNUMBER(MATCH(TRUE,ISNUMBER(SEARCH($Q$2:$Q$51, $F44)),0))=TRUE,"United States of America",INDEX($S$2:$S$199,MATCH(TRUE,ISNUMBER(SEARCH($S$2:$S$199, $F44)),0)))),"United States of America")</f>
        <v>United States of America</v>
      </c>
      <c r="I44" s="18" t="str" cm="1">
        <f t="array" ref="I44">IF(F44="","",IF(ISNUMBER(MATCH(TRUE,ISNUMBER(SEARCH($Q$2:$Q$51, $F44)),0))=TRUE,"",IF(ISNUMBER(MATCH(TRUE,ISNUMBER(SEARCH($S$2:$S$199, $F44)),0))=TRUE,"","미국 확인 필요")))</f>
        <v>미국 확인 필요</v>
      </c>
      <c r="Q44" s="252" t="s">
        <v>434</v>
      </c>
      <c r="S44" s="86" t="s">
        <v>446</v>
      </c>
      <c r="T44" s="214">
        <f t="shared" si="0"/>
        <v>0</v>
      </c>
      <c r="U44" s="214" t="str">
        <f>IF(T44=0,"",RANK(T44,T:T,0)+COUNTIF(T$1:T43,T44))</f>
        <v/>
      </c>
      <c r="V44" s="214">
        <f t="shared" si="1"/>
        <v>304</v>
      </c>
      <c r="W44" s="214">
        <f>IF(V44=0,"",RANK(V44,V:V,0)+COUNTIF(V$1:V43,V44))</f>
        <v>21</v>
      </c>
    </row>
    <row r="45" spans="1:23">
      <c r="A45" s="4" t="s">
        <v>836</v>
      </c>
      <c r="B45" s="255">
        <v>46</v>
      </c>
      <c r="C45" s="18" t="str" cm="1">
        <f t="array" ref="C45">IFERROR(IF(A45="","",IF(ISNUMBER(MATCH(TRUE,ISNUMBER(SEARCH($Q$2:$Q$51, $A45)),0))=TRUE,"United States of America",INDEX($S$2:$S$199,MATCH(TRUE,ISNUMBER(SEARCH($S$2:$S$199, $A45)),0)))),"United States of America")</f>
        <v>Spain</v>
      </c>
      <c r="D45" s="18" t="str" cm="1">
        <f t="array" ref="D45">IF(A45="","",IF(ISNUMBER(MATCH(TRUE,ISNUMBER(SEARCH($Q$2:$Q$51, $A45)),0))=TRUE,"",IF(ISNUMBER(MATCH(TRUE,ISNUMBER(SEARCH($S$2:$S$199, $A45)),0))=TRUE,"","미국 확인 필요")))</f>
        <v/>
      </c>
      <c r="F45" s="4" t="s">
        <v>903</v>
      </c>
      <c r="G45" s="255">
        <v>304</v>
      </c>
      <c r="H45" s="18" t="str" cm="1">
        <f t="array" ref="H45">IFERROR(IF(F45="","",IF(ISNUMBER(MATCH(TRUE,ISNUMBER(SEARCH($Q$2:$Q$51, $F45)),0))=TRUE,"United States of America",INDEX($S$2:$S$199,MATCH(TRUE,ISNUMBER(SEARCH($S$2:$S$199, $F45)),0)))),"United States of America")</f>
        <v>Argentina</v>
      </c>
      <c r="I45" s="18" t="str" cm="1">
        <f t="array" ref="I45">IF(F45="","",IF(ISNUMBER(MATCH(TRUE,ISNUMBER(SEARCH($Q$2:$Q$51, $F45)),0))=TRUE,"",IF(ISNUMBER(MATCH(TRUE,ISNUMBER(SEARCH($S$2:$S$199, $F45)),0))=TRUE,"","미국 확인 필요")))</f>
        <v/>
      </c>
      <c r="Q45" s="252" t="s">
        <v>435</v>
      </c>
      <c r="S45" s="86" t="s">
        <v>447</v>
      </c>
      <c r="T45" s="214">
        <f t="shared" si="0"/>
        <v>0</v>
      </c>
      <c r="U45" s="214" t="str">
        <f>IF(T45=0,"",RANK(T45,T:T,0)+COUNTIF(T$1:T44,T45))</f>
        <v/>
      </c>
      <c r="V45" s="214">
        <f t="shared" si="1"/>
        <v>215</v>
      </c>
      <c r="W45" s="214">
        <f>IF(V45=0,"",RANK(V45,V:V,0)+COUNTIF(V$1:V44,V45))</f>
        <v>26</v>
      </c>
    </row>
    <row r="46" spans="1:23">
      <c r="A46" s="4" t="s">
        <v>837</v>
      </c>
      <c r="B46" s="255">
        <v>21</v>
      </c>
      <c r="C46" s="18" t="str" cm="1">
        <f t="array" ref="C46">IFERROR(IF(A46="","",IF(ISNUMBER(MATCH(TRUE,ISNUMBER(SEARCH($Q$2:$Q$51, $A46)),0))=TRUE,"United States of America",INDEX($S$2:$S$199,MATCH(TRUE,ISNUMBER(SEARCH($S$2:$S$199, $A46)),0)))),"United States of America")</f>
        <v>Canada</v>
      </c>
      <c r="D46" s="18" t="str" cm="1">
        <f t="array" ref="D46">IF(A46="","",IF(ISNUMBER(MATCH(TRUE,ISNUMBER(SEARCH($Q$2:$Q$51, $A46)),0))=TRUE,"",IF(ISNUMBER(MATCH(TRUE,ISNUMBER(SEARCH($S$2:$S$199, $A46)),0))=TRUE,"","미국 확인 필요")))</f>
        <v/>
      </c>
      <c r="F46" s="4" t="s">
        <v>806</v>
      </c>
      <c r="G46" s="255">
        <v>297</v>
      </c>
      <c r="H46" s="18" t="str" cm="1">
        <f t="array" ref="H46">IFERROR(IF(F46="","",IF(ISNUMBER(MATCH(TRUE,ISNUMBER(SEARCH($Q$2:$Q$51, $F46)),0))=TRUE,"United States of America",INDEX($S$2:$S$199,MATCH(TRUE,ISNUMBER(SEARCH($S$2:$S$199, $F46)),0)))),"United States of America")</f>
        <v>Germany</v>
      </c>
      <c r="I46" s="18" t="str" cm="1">
        <f t="array" ref="I46">IF(F46="","",IF(ISNUMBER(MATCH(TRUE,ISNUMBER(SEARCH($Q$2:$Q$51, $F46)),0))=TRUE,"",IF(ISNUMBER(MATCH(TRUE,ISNUMBER(SEARCH($S$2:$S$199, $F46)),0))=TRUE,"","미국 확인 필요")))</f>
        <v/>
      </c>
      <c r="Q46" s="252" t="s">
        <v>436</v>
      </c>
      <c r="S46" s="86" t="s">
        <v>448</v>
      </c>
      <c r="T46" s="214">
        <f t="shared" si="0"/>
        <v>0</v>
      </c>
      <c r="U46" s="214" t="str">
        <f>IF(T46=0,"",RANK(T46,T:T,0)+COUNTIF(T$1:T45,T46))</f>
        <v/>
      </c>
      <c r="V46" s="214">
        <f t="shared" si="1"/>
        <v>189</v>
      </c>
      <c r="W46" s="214">
        <f>IF(V46=0,"",RANK(V46,V:V,0)+COUNTIF(V$1:V45,V46))</f>
        <v>28</v>
      </c>
    </row>
    <row r="47" spans="1:23">
      <c r="A47" s="4" t="s">
        <v>838</v>
      </c>
      <c r="B47" s="255">
        <v>38</v>
      </c>
      <c r="C47" s="18" t="str" cm="1">
        <f t="array" ref="C47">IFERROR(IF(A47="","",IF(ISNUMBER(MATCH(TRUE,ISNUMBER(SEARCH($Q$2:$Q$51, $A47)),0))=TRUE,"United States of America",INDEX($S$2:$S$199,MATCH(TRUE,ISNUMBER(SEARCH($S$2:$S$199, $A47)),0)))),"United States of America")</f>
        <v>United States of America</v>
      </c>
      <c r="D47" s="18" t="str" cm="1">
        <f t="array" ref="D47">IF(A47="","",IF(ISNUMBER(MATCH(TRUE,ISNUMBER(SEARCH($Q$2:$Q$51, $A47)),0))=TRUE,"",IF(ISNUMBER(MATCH(TRUE,ISNUMBER(SEARCH($S$2:$S$199, $A47)),0))=TRUE,"","미국 확인 필요")))</f>
        <v>미국 확인 필요</v>
      </c>
      <c r="F47" s="4" t="s">
        <v>845</v>
      </c>
      <c r="G47" s="255">
        <v>291</v>
      </c>
      <c r="H47" s="18" t="str" cm="1">
        <f t="array" ref="H47">IFERROR(IF(F47="","",IF(ISNUMBER(MATCH(TRUE,ISNUMBER(SEARCH($Q$2:$Q$51, $F47)),0))=TRUE,"United States of America",INDEX($S$2:$S$199,MATCH(TRUE,ISNUMBER(SEARCH($S$2:$S$199, $F47)),0)))),"United States of America")</f>
        <v>Ireland</v>
      </c>
      <c r="I47" s="18" t="str" cm="1">
        <f t="array" ref="I47">IF(F47="","",IF(ISNUMBER(MATCH(TRUE,ISNUMBER(SEARCH($Q$2:$Q$51, $F47)),0))=TRUE,"",IF(ISNUMBER(MATCH(TRUE,ISNUMBER(SEARCH($S$2:$S$199, $F47)),0))=TRUE,"","미국 확인 필요")))</f>
        <v/>
      </c>
      <c r="Q47" s="252" t="s">
        <v>437</v>
      </c>
      <c r="S47" s="86" t="s">
        <v>449</v>
      </c>
      <c r="T47" s="214">
        <f t="shared" si="0"/>
        <v>48</v>
      </c>
      <c r="U47" s="214">
        <f>IF(T47=0,"",RANK(T47,T:T,0)+COUNTIF(T$1:T46,T47))</f>
        <v>17</v>
      </c>
      <c r="V47" s="214">
        <f t="shared" si="1"/>
        <v>263</v>
      </c>
      <c r="W47" s="214">
        <f>IF(V47=0,"",RANK(V47,V:V,0)+COUNTIF(V$1:V46,V47))</f>
        <v>23</v>
      </c>
    </row>
    <row r="48" spans="1:23">
      <c r="A48" s="4" t="s">
        <v>839</v>
      </c>
      <c r="B48" s="255">
        <v>22</v>
      </c>
      <c r="C48" s="18" t="str" cm="1">
        <f t="array" ref="C48">IFERROR(IF(A48="","",IF(ISNUMBER(MATCH(TRUE,ISNUMBER(SEARCH($Q$2:$Q$51, $A48)),0))=TRUE,"United States of America",INDEX($S$2:$S$199,MATCH(TRUE,ISNUMBER(SEARCH($S$2:$S$199, $A48)),0)))),"United States of America")</f>
        <v>Ireland</v>
      </c>
      <c r="D48" s="18" t="str" cm="1">
        <f t="array" ref="D48">IF(A48="","",IF(ISNUMBER(MATCH(TRUE,ISNUMBER(SEARCH($Q$2:$Q$51, $A48)),0))=TRUE,"",IF(ISNUMBER(MATCH(TRUE,ISNUMBER(SEARCH($S$2:$S$199, $A48)),0))=TRUE,"","미국 확인 필요")))</f>
        <v/>
      </c>
      <c r="F48" s="4" t="s">
        <v>836</v>
      </c>
      <c r="G48" s="255">
        <v>284</v>
      </c>
      <c r="H48" s="18" t="str" cm="1">
        <f t="array" ref="H48">IFERROR(IF(F48="","",IF(ISNUMBER(MATCH(TRUE,ISNUMBER(SEARCH($Q$2:$Q$51, $F48)),0))=TRUE,"United States of America",INDEX($S$2:$S$199,MATCH(TRUE,ISNUMBER(SEARCH($S$2:$S$199, $F48)),0)))),"United States of America")</f>
        <v>Spain</v>
      </c>
      <c r="I48" s="18" t="str" cm="1">
        <f t="array" ref="I48">IF(F48="","",IF(ISNUMBER(MATCH(TRUE,ISNUMBER(SEARCH($Q$2:$Q$51, $F48)),0))=TRUE,"",IF(ISNUMBER(MATCH(TRUE,ISNUMBER(SEARCH($S$2:$S$199, $F48)),0))=TRUE,"","미국 확인 필요")))</f>
        <v/>
      </c>
      <c r="Q48" s="252" t="s">
        <v>438</v>
      </c>
      <c r="S48" s="86" t="s">
        <v>450</v>
      </c>
      <c r="T48" s="214">
        <f t="shared" si="0"/>
        <v>0</v>
      </c>
      <c r="U48" s="214" t="str">
        <f>IF(T48=0,"",RANK(T48,T:T,0)+COUNTIF(T$1:T47,T48))</f>
        <v/>
      </c>
      <c r="V48" s="214">
        <f t="shared" si="1"/>
        <v>131</v>
      </c>
      <c r="W48" s="214">
        <f>IF(V48=0,"",RANK(V48,V:V,0)+COUNTIF(V$1:V47,V48))</f>
        <v>30</v>
      </c>
    </row>
    <row r="49" spans="1:23">
      <c r="A49" s="4" t="s">
        <v>840</v>
      </c>
      <c r="B49" s="255">
        <v>52</v>
      </c>
      <c r="C49" s="18" t="str" cm="1">
        <f t="array" ref="C49">IFERROR(IF(A49="","",IF(ISNUMBER(MATCH(TRUE,ISNUMBER(SEARCH($Q$2:$Q$51, $A49)),0))=TRUE,"United States of America",INDEX($S$2:$S$199,MATCH(TRUE,ISNUMBER(SEARCH($S$2:$S$199, $A49)),0)))),"United States of America")</f>
        <v>Korea</v>
      </c>
      <c r="D49" s="18" t="str" cm="1">
        <f t="array" ref="D49">IF(A49="","",IF(ISNUMBER(MATCH(TRUE,ISNUMBER(SEARCH($Q$2:$Q$51, $A49)),0))=TRUE,"",IF(ISNUMBER(MATCH(TRUE,ISNUMBER(SEARCH($S$2:$S$199, $A49)),0))=TRUE,"","미국 확인 필요")))</f>
        <v/>
      </c>
      <c r="F49" s="4" t="s">
        <v>904</v>
      </c>
      <c r="G49" s="255">
        <v>279</v>
      </c>
      <c r="H49" s="18" t="str" cm="1">
        <f t="array" ref="H49">IFERROR(IF(F49="","",IF(ISNUMBER(MATCH(TRUE,ISNUMBER(SEARCH($Q$2:$Q$51, $F49)),0))=TRUE,"United States of America",INDEX($S$2:$S$199,MATCH(TRUE,ISNUMBER(SEARCH($S$2:$S$199, $F49)),0)))),"United States of America")</f>
        <v>Mexico</v>
      </c>
      <c r="I49" s="18" t="str" cm="1">
        <f t="array" ref="I49">IF(F49="","",IF(ISNUMBER(MATCH(TRUE,ISNUMBER(SEARCH($Q$2:$Q$51, $F49)),0))=TRUE,"",IF(ISNUMBER(MATCH(TRUE,ISNUMBER(SEARCH($S$2:$S$199, $F49)),0))=TRUE,"","미국 확인 필요")))</f>
        <v/>
      </c>
      <c r="Q49" s="252" t="s">
        <v>439</v>
      </c>
      <c r="S49" s="86" t="s">
        <v>451</v>
      </c>
      <c r="T49" s="214">
        <f t="shared" si="0"/>
        <v>0</v>
      </c>
      <c r="U49" s="214" t="str">
        <f>IF(T49=0,"",RANK(T49,T:T,0)+COUNTIF(T$1:T48,T49))</f>
        <v/>
      </c>
      <c r="V49" s="214">
        <f t="shared" si="1"/>
        <v>122</v>
      </c>
      <c r="W49" s="214">
        <f>IF(V49=0,"",RANK(V49,V:V,0)+COUNTIF(V$1:V48,V49))</f>
        <v>31</v>
      </c>
    </row>
    <row r="50" spans="1:23">
      <c r="A50" s="4" t="s">
        <v>841</v>
      </c>
      <c r="B50" s="255">
        <v>81</v>
      </c>
      <c r="C50" s="18" t="str" cm="1">
        <f t="array" ref="C50">IFERROR(IF(A50="","",IF(ISNUMBER(MATCH(TRUE,ISNUMBER(SEARCH($Q$2:$Q$51, $A50)),0))=TRUE,"United States of America",INDEX($S$2:$S$199,MATCH(TRUE,ISNUMBER(SEARCH($S$2:$S$199, $A50)),0)))),"United States of America")</f>
        <v>United States of America</v>
      </c>
      <c r="D50" s="18" t="str" cm="1">
        <f t="array" ref="D50">IF(A50="","",IF(ISNUMBER(MATCH(TRUE,ISNUMBER(SEARCH($Q$2:$Q$51, $A50)),0))=TRUE,"",IF(ISNUMBER(MATCH(TRUE,ISNUMBER(SEARCH($S$2:$S$199, $A50)),0))=TRUE,"","미국 확인 필요")))</f>
        <v>미국 확인 필요</v>
      </c>
      <c r="F50" s="4" t="s">
        <v>860</v>
      </c>
      <c r="G50" s="255">
        <v>279</v>
      </c>
      <c r="H50" s="18" t="str" cm="1">
        <f t="array" ref="H50">IFERROR(IF(F50="","",IF(ISNUMBER(MATCH(TRUE,ISNUMBER(SEARCH($Q$2:$Q$51, $F50)),0))=TRUE,"United States of America",INDEX($S$2:$S$199,MATCH(TRUE,ISNUMBER(SEARCH($S$2:$S$199, $F50)),0)))),"United States of America")</f>
        <v>Korea</v>
      </c>
      <c r="I50" s="18" t="str" cm="1">
        <f t="array" ref="I50">IF(F50="","",IF(ISNUMBER(MATCH(TRUE,ISNUMBER(SEARCH($Q$2:$Q$51, $F50)),0))=TRUE,"",IF(ISNUMBER(MATCH(TRUE,ISNUMBER(SEARCH($S$2:$S$199, $F50)),0))=TRUE,"","미국 확인 필요")))</f>
        <v/>
      </c>
      <c r="Q50" s="252" t="s">
        <v>440</v>
      </c>
      <c r="S50" s="86" t="s">
        <v>452</v>
      </c>
      <c r="T50" s="214">
        <f t="shared" si="0"/>
        <v>0</v>
      </c>
      <c r="U50" s="214" t="str">
        <f>IF(T50=0,"",RANK(T50,T:T,0)+COUNTIF(T$1:T49,T50))</f>
        <v/>
      </c>
      <c r="V50" s="214">
        <f t="shared" si="1"/>
        <v>0</v>
      </c>
      <c r="W50" s="214" t="str">
        <f>IF(V50=0,"",RANK(V50,V:V,0)+COUNTIF(V$1:V49,V50))</f>
        <v/>
      </c>
    </row>
    <row r="51" spans="1:23" ht="17.25" thickBot="1">
      <c r="A51" s="4" t="s">
        <v>842</v>
      </c>
      <c r="B51" s="255">
        <v>16</v>
      </c>
      <c r="C51" s="18" t="str" cm="1">
        <f t="array" ref="C51">IFERROR(IF(A51="","",IF(ISNUMBER(MATCH(TRUE,ISNUMBER(SEARCH($Q$2:$Q$51, $A51)),0))=TRUE,"United States of America",INDEX($S$2:$S$199,MATCH(TRUE,ISNUMBER(SEARCH($S$2:$S$199, $A51)),0)))),"United States of America")</f>
        <v>Canada</v>
      </c>
      <c r="D51" s="18" t="str" cm="1">
        <f t="array" ref="D51">IF(A51="","",IF(ISNUMBER(MATCH(TRUE,ISNUMBER(SEARCH($Q$2:$Q$51, $A51)),0))=TRUE,"",IF(ISNUMBER(MATCH(TRUE,ISNUMBER(SEARCH($S$2:$S$199, $A51)),0))=TRUE,"","미국 확인 필요")))</f>
        <v/>
      </c>
      <c r="F51" s="4" t="s">
        <v>905</v>
      </c>
      <c r="G51" s="255">
        <v>269</v>
      </c>
      <c r="H51" s="18" t="str" cm="1">
        <f t="array" ref="H51">IFERROR(IF(F51="","",IF(ISNUMBER(MATCH(TRUE,ISNUMBER(SEARCH($Q$2:$Q$51, $F51)),0))=TRUE,"United States of America",INDEX($S$2:$S$199,MATCH(TRUE,ISNUMBER(SEARCH($S$2:$S$199, $F51)),0)))),"United States of America")</f>
        <v>Brazil</v>
      </c>
      <c r="I51" s="18" t="str" cm="1">
        <f t="array" ref="I51">IF(F51="","",IF(ISNUMBER(MATCH(TRUE,ISNUMBER(SEARCH($Q$2:$Q$51, $F51)),0))=TRUE,"",IF(ISNUMBER(MATCH(TRUE,ISNUMBER(SEARCH($S$2:$S$199, $F51)),0))=TRUE,"","미국 확인 필요")))</f>
        <v/>
      </c>
      <c r="Q51" s="253" t="s">
        <v>441</v>
      </c>
      <c r="S51" s="86" t="s">
        <v>453</v>
      </c>
      <c r="T51" s="214">
        <f t="shared" si="0"/>
        <v>0</v>
      </c>
      <c r="U51" s="214" t="str">
        <f>IF(T51=0,"",RANK(T51,T:T,0)+COUNTIF(T$1:T50,T51))</f>
        <v/>
      </c>
      <c r="V51" s="214">
        <f t="shared" si="1"/>
        <v>0</v>
      </c>
      <c r="W51" s="214" t="str">
        <f>IF(V51=0,"",RANK(V51,V:V,0)+COUNTIF(V$1:V50,V51))</f>
        <v/>
      </c>
    </row>
    <row r="52" spans="1:23">
      <c r="A52" s="4" t="s">
        <v>843</v>
      </c>
      <c r="B52" s="255">
        <v>22</v>
      </c>
      <c r="C52" s="18" t="str" cm="1">
        <f t="array" ref="C52">IFERROR(IF(A52="","",IF(ISNUMBER(MATCH(TRUE,ISNUMBER(SEARCH($Q$2:$Q$51, $A52)),0))=TRUE,"United States of America",INDEX($S$2:$S$199,MATCH(TRUE,ISNUMBER(SEARCH($S$2:$S$199, $A52)),0)))),"United States of America")</f>
        <v>United States of America</v>
      </c>
      <c r="D52" s="18" t="str" cm="1">
        <f t="array" ref="D52">IF(A52="","",IF(ISNUMBER(MATCH(TRUE,ISNUMBER(SEARCH($Q$2:$Q$51, $A52)),0))=TRUE,"",IF(ISNUMBER(MATCH(TRUE,ISNUMBER(SEARCH($S$2:$S$199, $A52)),0))=TRUE,"","미국 확인 필요")))</f>
        <v>미국 확인 필요</v>
      </c>
      <c r="F52" s="4" t="s">
        <v>906</v>
      </c>
      <c r="G52" s="255">
        <v>239</v>
      </c>
      <c r="H52" s="18" t="str" cm="1">
        <f t="array" ref="H52">IFERROR(IF(F52="","",IF(ISNUMBER(MATCH(TRUE,ISNUMBER(SEARCH($Q$2:$Q$51, $F52)),0))=TRUE,"United States of America",INDEX($S$2:$S$199,MATCH(TRUE,ISNUMBER(SEARCH($S$2:$S$199, $F52)),0)))),"United States of America")</f>
        <v>Portugal</v>
      </c>
      <c r="I52" s="18" t="str" cm="1">
        <f t="array" ref="I52">IF(F52="","",IF(ISNUMBER(MATCH(TRUE,ISNUMBER(SEARCH($Q$2:$Q$51, $F52)),0))=TRUE,"",IF(ISNUMBER(MATCH(TRUE,ISNUMBER(SEARCH($S$2:$S$199, $F52)),0))=TRUE,"","미국 확인 필요")))</f>
        <v/>
      </c>
      <c r="S52" s="86" t="s">
        <v>454</v>
      </c>
      <c r="T52" s="214">
        <f t="shared" si="0"/>
        <v>0</v>
      </c>
      <c r="U52" s="214" t="str">
        <f>IF(T52=0,"",RANK(T52,T:T,0)+COUNTIF(T$1:T51,T52))</f>
        <v/>
      </c>
      <c r="V52" s="214">
        <f t="shared" si="1"/>
        <v>0</v>
      </c>
      <c r="W52" s="214" t="str">
        <f>IF(V52=0,"",RANK(V52,V:V,0)+COUNTIF(V$1:V51,V52))</f>
        <v/>
      </c>
    </row>
    <row r="53" spans="1:23">
      <c r="A53" s="4" t="s">
        <v>844</v>
      </c>
      <c r="B53" s="255">
        <v>39</v>
      </c>
      <c r="C53" s="18" t="str" cm="1">
        <f t="array" ref="C53">IFERROR(IF(A53="","",IF(ISNUMBER(MATCH(TRUE,ISNUMBER(SEARCH($Q$2:$Q$51, $A53)),0))=TRUE,"United States of America",INDEX($S$2:$S$199,MATCH(TRUE,ISNUMBER(SEARCH($S$2:$S$199, $A53)),0)))),"United States of America")</f>
        <v>Poland</v>
      </c>
      <c r="D53" s="18" t="str" cm="1">
        <f t="array" ref="D53">IF(A53="","",IF(ISNUMBER(MATCH(TRUE,ISNUMBER(SEARCH($Q$2:$Q$51, $A53)),0))=TRUE,"",IF(ISNUMBER(MATCH(TRUE,ISNUMBER(SEARCH($S$2:$S$199, $A53)),0))=TRUE,"","미국 확인 필요")))</f>
        <v/>
      </c>
      <c r="F53" s="4" t="s">
        <v>797</v>
      </c>
      <c r="G53" s="255">
        <v>232</v>
      </c>
      <c r="H53" s="18" t="str" cm="1">
        <f t="array" ref="H53">IFERROR(IF(F53="","",IF(ISNUMBER(MATCH(TRUE,ISNUMBER(SEARCH($Q$2:$Q$51, $F53)),0))=TRUE,"United States of America",INDEX($S$2:$S$199,MATCH(TRUE,ISNUMBER(SEARCH($S$2:$S$199, $F53)),0)))),"United States of America")</f>
        <v>United States of America</v>
      </c>
      <c r="I53" s="18" t="str" cm="1">
        <f t="array" ref="I53">IF(F53="","",IF(ISNUMBER(MATCH(TRUE,ISNUMBER(SEARCH($Q$2:$Q$51, $F53)),0))=TRUE,"",IF(ISNUMBER(MATCH(TRUE,ISNUMBER(SEARCH($S$2:$S$199, $F53)),0))=TRUE,"","미국 확인 필요")))</f>
        <v>미국 확인 필요</v>
      </c>
      <c r="S53" s="86" t="s">
        <v>455</v>
      </c>
      <c r="T53" s="214">
        <f t="shared" si="0"/>
        <v>0</v>
      </c>
      <c r="U53" s="214" t="str">
        <f>IF(T53=0,"",RANK(T53,T:T,0)+COUNTIF(T$1:T52,T53))</f>
        <v/>
      </c>
      <c r="V53" s="214">
        <f t="shared" si="1"/>
        <v>0</v>
      </c>
      <c r="W53" s="214" t="str">
        <f>IF(V53=0,"",RANK(V53,V:V,0)+COUNTIF(V$1:V52,V53))</f>
        <v/>
      </c>
    </row>
    <row r="54" spans="1:23">
      <c r="A54" s="4" t="s">
        <v>845</v>
      </c>
      <c r="B54" s="255">
        <v>82</v>
      </c>
      <c r="C54" s="18" t="str" cm="1">
        <f t="array" ref="C54">IFERROR(IF(A54="","",IF(ISNUMBER(MATCH(TRUE,ISNUMBER(SEARCH($Q$2:$Q$51, $A54)),0))=TRUE,"United States of America",INDEX($S$2:$S$199,MATCH(TRUE,ISNUMBER(SEARCH($S$2:$S$199, $A54)),0)))),"United States of America")</f>
        <v>Ireland</v>
      </c>
      <c r="D54" s="18" t="str" cm="1">
        <f t="array" ref="D54">IF(A54="","",IF(ISNUMBER(MATCH(TRUE,ISNUMBER(SEARCH($Q$2:$Q$51, $A54)),0))=TRUE,"",IF(ISNUMBER(MATCH(TRUE,ISNUMBER(SEARCH($S$2:$S$199, $A54)),0))=TRUE,"","미국 확인 필요")))</f>
        <v/>
      </c>
      <c r="F54" s="4" t="s">
        <v>863</v>
      </c>
      <c r="G54" s="255">
        <v>231</v>
      </c>
      <c r="H54" s="18" t="str" cm="1">
        <f t="array" ref="H54">IFERROR(IF(F54="","",IF(ISNUMBER(MATCH(TRUE,ISNUMBER(SEARCH($Q$2:$Q$51, $F54)),0))=TRUE,"United States of America",INDEX($S$2:$S$199,MATCH(TRUE,ISNUMBER(SEARCH($S$2:$S$199, $F54)),0)))),"United States of America")</f>
        <v>Korea</v>
      </c>
      <c r="I54" s="18" t="str" cm="1">
        <f t="array" ref="I54">IF(F54="","",IF(ISNUMBER(MATCH(TRUE,ISNUMBER(SEARCH($Q$2:$Q$51, $F54)),0))=TRUE,"",IF(ISNUMBER(MATCH(TRUE,ISNUMBER(SEARCH($S$2:$S$199, $F54)),0))=TRUE,"","미국 확인 필요")))</f>
        <v/>
      </c>
      <c r="S54" s="86" t="s">
        <v>456</v>
      </c>
      <c r="T54" s="214">
        <f t="shared" si="0"/>
        <v>0</v>
      </c>
      <c r="U54" s="214" t="str">
        <f>IF(T54=0,"",RANK(T54,T:T,0)+COUNTIF(T$1:T53,T54))</f>
        <v/>
      </c>
      <c r="V54" s="214">
        <f t="shared" si="1"/>
        <v>0</v>
      </c>
      <c r="W54" s="214" t="str">
        <f>IF(V54=0,"",RANK(V54,V:V,0)+COUNTIF(V$1:V53,V54))</f>
        <v/>
      </c>
    </row>
    <row r="55" spans="1:23">
      <c r="A55" s="4" t="s">
        <v>846</v>
      </c>
      <c r="B55" s="255">
        <v>86</v>
      </c>
      <c r="C55" s="18" t="str" cm="1">
        <f t="array" ref="C55">IFERROR(IF(A55="","",IF(ISNUMBER(MATCH(TRUE,ISNUMBER(SEARCH($Q$2:$Q$51, $A55)),0))=TRUE,"United States of America",INDEX($S$2:$S$199,MATCH(TRUE,ISNUMBER(SEARCH($S$2:$S$199, $A55)),0)))),"United States of America")</f>
        <v>Netherlands</v>
      </c>
      <c r="D55" s="18" t="str" cm="1">
        <f t="array" ref="D55">IF(A55="","",IF(ISNUMBER(MATCH(TRUE,ISNUMBER(SEARCH($Q$2:$Q$51, $A55)),0))=TRUE,"",IF(ISNUMBER(MATCH(TRUE,ISNUMBER(SEARCH($S$2:$S$199, $A55)),0))=TRUE,"","미국 확인 필요")))</f>
        <v/>
      </c>
      <c r="F55" s="4" t="s">
        <v>793</v>
      </c>
      <c r="G55" s="255">
        <v>228</v>
      </c>
      <c r="H55" s="18" t="str" cm="1">
        <f t="array" ref="H55">IFERROR(IF(F55="","",IF(ISNUMBER(MATCH(TRUE,ISNUMBER(SEARCH($Q$2:$Q$51, $F55)),0))=TRUE,"United States of America",INDEX($S$2:$S$199,MATCH(TRUE,ISNUMBER(SEARCH($S$2:$S$199, $F55)),0)))),"United States of America")</f>
        <v>Malaysia</v>
      </c>
      <c r="I55" s="18" t="str" cm="1">
        <f t="array" ref="I55">IF(F55="","",IF(ISNUMBER(MATCH(TRUE,ISNUMBER(SEARCH($Q$2:$Q$51, $F55)),0))=TRUE,"",IF(ISNUMBER(MATCH(TRUE,ISNUMBER(SEARCH($S$2:$S$199, $F55)),0))=TRUE,"","미국 확인 필요")))</f>
        <v/>
      </c>
      <c r="S55" s="86" t="s">
        <v>457</v>
      </c>
      <c r="T55" s="214">
        <f t="shared" si="0"/>
        <v>0</v>
      </c>
      <c r="U55" s="214" t="str">
        <f>IF(T55=0,"",RANK(T55,T:T,0)+COUNTIF(T$1:T54,T55))</f>
        <v/>
      </c>
      <c r="V55" s="214">
        <f t="shared" si="1"/>
        <v>0</v>
      </c>
      <c r="W55" s="214" t="str">
        <f>IF(V55=0,"",RANK(V55,V:V,0)+COUNTIF(V$1:V54,V55))</f>
        <v/>
      </c>
    </row>
    <row r="56" spans="1:23">
      <c r="A56" s="4" t="s">
        <v>847</v>
      </c>
      <c r="B56" s="255">
        <v>19</v>
      </c>
      <c r="C56" s="18" t="str" cm="1">
        <f t="array" ref="C56">IFERROR(IF(A56="","",IF(ISNUMBER(MATCH(TRUE,ISNUMBER(SEARCH($Q$2:$Q$51, $A56)),0))=TRUE,"United States of America",INDEX($S$2:$S$199,MATCH(TRUE,ISNUMBER(SEARCH($S$2:$S$199, $A56)),0)))),"United States of America")</f>
        <v>Finland</v>
      </c>
      <c r="D56" s="18" t="str" cm="1">
        <f t="array" ref="D56">IF(A56="","",IF(ISNUMBER(MATCH(TRUE,ISNUMBER(SEARCH($Q$2:$Q$51, $A56)),0))=TRUE,"",IF(ISNUMBER(MATCH(TRUE,ISNUMBER(SEARCH($S$2:$S$199, $A56)),0))=TRUE,"","미국 확인 필요")))</f>
        <v/>
      </c>
      <c r="F56" s="4" t="s">
        <v>848</v>
      </c>
      <c r="G56" s="255">
        <v>217</v>
      </c>
      <c r="H56" s="18" t="str" cm="1">
        <f t="array" ref="H56">IFERROR(IF(F56="","",IF(ISNUMBER(MATCH(TRUE,ISNUMBER(SEARCH($Q$2:$Q$51, $F56)),0))=TRUE,"United States of America",INDEX($S$2:$S$199,MATCH(TRUE,ISNUMBER(SEARCH($S$2:$S$199, $F56)),0)))),"United States of America")</f>
        <v>United States of America</v>
      </c>
      <c r="I56" s="18" t="str" cm="1">
        <f t="array" ref="I56">IF(F56="","",IF(ISNUMBER(MATCH(TRUE,ISNUMBER(SEARCH($Q$2:$Q$51, $F56)),0))=TRUE,"",IF(ISNUMBER(MATCH(TRUE,ISNUMBER(SEARCH($S$2:$S$199, $F56)),0))=TRUE,"","미국 확인 필요")))</f>
        <v>미국 확인 필요</v>
      </c>
      <c r="S56" s="86" t="s">
        <v>458</v>
      </c>
      <c r="T56" s="214">
        <f t="shared" si="0"/>
        <v>0</v>
      </c>
      <c r="U56" s="214" t="str">
        <f>IF(T56=0,"",RANK(T56,T:T,0)+COUNTIF(T$1:T55,T56))</f>
        <v/>
      </c>
      <c r="V56" s="214">
        <f t="shared" si="1"/>
        <v>0</v>
      </c>
      <c r="W56" s="214" t="str">
        <f>IF(V56=0,"",RANK(V56,V:V,0)+COUNTIF(V$1:V55,V56))</f>
        <v/>
      </c>
    </row>
    <row r="57" spans="1:23">
      <c r="A57" s="4" t="s">
        <v>848</v>
      </c>
      <c r="B57" s="255">
        <v>92</v>
      </c>
      <c r="C57" s="18" t="str" cm="1">
        <f t="array" ref="C57">IFERROR(IF(A57="","",IF(ISNUMBER(MATCH(TRUE,ISNUMBER(SEARCH($Q$2:$Q$51, $A57)),0))=TRUE,"United States of America",INDEX($S$2:$S$199,MATCH(TRUE,ISNUMBER(SEARCH($S$2:$S$199, $A57)),0)))),"United States of America")</f>
        <v>United States of America</v>
      </c>
      <c r="D57" s="18" t="str" cm="1">
        <f t="array" ref="D57">IF(A57="","",IF(ISNUMBER(MATCH(TRUE,ISNUMBER(SEARCH($Q$2:$Q$51, $A57)),0))=TRUE,"",IF(ISNUMBER(MATCH(TRUE,ISNUMBER(SEARCH($S$2:$S$199, $A57)),0))=TRUE,"","미국 확인 필요")))</f>
        <v>미국 확인 필요</v>
      </c>
      <c r="F57" s="4" t="s">
        <v>876</v>
      </c>
      <c r="G57" s="255">
        <v>216</v>
      </c>
      <c r="H57" s="18" t="str" cm="1">
        <f t="array" ref="H57">IFERROR(IF(F57="","",IF(ISNUMBER(MATCH(TRUE,ISNUMBER(SEARCH($Q$2:$Q$51, $F57)),0))=TRUE,"United States of America",INDEX($S$2:$S$199,MATCH(TRUE,ISNUMBER(SEARCH($S$2:$S$199, $F57)),0)))),"United States of America")</f>
        <v>India</v>
      </c>
      <c r="I57" s="18" t="str" cm="1">
        <f t="array" ref="I57">IF(F57="","",IF(ISNUMBER(MATCH(TRUE,ISNUMBER(SEARCH($Q$2:$Q$51, $F57)),0))=TRUE,"",IF(ISNUMBER(MATCH(TRUE,ISNUMBER(SEARCH($S$2:$S$199, $F57)),0))=TRUE,"","미국 확인 필요")))</f>
        <v/>
      </c>
      <c r="S57" s="86" t="s">
        <v>459</v>
      </c>
      <c r="T57" s="214">
        <f t="shared" si="0"/>
        <v>0</v>
      </c>
      <c r="U57" s="214" t="str">
        <f>IF(T57=0,"",RANK(T57,T:T,0)+COUNTIF(T$1:T56,T57))</f>
        <v/>
      </c>
      <c r="V57" s="214">
        <f t="shared" si="1"/>
        <v>0</v>
      </c>
      <c r="W57" s="214" t="str">
        <f>IF(V57=0,"",RANK(V57,V:V,0)+COUNTIF(V$1:V56,V57))</f>
        <v/>
      </c>
    </row>
    <row r="58" spans="1:23">
      <c r="A58" s="4" t="s">
        <v>849</v>
      </c>
      <c r="B58" s="255">
        <v>22</v>
      </c>
      <c r="C58" s="18" t="str" cm="1">
        <f t="array" ref="C58">IFERROR(IF(A58="","",IF(ISNUMBER(MATCH(TRUE,ISNUMBER(SEARCH($Q$2:$Q$51, $A58)),0))=TRUE,"United States of America",INDEX($S$2:$S$199,MATCH(TRUE,ISNUMBER(SEARCH($S$2:$S$199, $A58)),0)))),"United States of America")</f>
        <v>United Kingdom</v>
      </c>
      <c r="D58" s="18" t="str" cm="1">
        <f t="array" ref="D58">IF(A58="","",IF(ISNUMBER(MATCH(TRUE,ISNUMBER(SEARCH($Q$2:$Q$51, $A58)),0))=TRUE,"",IF(ISNUMBER(MATCH(TRUE,ISNUMBER(SEARCH($S$2:$S$199, $A58)),0))=TRUE,"","미국 확인 필요")))</f>
        <v/>
      </c>
      <c r="F58" s="4" t="s">
        <v>907</v>
      </c>
      <c r="G58" s="255">
        <v>215</v>
      </c>
      <c r="H58" s="18" t="str" cm="1">
        <f t="array" ref="H58">IFERROR(IF(F58="","",IF(ISNUMBER(MATCH(TRUE,ISNUMBER(SEARCH($Q$2:$Q$51, $F58)),0))=TRUE,"United States of America",INDEX($S$2:$S$199,MATCH(TRUE,ISNUMBER(SEARCH($S$2:$S$199, $F58)),0)))),"United States of America")</f>
        <v>Kenya</v>
      </c>
      <c r="I58" s="18" t="str" cm="1">
        <f t="array" ref="I58">IF(F58="","",IF(ISNUMBER(MATCH(TRUE,ISNUMBER(SEARCH($Q$2:$Q$51, $F58)),0))=TRUE,"",IF(ISNUMBER(MATCH(TRUE,ISNUMBER(SEARCH($S$2:$S$199, $F58)),0))=TRUE,"","미국 확인 필요")))</f>
        <v/>
      </c>
      <c r="S58" s="86" t="s">
        <v>460</v>
      </c>
      <c r="T58" s="214">
        <f t="shared" si="0"/>
        <v>0</v>
      </c>
      <c r="U58" s="214" t="str">
        <f>IF(T58=0,"",RANK(T58,T:T,0)+COUNTIF(T$1:T57,T58))</f>
        <v/>
      </c>
      <c r="V58" s="214">
        <f t="shared" si="1"/>
        <v>0</v>
      </c>
      <c r="W58" s="214" t="str">
        <f>IF(V58=0,"",RANK(V58,V:V,0)+COUNTIF(V$1:V57,V58))</f>
        <v/>
      </c>
    </row>
    <row r="59" spans="1:23">
      <c r="A59" s="4" t="s">
        <v>850</v>
      </c>
      <c r="B59" s="255">
        <v>23</v>
      </c>
      <c r="C59" s="18" t="str" cm="1">
        <f t="array" ref="C59">IFERROR(IF(A59="","",IF(ISNUMBER(MATCH(TRUE,ISNUMBER(SEARCH($Q$2:$Q$51, $A59)),0))=TRUE,"United States of America",INDEX($S$2:$S$199,MATCH(TRUE,ISNUMBER(SEARCH($S$2:$S$199, $A59)),0)))),"United States of America")</f>
        <v>India</v>
      </c>
      <c r="D59" s="18" t="str" cm="1">
        <f t="array" ref="D59">IF(A59="","",IF(ISNUMBER(MATCH(TRUE,ISNUMBER(SEARCH($Q$2:$Q$51, $A59)),0))=TRUE,"",IF(ISNUMBER(MATCH(TRUE,ISNUMBER(SEARCH($S$2:$S$199, $A59)),0))=TRUE,"","미국 확인 필요")))</f>
        <v/>
      </c>
      <c r="F59" s="4" t="s">
        <v>824</v>
      </c>
      <c r="G59" s="255">
        <v>213</v>
      </c>
      <c r="H59" s="18" t="str" cm="1">
        <f t="array" ref="H59">IFERROR(IF(F59="","",IF(ISNUMBER(MATCH(TRUE,ISNUMBER(SEARCH($Q$2:$Q$51, $F59)),0))=TRUE,"United States of America",INDEX($S$2:$S$199,MATCH(TRUE,ISNUMBER(SEARCH($S$2:$S$199, $F59)),0)))),"United States of America")</f>
        <v>United States of America</v>
      </c>
      <c r="I59" s="18" t="str" cm="1">
        <f t="array" ref="I59">IF(F59="","",IF(ISNUMBER(MATCH(TRUE,ISNUMBER(SEARCH($Q$2:$Q$51, $F59)),0))=TRUE,"",IF(ISNUMBER(MATCH(TRUE,ISNUMBER(SEARCH($S$2:$S$199, $F59)),0))=TRUE,"","미국 확인 필요")))</f>
        <v>미국 확인 필요</v>
      </c>
      <c r="S59" s="86" t="s">
        <v>461</v>
      </c>
      <c r="T59" s="214">
        <f t="shared" si="0"/>
        <v>0</v>
      </c>
      <c r="U59" s="214" t="str">
        <f>IF(T59=0,"",RANK(T59,T:T,0)+COUNTIF(T$1:T58,T59))</f>
        <v/>
      </c>
      <c r="V59" s="214">
        <f t="shared" si="1"/>
        <v>0</v>
      </c>
      <c r="W59" s="214" t="str">
        <f>IF(V59=0,"",RANK(V59,V:V,0)+COUNTIF(V$1:V58,V59))</f>
        <v/>
      </c>
    </row>
    <row r="60" spans="1:23">
      <c r="A60" s="4" t="s">
        <v>851</v>
      </c>
      <c r="B60" s="255">
        <v>29</v>
      </c>
      <c r="C60" s="18" t="str" cm="1">
        <f t="array" ref="C60">IFERROR(IF(A60="","",IF(ISNUMBER(MATCH(TRUE,ISNUMBER(SEARCH($Q$2:$Q$51, $A60)),0))=TRUE,"United States of America",INDEX($S$2:$S$199,MATCH(TRUE,ISNUMBER(SEARCH($S$2:$S$199, $A60)),0)))),"United States of America")</f>
        <v>Taiwan</v>
      </c>
      <c r="D60" s="18" t="str" cm="1">
        <f t="array" ref="D60">IF(A60="","",IF(ISNUMBER(MATCH(TRUE,ISNUMBER(SEARCH($Q$2:$Q$51, $A60)),0))=TRUE,"",IF(ISNUMBER(MATCH(TRUE,ISNUMBER(SEARCH($S$2:$S$199, $A60)),0))=TRUE,"","미국 확인 필요")))</f>
        <v/>
      </c>
      <c r="F60" s="4" t="s">
        <v>883</v>
      </c>
      <c r="G60" s="255">
        <v>213</v>
      </c>
      <c r="H60" s="18" t="str" cm="1">
        <f t="array" ref="H60">IFERROR(IF(F60="","",IF(ISNUMBER(MATCH(TRUE,ISNUMBER(SEARCH($Q$2:$Q$51, $F60)),0))=TRUE,"United States of America",INDEX($S$2:$S$199,MATCH(TRUE,ISNUMBER(SEARCH($S$2:$S$199, $F60)),0)))),"United States of America")</f>
        <v>India</v>
      </c>
      <c r="I60" s="18" t="str" cm="1">
        <f t="array" ref="I60">IF(F60="","",IF(ISNUMBER(MATCH(TRUE,ISNUMBER(SEARCH($Q$2:$Q$51, $F60)),0))=TRUE,"",IF(ISNUMBER(MATCH(TRUE,ISNUMBER(SEARCH($S$2:$S$199, $F60)),0))=TRUE,"","미국 확인 필요")))</f>
        <v/>
      </c>
      <c r="S60" s="86" t="s">
        <v>462</v>
      </c>
      <c r="T60" s="214">
        <f t="shared" si="0"/>
        <v>0</v>
      </c>
      <c r="U60" s="214" t="str">
        <f>IF(T60=0,"",RANK(T60,T:T,0)+COUNTIF(T$1:T59,T60))</f>
        <v/>
      </c>
      <c r="V60" s="214">
        <f t="shared" si="1"/>
        <v>0</v>
      </c>
      <c r="W60" s="214" t="str">
        <f>IF(V60=0,"",RANK(V60,V:V,0)+COUNTIF(V$1:V59,V60))</f>
        <v/>
      </c>
    </row>
    <row r="61" spans="1:23">
      <c r="A61" s="4" t="s">
        <v>852</v>
      </c>
      <c r="B61" s="255">
        <v>118</v>
      </c>
      <c r="C61" s="18" t="str" cm="1">
        <f t="array" ref="C61">IFERROR(IF(A61="","",IF(ISNUMBER(MATCH(TRUE,ISNUMBER(SEARCH($Q$2:$Q$51, $A61)),0))=TRUE,"United States of America",INDEX($S$2:$S$199,MATCH(TRUE,ISNUMBER(SEARCH($S$2:$S$199, $A61)),0)))),"United States of America")</f>
        <v>France</v>
      </c>
      <c r="D61" s="18" t="str" cm="1">
        <f t="array" ref="D61">IF(A61="","",IF(ISNUMBER(MATCH(TRUE,ISNUMBER(SEARCH($Q$2:$Q$51, $A61)),0))=TRUE,"",IF(ISNUMBER(MATCH(TRUE,ISNUMBER(SEARCH($S$2:$S$199, $A61)),0))=TRUE,"","미국 확인 필요")))</f>
        <v/>
      </c>
      <c r="F61" s="4" t="s">
        <v>874</v>
      </c>
      <c r="G61" s="255">
        <v>209</v>
      </c>
      <c r="H61" s="18" t="str" cm="1">
        <f t="array" ref="H61">IFERROR(IF(F61="","",IF(ISNUMBER(MATCH(TRUE,ISNUMBER(SEARCH($Q$2:$Q$51, $F61)),0))=TRUE,"United States of America",INDEX($S$2:$S$199,MATCH(TRUE,ISNUMBER(SEARCH($S$2:$S$199, $F61)),0)))),"United States of America")</f>
        <v>United States of America</v>
      </c>
      <c r="I61" s="18" t="str" cm="1">
        <f t="array" ref="I61">IF(F61="","",IF(ISNUMBER(MATCH(TRUE,ISNUMBER(SEARCH($Q$2:$Q$51, $F61)),0))=TRUE,"",IF(ISNUMBER(MATCH(TRUE,ISNUMBER(SEARCH($S$2:$S$199, $F61)),0))=TRUE,"","미국 확인 필요")))</f>
        <v>미국 확인 필요</v>
      </c>
      <c r="S61" s="86" t="s">
        <v>463</v>
      </c>
      <c r="T61" s="214">
        <f t="shared" si="0"/>
        <v>0</v>
      </c>
      <c r="U61" s="214" t="str">
        <f>IF(T61=0,"",RANK(T61,T:T,0)+COUNTIF(T$1:T60,T61))</f>
        <v/>
      </c>
      <c r="V61" s="214">
        <f t="shared" si="1"/>
        <v>0</v>
      </c>
      <c r="W61" s="214" t="str">
        <f>IF(V61=0,"",RANK(V61,V:V,0)+COUNTIF(V$1:V60,V61))</f>
        <v/>
      </c>
    </row>
    <row r="62" spans="1:23">
      <c r="A62" s="4" t="s">
        <v>853</v>
      </c>
      <c r="B62" s="255">
        <v>223</v>
      </c>
      <c r="C62" s="18" t="str" cm="1">
        <f t="array" ref="C62">IFERROR(IF(A62="","",IF(ISNUMBER(MATCH(TRUE,ISNUMBER(SEARCH($Q$2:$Q$51, $A62)),0))=TRUE,"United States of America",INDEX($S$2:$S$199,MATCH(TRUE,ISNUMBER(SEARCH($S$2:$S$199, $A62)),0)))),"United States of America")</f>
        <v>United States of America</v>
      </c>
      <c r="D62" s="18" t="str" cm="1">
        <f t="array" ref="D62">IF(A62="","",IF(ISNUMBER(MATCH(TRUE,ISNUMBER(SEARCH($Q$2:$Q$51, $A62)),0))=TRUE,"",IF(ISNUMBER(MATCH(TRUE,ISNUMBER(SEARCH($S$2:$S$199, $A62)),0))=TRUE,"","미국 확인 필요")))</f>
        <v>미국 확인 필요</v>
      </c>
      <c r="F62" s="4" t="s">
        <v>908</v>
      </c>
      <c r="G62" s="255">
        <v>202</v>
      </c>
      <c r="H62" s="18" t="str" cm="1">
        <f t="array" ref="H62">IFERROR(IF(F62="","",IF(ISNUMBER(MATCH(TRUE,ISNUMBER(SEARCH($Q$2:$Q$51, $F62)),0))=TRUE,"United States of America",INDEX($S$2:$S$199,MATCH(TRUE,ISNUMBER(SEARCH($S$2:$S$199, $F62)),0)))),"United States of America")</f>
        <v>Poland</v>
      </c>
      <c r="I62" s="18" t="str" cm="1">
        <f t="array" ref="I62">IF(F62="","",IF(ISNUMBER(MATCH(TRUE,ISNUMBER(SEARCH($Q$2:$Q$51, $F62)),0))=TRUE,"",IF(ISNUMBER(MATCH(TRUE,ISNUMBER(SEARCH($S$2:$S$199, $F62)),0))=TRUE,"","미국 확인 필요")))</f>
        <v/>
      </c>
      <c r="S62" s="86" t="s">
        <v>464</v>
      </c>
      <c r="T62" s="214">
        <f t="shared" si="0"/>
        <v>0</v>
      </c>
      <c r="U62" s="214" t="str">
        <f>IF(T62=0,"",RANK(T62,T:T,0)+COUNTIF(T$1:T61,T62))</f>
        <v/>
      </c>
      <c r="V62" s="214">
        <f t="shared" si="1"/>
        <v>0</v>
      </c>
      <c r="W62" s="214" t="str">
        <f>IF(V62=0,"",RANK(V62,V:V,0)+COUNTIF(V$1:V61,V62))</f>
        <v/>
      </c>
    </row>
    <row r="63" spans="1:23">
      <c r="A63" s="4" t="s">
        <v>854</v>
      </c>
      <c r="B63" s="255">
        <v>38</v>
      </c>
      <c r="C63" s="18" t="str" cm="1">
        <f t="array" ref="C63">IFERROR(IF(A63="","",IF(ISNUMBER(MATCH(TRUE,ISNUMBER(SEARCH($Q$2:$Q$51, $A63)),0))=TRUE,"United States of America",INDEX($S$2:$S$199,MATCH(TRUE,ISNUMBER(SEARCH($S$2:$S$199, $A63)),0)))),"United States of America")</f>
        <v>Romania</v>
      </c>
      <c r="D63" s="18" t="str" cm="1">
        <f t="array" ref="D63">IF(A63="","",IF(ISNUMBER(MATCH(TRUE,ISNUMBER(SEARCH($Q$2:$Q$51, $A63)),0))=TRUE,"",IF(ISNUMBER(MATCH(TRUE,ISNUMBER(SEARCH($S$2:$S$199, $A63)),0))=TRUE,"","미국 확인 필요")))</f>
        <v/>
      </c>
      <c r="F63" s="4" t="s">
        <v>909</v>
      </c>
      <c r="G63" s="255">
        <v>200</v>
      </c>
      <c r="H63" s="18" t="str" cm="1">
        <f t="array" ref="H63">IFERROR(IF(F63="","",IF(ISNUMBER(MATCH(TRUE,ISNUMBER(SEARCH($Q$2:$Q$51, $F63)),0))=TRUE,"United States of America",INDEX($S$2:$S$199,MATCH(TRUE,ISNUMBER(SEARCH($S$2:$S$199, $F63)),0)))),"United States of America")</f>
        <v>Indonesia</v>
      </c>
      <c r="I63" s="18" t="str" cm="1">
        <f t="array" ref="I63">IF(F63="","",IF(ISNUMBER(MATCH(TRUE,ISNUMBER(SEARCH($Q$2:$Q$51, $F63)),0))=TRUE,"",IF(ISNUMBER(MATCH(TRUE,ISNUMBER(SEARCH($S$2:$S$199, $F63)),0))=TRUE,"","미국 확인 필요")))</f>
        <v/>
      </c>
      <c r="S63" s="86" t="s">
        <v>465</v>
      </c>
      <c r="T63" s="214">
        <f t="shared" si="0"/>
        <v>0</v>
      </c>
      <c r="U63" s="214" t="str">
        <f>IF(T63=0,"",RANK(T63,T:T,0)+COUNTIF(T$1:T62,T63))</f>
        <v/>
      </c>
      <c r="V63" s="214">
        <f t="shared" si="1"/>
        <v>0</v>
      </c>
      <c r="W63" s="214" t="str">
        <f>IF(V63=0,"",RANK(V63,V:V,0)+COUNTIF(V$1:V62,V63))</f>
        <v/>
      </c>
    </row>
    <row r="64" spans="1:23">
      <c r="A64" s="4" t="s">
        <v>855</v>
      </c>
      <c r="B64" s="255">
        <v>62</v>
      </c>
      <c r="C64" s="18" t="str" cm="1">
        <f t="array" ref="C64">IFERROR(IF(A64="","",IF(ISNUMBER(MATCH(TRUE,ISNUMBER(SEARCH($Q$2:$Q$51, $A64)),0))=TRUE,"United States of America",INDEX($S$2:$S$199,MATCH(TRUE,ISNUMBER(SEARCH($S$2:$S$199, $A64)),0)))),"United States of America")</f>
        <v>Italy</v>
      </c>
      <c r="D64" s="18" t="str" cm="1">
        <f t="array" ref="D64">IF(A64="","",IF(ISNUMBER(MATCH(TRUE,ISNUMBER(SEARCH($Q$2:$Q$51, $A64)),0))=TRUE,"",IF(ISNUMBER(MATCH(TRUE,ISNUMBER(SEARCH($S$2:$S$199, $A64)),0))=TRUE,"","미국 확인 필요")))</f>
        <v/>
      </c>
      <c r="F64" s="4" t="s">
        <v>910</v>
      </c>
      <c r="G64" s="255">
        <v>199</v>
      </c>
      <c r="H64" s="18" t="str" cm="1">
        <f t="array" ref="H64">IFERROR(IF(F64="","",IF(ISNUMBER(MATCH(TRUE,ISNUMBER(SEARCH($Q$2:$Q$51, $F64)),0))=TRUE,"United States of America",INDEX($S$2:$S$199,MATCH(TRUE,ISNUMBER(SEARCH($S$2:$S$199, $F64)),0)))),"United States of America")</f>
        <v>Korea</v>
      </c>
      <c r="I64" s="18" t="str" cm="1">
        <f t="array" ref="I64">IF(F64="","",IF(ISNUMBER(MATCH(TRUE,ISNUMBER(SEARCH($Q$2:$Q$51, $F64)),0))=TRUE,"",IF(ISNUMBER(MATCH(TRUE,ISNUMBER(SEARCH($S$2:$S$199, $F64)),0))=TRUE,"","미국 확인 필요")))</f>
        <v/>
      </c>
      <c r="S64" s="86" t="s">
        <v>466</v>
      </c>
      <c r="T64" s="214">
        <f t="shared" si="0"/>
        <v>0</v>
      </c>
      <c r="U64" s="214" t="str">
        <f>IF(T64=0,"",RANK(T64,T:T,0)+COUNTIF(T$1:T63,T64))</f>
        <v/>
      </c>
      <c r="V64" s="214">
        <f t="shared" si="1"/>
        <v>0</v>
      </c>
      <c r="W64" s="214" t="str">
        <f>IF(V64=0,"",RANK(V64,V:V,0)+COUNTIF(V$1:V63,V64))</f>
        <v/>
      </c>
    </row>
    <row r="65" spans="1:23">
      <c r="A65" s="4" t="s">
        <v>856</v>
      </c>
      <c r="B65" s="255">
        <v>46</v>
      </c>
      <c r="C65" s="18" t="str" cm="1">
        <f t="array" ref="C65">IFERROR(IF(A65="","",IF(ISNUMBER(MATCH(TRUE,ISNUMBER(SEARCH($Q$2:$Q$51, $A65)),0))=TRUE,"United States of America",INDEX($S$2:$S$199,MATCH(TRUE,ISNUMBER(SEARCH($S$2:$S$199, $A65)),0)))),"United States of America")</f>
        <v>India</v>
      </c>
      <c r="D65" s="18" t="str" cm="1">
        <f t="array" ref="D65">IF(A65="","",IF(ISNUMBER(MATCH(TRUE,ISNUMBER(SEARCH($Q$2:$Q$51, $A65)),0))=TRUE,"",IF(ISNUMBER(MATCH(TRUE,ISNUMBER(SEARCH($S$2:$S$199, $A65)),0))=TRUE,"","미국 확인 필요")))</f>
        <v/>
      </c>
      <c r="F65" s="4" t="s">
        <v>911</v>
      </c>
      <c r="G65" s="255">
        <v>199</v>
      </c>
      <c r="H65" s="18" t="str" cm="1">
        <f t="array" ref="H65">IFERROR(IF(F65="","",IF(ISNUMBER(MATCH(TRUE,ISNUMBER(SEARCH($Q$2:$Q$51, $F65)),0))=TRUE,"United States of America",INDEX($S$2:$S$199,MATCH(TRUE,ISNUMBER(SEARCH($S$2:$S$199, $F65)),0)))),"United States of America")</f>
        <v>United States of America</v>
      </c>
      <c r="I65" s="18" t="str" cm="1">
        <f t="array" ref="I65">IF(F65="","",IF(ISNUMBER(MATCH(TRUE,ISNUMBER(SEARCH($Q$2:$Q$51, $F65)),0))=TRUE,"",IF(ISNUMBER(MATCH(TRUE,ISNUMBER(SEARCH($S$2:$S$199, $F65)),0))=TRUE,"","미국 확인 필요")))</f>
        <v>미국 확인 필요</v>
      </c>
      <c r="S65" s="86" t="s">
        <v>467</v>
      </c>
      <c r="T65" s="214">
        <f t="shared" si="0"/>
        <v>0</v>
      </c>
      <c r="U65" s="214" t="str">
        <f>IF(T65=0,"",RANK(T65,T:T,0)+COUNTIF(T$1:T64,T65))</f>
        <v/>
      </c>
      <c r="V65" s="214">
        <f t="shared" si="1"/>
        <v>0</v>
      </c>
      <c r="W65" s="214" t="str">
        <f>IF(V65=0,"",RANK(V65,V:V,0)+COUNTIF(V$1:V64,V65))</f>
        <v/>
      </c>
    </row>
    <row r="66" spans="1:23">
      <c r="A66" s="4" t="s">
        <v>857</v>
      </c>
      <c r="B66" s="255">
        <v>196</v>
      </c>
      <c r="C66" s="18" t="str" cm="1">
        <f t="array" ref="C66">IFERROR(IF(A66="","",IF(ISNUMBER(MATCH(TRUE,ISNUMBER(SEARCH($Q$2:$Q$51, $A66)),0))=TRUE,"United States of America",INDEX($S$2:$S$199,MATCH(TRUE,ISNUMBER(SEARCH($S$2:$S$199, $A66)),0)))),"United States of America")</f>
        <v>Singapore</v>
      </c>
      <c r="D66" s="18" t="str" cm="1">
        <f t="array" ref="D66">IF(A66="","",IF(ISNUMBER(MATCH(TRUE,ISNUMBER(SEARCH($Q$2:$Q$51, $A66)),0))=TRUE,"",IF(ISNUMBER(MATCH(TRUE,ISNUMBER(SEARCH($S$2:$S$199, $A66)),0))=TRUE,"","미국 확인 필요")))</f>
        <v/>
      </c>
      <c r="F66" s="4" t="s">
        <v>829</v>
      </c>
      <c r="G66" s="255">
        <v>194</v>
      </c>
      <c r="H66" s="18" t="str" cm="1">
        <f t="array" ref="H66">IFERROR(IF(F66="","",IF(ISNUMBER(MATCH(TRUE,ISNUMBER(SEARCH($Q$2:$Q$51, $F66)),0))=TRUE,"United States of America",INDEX($S$2:$S$199,MATCH(TRUE,ISNUMBER(SEARCH($S$2:$S$199, $F66)),0)))),"United States of America")</f>
        <v>Canada</v>
      </c>
      <c r="I66" s="18" t="str" cm="1">
        <f t="array" ref="I66">IF(F66="","",IF(ISNUMBER(MATCH(TRUE,ISNUMBER(SEARCH($Q$2:$Q$51, $F66)),0))=TRUE,"",IF(ISNUMBER(MATCH(TRUE,ISNUMBER(SEARCH($S$2:$S$199, $F66)),0))=TRUE,"","미국 확인 필요")))</f>
        <v/>
      </c>
      <c r="S66" s="86" t="s">
        <v>468</v>
      </c>
      <c r="T66" s="214">
        <f t="shared" ref="T66:T129" si="6">SUMIF(C:C,S66,B:B)</f>
        <v>0</v>
      </c>
      <c r="U66" s="214" t="str">
        <f>IF(T66=0,"",RANK(T66,T:T,0)+COUNTIF(T$1:T65,T66))</f>
        <v/>
      </c>
      <c r="V66" s="214">
        <f t="shared" ref="V66:V129" si="7">SUMIF(H:H,S66,G:G)</f>
        <v>0</v>
      </c>
      <c r="W66" s="214" t="str">
        <f>IF(V66=0,"",RANK(V66,V:V,0)+COUNTIF(V$1:V65,V66))</f>
        <v/>
      </c>
    </row>
    <row r="67" spans="1:23">
      <c r="A67" s="4" t="s">
        <v>858</v>
      </c>
      <c r="B67" s="255">
        <v>111</v>
      </c>
      <c r="C67" s="18" t="str" cm="1">
        <f t="array" ref="C67">IFERROR(IF(A67="","",IF(ISNUMBER(MATCH(TRUE,ISNUMBER(SEARCH($Q$2:$Q$51, $A67)),0))=TRUE,"United States of America",INDEX($S$2:$S$199,MATCH(TRUE,ISNUMBER(SEARCH($S$2:$S$199, $A67)),0)))),"United States of America")</f>
        <v>India</v>
      </c>
      <c r="D67" s="18" t="str" cm="1">
        <f t="array" ref="D67">IF(A67="","",IF(ISNUMBER(MATCH(TRUE,ISNUMBER(SEARCH($Q$2:$Q$51, $A67)),0))=TRUE,"",IF(ISNUMBER(MATCH(TRUE,ISNUMBER(SEARCH($S$2:$S$199, $A67)),0))=TRUE,"","미국 확인 필요")))</f>
        <v/>
      </c>
      <c r="F67" s="4" t="s">
        <v>912</v>
      </c>
      <c r="G67" s="255">
        <v>189</v>
      </c>
      <c r="H67" s="18" t="str" cm="1">
        <f t="array" ref="H67">IFERROR(IF(F67="","",IF(ISNUMBER(MATCH(TRUE,ISNUMBER(SEARCH($Q$2:$Q$51, $F67)),0))=TRUE,"United States of America",INDEX($S$2:$S$199,MATCH(TRUE,ISNUMBER(SEARCH($S$2:$S$199, $F67)),0)))),"United States of America")</f>
        <v>Brazil</v>
      </c>
      <c r="I67" s="18" t="str" cm="1">
        <f t="array" ref="I67">IF(F67="","",IF(ISNUMBER(MATCH(TRUE,ISNUMBER(SEARCH($Q$2:$Q$51, $F67)),0))=TRUE,"",IF(ISNUMBER(MATCH(TRUE,ISNUMBER(SEARCH($S$2:$S$199, $F67)),0))=TRUE,"","미국 확인 필요")))</f>
        <v/>
      </c>
      <c r="S67" s="86" t="s">
        <v>469</v>
      </c>
      <c r="T67" s="214">
        <f t="shared" si="6"/>
        <v>0</v>
      </c>
      <c r="U67" s="214" t="str">
        <f>IF(T67=0,"",RANK(T67,T:T,0)+COUNTIF(T$1:T66,T67))</f>
        <v/>
      </c>
      <c r="V67" s="214">
        <f t="shared" si="7"/>
        <v>0</v>
      </c>
      <c r="W67" s="214" t="str">
        <f>IF(V67=0,"",RANK(V67,V:V,0)+COUNTIF(V$1:V66,V67))</f>
        <v/>
      </c>
    </row>
    <row r="68" spans="1:23">
      <c r="A68" s="4" t="s">
        <v>859</v>
      </c>
      <c r="B68" s="255">
        <v>224</v>
      </c>
      <c r="C68" s="18" t="str" cm="1">
        <f t="array" ref="C68">IFERROR(IF(A68="","",IF(ISNUMBER(MATCH(TRUE,ISNUMBER(SEARCH($Q$2:$Q$51, $A68)),0))=TRUE,"United States of America",INDEX($S$2:$S$199,MATCH(TRUE,ISNUMBER(SEARCH($S$2:$S$199, $A68)),0)))),"United States of America")</f>
        <v>United Kingdom</v>
      </c>
      <c r="D68" s="18" t="str" cm="1">
        <f t="array" ref="D68">IF(A68="","",IF(ISNUMBER(MATCH(TRUE,ISNUMBER(SEARCH($Q$2:$Q$51, $A68)),0))=TRUE,"",IF(ISNUMBER(MATCH(TRUE,ISNUMBER(SEARCH($S$2:$S$199, $A68)),0))=TRUE,"","미국 확인 필요")))</f>
        <v/>
      </c>
      <c r="F68" s="4" t="s">
        <v>913</v>
      </c>
      <c r="G68" s="255">
        <v>189</v>
      </c>
      <c r="H68" s="18" t="str" cm="1">
        <f t="array" ref="H68">IFERROR(IF(F68="","",IF(ISNUMBER(MATCH(TRUE,ISNUMBER(SEARCH($Q$2:$Q$51, $F68)),0))=TRUE,"United States of America",INDEX($S$2:$S$199,MATCH(TRUE,ISNUMBER(SEARCH($S$2:$S$199, $F68)),0)))),"United States of America")</f>
        <v>Chile</v>
      </c>
      <c r="I68" s="18" t="str" cm="1">
        <f t="array" ref="I68">IF(F68="","",IF(ISNUMBER(MATCH(TRUE,ISNUMBER(SEARCH($Q$2:$Q$51, $F68)),0))=TRUE,"",IF(ISNUMBER(MATCH(TRUE,ISNUMBER(SEARCH($S$2:$S$199, $F68)),0))=TRUE,"","미국 확인 필요")))</f>
        <v/>
      </c>
      <c r="S68" s="86" t="s">
        <v>470</v>
      </c>
      <c r="T68" s="214">
        <f t="shared" si="6"/>
        <v>0</v>
      </c>
      <c r="U68" s="214" t="str">
        <f>IF(T68=0,"",RANK(T68,T:T,0)+COUNTIF(T$1:T67,T68))</f>
        <v/>
      </c>
      <c r="V68" s="214">
        <f t="shared" si="7"/>
        <v>0</v>
      </c>
      <c r="W68" s="214" t="str">
        <f>IF(V68=0,"",RANK(V68,V:V,0)+COUNTIF(V$1:V67,V68))</f>
        <v/>
      </c>
    </row>
    <row r="69" spans="1:23">
      <c r="A69" s="4" t="s">
        <v>860</v>
      </c>
      <c r="B69" s="255">
        <v>37</v>
      </c>
      <c r="C69" s="18" t="str" cm="1">
        <f t="array" ref="C69">IFERROR(IF(A69="","",IF(ISNUMBER(MATCH(TRUE,ISNUMBER(SEARCH($Q$2:$Q$51, $A69)),0))=TRUE,"United States of America",INDEX($S$2:$S$199,MATCH(TRUE,ISNUMBER(SEARCH($S$2:$S$199, $A69)),0)))),"United States of America")</f>
        <v>Korea</v>
      </c>
      <c r="D69" s="18" t="str" cm="1">
        <f t="array" ref="D69">IF(A69="","",IF(ISNUMBER(MATCH(TRUE,ISNUMBER(SEARCH($Q$2:$Q$51, $A69)),0))=TRUE,"",IF(ISNUMBER(MATCH(TRUE,ISNUMBER(SEARCH($S$2:$S$199, $A69)),0))=TRUE,"","미국 확인 필요")))</f>
        <v/>
      </c>
      <c r="F69" s="4" t="s">
        <v>914</v>
      </c>
      <c r="G69" s="255">
        <v>188</v>
      </c>
      <c r="H69" s="18" t="str" cm="1">
        <f t="array" ref="H69">IFERROR(IF(F69="","",IF(ISNUMBER(MATCH(TRUE,ISNUMBER(SEARCH($Q$2:$Q$51, $F69)),0))=TRUE,"United States of America",INDEX($S$2:$S$199,MATCH(TRUE,ISNUMBER(SEARCH($S$2:$S$199, $F69)),0)))),"United States of America")</f>
        <v>India</v>
      </c>
      <c r="I69" s="18" t="str" cm="1">
        <f t="array" ref="I69">IF(F69="","",IF(ISNUMBER(MATCH(TRUE,ISNUMBER(SEARCH($Q$2:$Q$51, $F69)),0))=TRUE,"",IF(ISNUMBER(MATCH(TRUE,ISNUMBER(SEARCH($S$2:$S$199, $F69)),0))=TRUE,"","미국 확인 필요")))</f>
        <v/>
      </c>
      <c r="S69" s="86" t="s">
        <v>471</v>
      </c>
      <c r="T69" s="214">
        <f t="shared" si="6"/>
        <v>0</v>
      </c>
      <c r="U69" s="214" t="str">
        <f>IF(T69=0,"",RANK(T69,T:T,0)+COUNTIF(T$1:T68,T69))</f>
        <v/>
      </c>
      <c r="V69" s="214">
        <f t="shared" si="7"/>
        <v>0</v>
      </c>
      <c r="W69" s="214" t="str">
        <f>IF(V69=0,"",RANK(V69,V:V,0)+COUNTIF(V$1:V68,V69))</f>
        <v/>
      </c>
    </row>
    <row r="70" spans="1:23">
      <c r="A70" s="4" t="s">
        <v>861</v>
      </c>
      <c r="B70" s="255">
        <v>54</v>
      </c>
      <c r="C70" s="18" t="str" cm="1">
        <f t="array" ref="C70">IFERROR(IF(A70="","",IF(ISNUMBER(MATCH(TRUE,ISNUMBER(SEARCH($Q$2:$Q$51, $A70)),0))=TRUE,"United States of America",INDEX($S$2:$S$199,MATCH(TRUE,ISNUMBER(SEARCH($S$2:$S$199, $A70)),0)))),"United States of America")</f>
        <v>Korea</v>
      </c>
      <c r="D70" s="18" t="str" cm="1">
        <f t="array" ref="D70">IF(A70="","",IF(ISNUMBER(MATCH(TRUE,ISNUMBER(SEARCH($Q$2:$Q$51, $A70)),0))=TRUE,"",IF(ISNUMBER(MATCH(TRUE,ISNUMBER(SEARCH($S$2:$S$199, $A70)),0))=TRUE,"","미국 확인 필요")))</f>
        <v/>
      </c>
      <c r="F70" s="4" t="s">
        <v>915</v>
      </c>
      <c r="G70" s="255">
        <v>187</v>
      </c>
      <c r="H70" s="18" t="str" cm="1">
        <f t="array" ref="H70">IFERROR(IF(F70="","",IF(ISNUMBER(MATCH(TRUE,ISNUMBER(SEARCH($Q$2:$Q$51, $F70)),0))=TRUE,"United States of America",INDEX($S$2:$S$199,MATCH(TRUE,ISNUMBER(SEARCH($S$2:$S$199, $F70)),0)))),"United States of America")</f>
        <v>Malaysia</v>
      </c>
      <c r="I70" s="18" t="str" cm="1">
        <f t="array" ref="I70">IF(F70="","",IF(ISNUMBER(MATCH(TRUE,ISNUMBER(SEARCH($Q$2:$Q$51, $F70)),0))=TRUE,"",IF(ISNUMBER(MATCH(TRUE,ISNUMBER(SEARCH($S$2:$S$199, $F70)),0))=TRUE,"","미국 확인 필요")))</f>
        <v/>
      </c>
      <c r="S70" s="86" t="s">
        <v>472</v>
      </c>
      <c r="T70" s="214">
        <f t="shared" si="6"/>
        <v>0</v>
      </c>
      <c r="U70" s="214" t="str">
        <f>IF(T70=0,"",RANK(T70,T:T,0)+COUNTIF(T$1:T69,T70))</f>
        <v/>
      </c>
      <c r="V70" s="214">
        <f t="shared" si="7"/>
        <v>0</v>
      </c>
      <c r="W70" s="214" t="str">
        <f>IF(V70=0,"",RANK(V70,V:V,0)+COUNTIF(V$1:V69,V70))</f>
        <v/>
      </c>
    </row>
    <row r="71" spans="1:23">
      <c r="A71" s="4" t="s">
        <v>862</v>
      </c>
      <c r="B71" s="255">
        <v>44</v>
      </c>
      <c r="C71" s="18" t="str" cm="1">
        <f t="array" ref="C71">IFERROR(IF(A71="","",IF(ISNUMBER(MATCH(TRUE,ISNUMBER(SEARCH($Q$2:$Q$51, $A71)),0))=TRUE,"United States of America",INDEX($S$2:$S$199,MATCH(TRUE,ISNUMBER(SEARCH($S$2:$S$199, $A71)),0)))),"United States of America")</f>
        <v>Korea</v>
      </c>
      <c r="D71" s="18" t="str" cm="1">
        <f t="array" ref="D71">IF(A71="","",IF(ISNUMBER(MATCH(TRUE,ISNUMBER(SEARCH($Q$2:$Q$51, $A71)),0))=TRUE,"",IF(ISNUMBER(MATCH(TRUE,ISNUMBER(SEARCH($S$2:$S$199, $A71)),0))=TRUE,"","미국 확인 필요")))</f>
        <v/>
      </c>
      <c r="F71" s="4" t="s">
        <v>916</v>
      </c>
      <c r="G71" s="255">
        <v>184</v>
      </c>
      <c r="H71" s="18" t="str" cm="1">
        <f t="array" ref="H71">IFERROR(IF(F71="","",IF(ISNUMBER(MATCH(TRUE,ISNUMBER(SEARCH($Q$2:$Q$51, $F71)),0))=TRUE,"United States of America",INDEX($S$2:$S$199,MATCH(TRUE,ISNUMBER(SEARCH($S$2:$S$199, $F71)),0)))),"United States of America")</f>
        <v>China</v>
      </c>
      <c r="I71" s="18" t="str" cm="1">
        <f t="array" ref="I71">IF(F71="","",IF(ISNUMBER(MATCH(TRUE,ISNUMBER(SEARCH($Q$2:$Q$51, $F71)),0))=TRUE,"",IF(ISNUMBER(MATCH(TRUE,ISNUMBER(SEARCH($S$2:$S$199, $F71)),0))=TRUE,"","미국 확인 필요")))</f>
        <v/>
      </c>
      <c r="S71" s="86" t="s">
        <v>473</v>
      </c>
      <c r="T71" s="214">
        <f t="shared" si="6"/>
        <v>0</v>
      </c>
      <c r="U71" s="214" t="str">
        <f>IF(T71=0,"",RANK(T71,T:T,0)+COUNTIF(T$1:T70,T71))</f>
        <v/>
      </c>
      <c r="V71" s="214">
        <f t="shared" si="7"/>
        <v>0</v>
      </c>
      <c r="W71" s="214" t="str">
        <f>IF(V71=0,"",RANK(V71,V:V,0)+COUNTIF(V$1:V70,V71))</f>
        <v/>
      </c>
    </row>
    <row r="72" spans="1:23">
      <c r="A72" s="4" t="s">
        <v>863</v>
      </c>
      <c r="B72" s="255">
        <v>28</v>
      </c>
      <c r="C72" s="18" t="str" cm="1">
        <f t="array" ref="C72">IFERROR(IF(A72="","",IF(ISNUMBER(MATCH(TRUE,ISNUMBER(SEARCH($Q$2:$Q$51, $A72)),0))=TRUE,"United States of America",INDEX($S$2:$S$199,MATCH(TRUE,ISNUMBER(SEARCH($S$2:$S$199, $A72)),0)))),"United States of America")</f>
        <v>Korea</v>
      </c>
      <c r="D72" s="18" t="str" cm="1">
        <f t="array" ref="D72">IF(A72="","",IF(ISNUMBER(MATCH(TRUE,ISNUMBER(SEARCH($Q$2:$Q$51, $A72)),0))=TRUE,"",IF(ISNUMBER(MATCH(TRUE,ISNUMBER(SEARCH($S$2:$S$199, $A72)),0))=TRUE,"","미국 확인 필요")))</f>
        <v/>
      </c>
      <c r="F72" s="4" t="s">
        <v>872</v>
      </c>
      <c r="G72" s="255">
        <v>175</v>
      </c>
      <c r="H72" s="18" t="str" cm="1">
        <f t="array" ref="H72">IFERROR(IF(F72="","",IF(ISNUMBER(MATCH(TRUE,ISNUMBER(SEARCH($Q$2:$Q$51, $F72)),0))=TRUE,"United States of America",INDEX($S$2:$S$199,MATCH(TRUE,ISNUMBER(SEARCH($S$2:$S$199, $F72)),0)))),"United States of America")</f>
        <v>United States of America</v>
      </c>
      <c r="I72" s="18" t="str" cm="1">
        <f t="array" ref="I72">IF(F72="","",IF(ISNUMBER(MATCH(TRUE,ISNUMBER(SEARCH($Q$2:$Q$51, $F72)),0))=TRUE,"",IF(ISNUMBER(MATCH(TRUE,ISNUMBER(SEARCH($S$2:$S$199, $F72)),0))=TRUE,"","미국 확인 필요")))</f>
        <v>미국 확인 필요</v>
      </c>
      <c r="S72" s="86" t="s">
        <v>474</v>
      </c>
      <c r="T72" s="214">
        <f t="shared" si="6"/>
        <v>0</v>
      </c>
      <c r="U72" s="214" t="str">
        <f>IF(T72=0,"",RANK(T72,T:T,0)+COUNTIF(T$1:T71,T72))</f>
        <v/>
      </c>
      <c r="V72" s="214">
        <f t="shared" si="7"/>
        <v>0</v>
      </c>
      <c r="W72" s="214" t="str">
        <f>IF(V72=0,"",RANK(V72,V:V,0)+COUNTIF(V$1:V71,V72))</f>
        <v/>
      </c>
    </row>
    <row r="73" spans="1:23">
      <c r="A73" s="4" t="s">
        <v>864</v>
      </c>
      <c r="B73" s="255">
        <v>45</v>
      </c>
      <c r="C73" s="18" t="str" cm="1">
        <f t="array" ref="C73">IFERROR(IF(A73="","",IF(ISNUMBER(MATCH(TRUE,ISNUMBER(SEARCH($Q$2:$Q$51, $A73)),0))=TRUE,"United States of America",INDEX($S$2:$S$199,MATCH(TRUE,ISNUMBER(SEARCH($S$2:$S$199, $A73)),0)))),"United States of America")</f>
        <v>India</v>
      </c>
      <c r="D73" s="18" t="str" cm="1">
        <f t="array" ref="D73">IF(A73="","",IF(ISNUMBER(MATCH(TRUE,ISNUMBER(SEARCH($Q$2:$Q$51, $A73)),0))=TRUE,"",IF(ISNUMBER(MATCH(TRUE,ISNUMBER(SEARCH($S$2:$S$199, $A73)),0))=TRUE,"","미국 확인 필요")))</f>
        <v/>
      </c>
      <c r="F73" s="4" t="s">
        <v>854</v>
      </c>
      <c r="G73" s="255">
        <v>174</v>
      </c>
      <c r="H73" s="18" t="str" cm="1">
        <f t="array" ref="H73">IFERROR(IF(F73="","",IF(ISNUMBER(MATCH(TRUE,ISNUMBER(SEARCH($Q$2:$Q$51, $F73)),0))=TRUE,"United States of America",INDEX($S$2:$S$199,MATCH(TRUE,ISNUMBER(SEARCH($S$2:$S$199, $F73)),0)))),"United States of America")</f>
        <v>Romania</v>
      </c>
      <c r="I73" s="18" t="str" cm="1">
        <f t="array" ref="I73">IF(F73="","",IF(ISNUMBER(MATCH(TRUE,ISNUMBER(SEARCH($Q$2:$Q$51, $F73)),0))=TRUE,"",IF(ISNUMBER(MATCH(TRUE,ISNUMBER(SEARCH($S$2:$S$199, $F73)),0))=TRUE,"","미국 확인 필요")))</f>
        <v/>
      </c>
      <c r="S73" s="86" t="s">
        <v>475</v>
      </c>
      <c r="T73" s="214">
        <f t="shared" si="6"/>
        <v>0</v>
      </c>
      <c r="U73" s="214" t="str">
        <f>IF(T73=0,"",RANK(T73,T:T,0)+COUNTIF(T$1:T72,T73))</f>
        <v/>
      </c>
      <c r="V73" s="214">
        <f t="shared" si="7"/>
        <v>0</v>
      </c>
      <c r="W73" s="214" t="str">
        <f>IF(V73=0,"",RANK(V73,V:V,0)+COUNTIF(V$1:V72,V73))</f>
        <v/>
      </c>
    </row>
    <row r="74" spans="1:23">
      <c r="A74" s="4" t="s">
        <v>865</v>
      </c>
      <c r="B74" s="255">
        <v>70</v>
      </c>
      <c r="C74" s="18" t="str" cm="1">
        <f t="array" ref="C74">IFERROR(IF(A74="","",IF(ISNUMBER(MATCH(TRUE,ISNUMBER(SEARCH($Q$2:$Q$51, $A74)),0))=TRUE,"United States of America",INDEX($S$2:$S$199,MATCH(TRUE,ISNUMBER(SEARCH($S$2:$S$199, $A74)),0)))),"United States of America")</f>
        <v>United States of America</v>
      </c>
      <c r="D74" s="18" t="str" cm="1">
        <f t="array" ref="D74">IF(A74="","",IF(ISNUMBER(MATCH(TRUE,ISNUMBER(SEARCH($Q$2:$Q$51, $A74)),0))=TRUE,"",IF(ISNUMBER(MATCH(TRUE,ISNUMBER(SEARCH($S$2:$S$199, $A74)),0))=TRUE,"","미국 확인 필요")))</f>
        <v/>
      </c>
      <c r="F74" s="4" t="s">
        <v>844</v>
      </c>
      <c r="G74" s="255">
        <v>170</v>
      </c>
      <c r="H74" s="18" t="str" cm="1">
        <f t="array" ref="H74">IFERROR(IF(F74="","",IF(ISNUMBER(MATCH(TRUE,ISNUMBER(SEARCH($Q$2:$Q$51, $F74)),0))=TRUE,"United States of America",INDEX($S$2:$S$199,MATCH(TRUE,ISNUMBER(SEARCH($S$2:$S$199, $F74)),0)))),"United States of America")</f>
        <v>Poland</v>
      </c>
      <c r="I74" s="18" t="str" cm="1">
        <f t="array" ref="I74">IF(F74="","",IF(ISNUMBER(MATCH(TRUE,ISNUMBER(SEARCH($Q$2:$Q$51, $F74)),0))=TRUE,"",IF(ISNUMBER(MATCH(TRUE,ISNUMBER(SEARCH($S$2:$S$199, $F74)),0))=TRUE,"","미국 확인 필요")))</f>
        <v/>
      </c>
      <c r="S74" s="86" t="s">
        <v>476</v>
      </c>
      <c r="T74" s="214">
        <f t="shared" si="6"/>
        <v>0</v>
      </c>
      <c r="U74" s="214" t="str">
        <f>IF(T74=0,"",RANK(T74,T:T,0)+COUNTIF(T$1:T73,T74))</f>
        <v/>
      </c>
      <c r="V74" s="214">
        <f t="shared" si="7"/>
        <v>0</v>
      </c>
      <c r="W74" s="214" t="str">
        <f>IF(V74=0,"",RANK(V74,V:V,0)+COUNTIF(V$1:V73,V74))</f>
        <v/>
      </c>
    </row>
    <row r="75" spans="1:23">
      <c r="A75" s="4" t="s">
        <v>866</v>
      </c>
      <c r="B75" s="255">
        <v>23</v>
      </c>
      <c r="C75" s="18" t="str" cm="1">
        <f t="array" ref="C75">IFERROR(IF(A75="","",IF(ISNUMBER(MATCH(TRUE,ISNUMBER(SEARCH($Q$2:$Q$51, $A75)),0))=TRUE,"United States of America",INDEX($S$2:$S$199,MATCH(TRUE,ISNUMBER(SEARCH($S$2:$S$199, $A75)),0)))),"United States of America")</f>
        <v>Switzerland</v>
      </c>
      <c r="D75" s="18" t="str" cm="1">
        <f t="array" ref="D75">IF(A75="","",IF(ISNUMBER(MATCH(TRUE,ISNUMBER(SEARCH($Q$2:$Q$51, $A75)),0))=TRUE,"",IF(ISNUMBER(MATCH(TRUE,ISNUMBER(SEARCH($S$2:$S$199, $A75)),0))=TRUE,"","미국 확인 필요")))</f>
        <v/>
      </c>
      <c r="F75" s="4" t="s">
        <v>917</v>
      </c>
      <c r="G75" s="255">
        <v>170</v>
      </c>
      <c r="H75" s="18" t="str" cm="1">
        <f t="array" ref="H75">IFERROR(IF(F75="","",IF(ISNUMBER(MATCH(TRUE,ISNUMBER(SEARCH($Q$2:$Q$51, $F75)),0))=TRUE,"United States of America",INDEX($S$2:$S$199,MATCH(TRUE,ISNUMBER(SEARCH($S$2:$S$199, $F75)),0)))),"United States of America")</f>
        <v>Brazil</v>
      </c>
      <c r="I75" s="18" t="str" cm="1">
        <f t="array" ref="I75">IF(F75="","",IF(ISNUMBER(MATCH(TRUE,ISNUMBER(SEARCH($Q$2:$Q$51, $F75)),0))=TRUE,"",IF(ISNUMBER(MATCH(TRUE,ISNUMBER(SEARCH($S$2:$S$199, $F75)),0))=TRUE,"","미국 확인 필요")))</f>
        <v/>
      </c>
      <c r="S75" s="86" t="s">
        <v>477</v>
      </c>
      <c r="T75" s="214">
        <f t="shared" si="6"/>
        <v>0</v>
      </c>
      <c r="U75" s="214" t="str">
        <f>IF(T75=0,"",RANK(T75,T:T,0)+COUNTIF(T$1:T74,T75))</f>
        <v/>
      </c>
      <c r="V75" s="214">
        <f t="shared" si="7"/>
        <v>0</v>
      </c>
      <c r="W75" s="214" t="str">
        <f>IF(V75=0,"",RANK(V75,V:V,0)+COUNTIF(V$1:V74,V75))</f>
        <v/>
      </c>
    </row>
    <row r="76" spans="1:23">
      <c r="A76" s="4" t="s">
        <v>867</v>
      </c>
      <c r="B76" s="255">
        <v>3097</v>
      </c>
      <c r="C76" s="18" t="str" cm="1">
        <f t="array" ref="C76">IFERROR(IF(A76="","",IF(ISNUMBER(MATCH(TRUE,ISNUMBER(SEARCH($Q$2:$Q$51, $A76)),0))=TRUE,"United States of America",INDEX($S$2:$S$199,MATCH(TRUE,ISNUMBER(SEARCH($S$2:$S$199, $A76)),0)))),"United States of America")</f>
        <v>Korea</v>
      </c>
      <c r="D76" s="18" t="str" cm="1">
        <f t="array" ref="D76">IF(A76="","",IF(ISNUMBER(MATCH(TRUE,ISNUMBER(SEARCH($Q$2:$Q$51, $A76)),0))=TRUE,"",IF(ISNUMBER(MATCH(TRUE,ISNUMBER(SEARCH($S$2:$S$199, $A76)),0))=TRUE,"","미국 확인 필요")))</f>
        <v/>
      </c>
      <c r="F76" s="4" t="s">
        <v>918</v>
      </c>
      <c r="G76" s="255">
        <v>168</v>
      </c>
      <c r="H76" s="18" t="str" cm="1">
        <f t="array" ref="H76">IFERROR(IF(F76="","",IF(ISNUMBER(MATCH(TRUE,ISNUMBER(SEARCH($Q$2:$Q$51, $F76)),0))=TRUE,"United States of America",INDEX($S$2:$S$199,MATCH(TRUE,ISNUMBER(SEARCH($S$2:$S$199, $F76)),0)))),"United States of America")</f>
        <v>India</v>
      </c>
      <c r="I76" s="18" t="str" cm="1">
        <f t="array" ref="I76">IF(F76="","",IF(ISNUMBER(MATCH(TRUE,ISNUMBER(SEARCH($Q$2:$Q$51, $F76)),0))=TRUE,"",IF(ISNUMBER(MATCH(TRUE,ISNUMBER(SEARCH($S$2:$S$199, $F76)),0))=TRUE,"","미국 확인 필요")))</f>
        <v/>
      </c>
      <c r="S76" s="86" t="s">
        <v>478</v>
      </c>
      <c r="T76" s="214">
        <f t="shared" si="6"/>
        <v>0</v>
      </c>
      <c r="U76" s="214" t="str">
        <f>IF(T76=0,"",RANK(T76,T:T,0)+COUNTIF(T$1:T75,T76))</f>
        <v/>
      </c>
      <c r="V76" s="214">
        <f t="shared" si="7"/>
        <v>0</v>
      </c>
      <c r="W76" s="214" t="str">
        <f>IF(V76=0,"",RANK(V76,V:V,0)+COUNTIF(V$1:V75,V76))</f>
        <v/>
      </c>
    </row>
    <row r="77" spans="1:23">
      <c r="A77" s="4" t="s">
        <v>868</v>
      </c>
      <c r="B77" s="255">
        <v>124</v>
      </c>
      <c r="C77" s="18" t="str" cm="1">
        <f t="array" ref="C77">IFERROR(IF(A77="","",IF(ISNUMBER(MATCH(TRUE,ISNUMBER(SEARCH($Q$2:$Q$51, $A77)),0))=TRUE,"United States of America",INDEX($S$2:$S$199,MATCH(TRUE,ISNUMBER(SEARCH($S$2:$S$199, $A77)),0)))),"United States of America")</f>
        <v>United States of America</v>
      </c>
      <c r="D77" s="18" t="str" cm="1">
        <f t="array" ref="D77">IF(A77="","",IF(ISNUMBER(MATCH(TRUE,ISNUMBER(SEARCH($Q$2:$Q$51, $A77)),0))=TRUE,"",IF(ISNUMBER(MATCH(TRUE,ISNUMBER(SEARCH($S$2:$S$199, $A77)),0))=TRUE,"","미국 확인 필요")))</f>
        <v>미국 확인 필요</v>
      </c>
      <c r="F77" s="4" t="s">
        <v>843</v>
      </c>
      <c r="G77" s="255">
        <v>162</v>
      </c>
      <c r="H77" s="18" t="str" cm="1">
        <f t="array" ref="H77">IFERROR(IF(F77="","",IF(ISNUMBER(MATCH(TRUE,ISNUMBER(SEARCH($Q$2:$Q$51, $F77)),0))=TRUE,"United States of America",INDEX($S$2:$S$199,MATCH(TRUE,ISNUMBER(SEARCH($S$2:$S$199, $F77)),0)))),"United States of America")</f>
        <v>United States of America</v>
      </c>
      <c r="I77" s="18" t="str" cm="1">
        <f t="array" ref="I77">IF(F77="","",IF(ISNUMBER(MATCH(TRUE,ISNUMBER(SEARCH($Q$2:$Q$51, $F77)),0))=TRUE,"",IF(ISNUMBER(MATCH(TRUE,ISNUMBER(SEARCH($S$2:$S$199, $F77)),0))=TRUE,"","미국 확인 필요")))</f>
        <v>미국 확인 필요</v>
      </c>
      <c r="S77" s="86" t="s">
        <v>479</v>
      </c>
      <c r="T77" s="214">
        <f t="shared" si="6"/>
        <v>0</v>
      </c>
      <c r="U77" s="214" t="str">
        <f>IF(T77=0,"",RANK(T77,T:T,0)+COUNTIF(T$1:T76,T77))</f>
        <v/>
      </c>
      <c r="V77" s="214">
        <f t="shared" si="7"/>
        <v>0</v>
      </c>
      <c r="W77" s="214" t="str">
        <f>IF(V77=0,"",RANK(V77,V:V,0)+COUNTIF(V$1:V76,V77))</f>
        <v/>
      </c>
    </row>
    <row r="78" spans="1:23">
      <c r="A78" s="4" t="s">
        <v>869</v>
      </c>
      <c r="B78" s="255">
        <v>69</v>
      </c>
      <c r="C78" s="18" t="str" cm="1">
        <f t="array" ref="C78">IFERROR(IF(A78="","",IF(ISNUMBER(MATCH(TRUE,ISNUMBER(SEARCH($Q$2:$Q$51, $A78)),0))=TRUE,"United States of America",INDEX($S$2:$S$199,MATCH(TRUE,ISNUMBER(SEARCH($S$2:$S$199, $A78)),0)))),"United States of America")</f>
        <v>Spain</v>
      </c>
      <c r="D78" s="18" t="str" cm="1">
        <f t="array" ref="D78">IF(A78="","",IF(ISNUMBER(MATCH(TRUE,ISNUMBER(SEARCH($Q$2:$Q$51, $A78)),0))=TRUE,"",IF(ISNUMBER(MATCH(TRUE,ISNUMBER(SEARCH($S$2:$S$199, $A78)),0))=TRUE,"","미국 확인 필요")))</f>
        <v/>
      </c>
      <c r="F78" s="4" t="s">
        <v>811</v>
      </c>
      <c r="G78" s="255">
        <v>160</v>
      </c>
      <c r="H78" s="18" t="str" cm="1">
        <f t="array" ref="H78">IFERROR(IF(F78="","",IF(ISNUMBER(MATCH(TRUE,ISNUMBER(SEARCH($Q$2:$Q$51, $F78)),0))=TRUE,"United States of America",INDEX($S$2:$S$199,MATCH(TRUE,ISNUMBER(SEARCH($S$2:$S$199, $F78)),0)))),"United States of America")</f>
        <v>Mexico</v>
      </c>
      <c r="I78" s="18" t="str" cm="1">
        <f t="array" ref="I78">IF(F78="","",IF(ISNUMBER(MATCH(TRUE,ISNUMBER(SEARCH($Q$2:$Q$51, $F78)),0))=TRUE,"",IF(ISNUMBER(MATCH(TRUE,ISNUMBER(SEARCH($S$2:$S$199, $F78)),0))=TRUE,"","미국 확인 필요")))</f>
        <v/>
      </c>
      <c r="S78" s="86" t="s">
        <v>480</v>
      </c>
      <c r="T78" s="214">
        <f t="shared" si="6"/>
        <v>0</v>
      </c>
      <c r="U78" s="214" t="str">
        <f>IF(T78=0,"",RANK(T78,T:T,0)+COUNTIF(T$1:T77,T78))</f>
        <v/>
      </c>
      <c r="V78" s="214">
        <f t="shared" si="7"/>
        <v>0</v>
      </c>
      <c r="W78" s="214" t="str">
        <f>IF(V78=0,"",RANK(V78,V:V,0)+COUNTIF(V$1:V77,V78))</f>
        <v/>
      </c>
    </row>
    <row r="79" spans="1:23">
      <c r="A79" s="4" t="s">
        <v>870</v>
      </c>
      <c r="B79" s="255">
        <v>299</v>
      </c>
      <c r="C79" s="18" t="str" cm="1">
        <f t="array" ref="C79">IFERROR(IF(A79="","",IF(ISNUMBER(MATCH(TRUE,ISNUMBER(SEARCH($Q$2:$Q$51, $A79)),0))=TRUE,"United States of America",INDEX($S$2:$S$199,MATCH(TRUE,ISNUMBER(SEARCH($S$2:$S$199, $A79)),0)))),"United States of America")</f>
        <v>India</v>
      </c>
      <c r="D79" s="18" t="str" cm="1">
        <f t="array" ref="D79">IF(A79="","",IF(ISNUMBER(MATCH(TRUE,ISNUMBER(SEARCH($Q$2:$Q$51, $A79)),0))=TRUE,"",IF(ISNUMBER(MATCH(TRUE,ISNUMBER(SEARCH($S$2:$S$199, $A79)),0))=TRUE,"","미국 확인 필요")))</f>
        <v/>
      </c>
      <c r="F79" s="4" t="s">
        <v>919</v>
      </c>
      <c r="G79" s="255">
        <v>159</v>
      </c>
      <c r="H79" s="18" t="str" cm="1">
        <f t="array" ref="H79">IFERROR(IF(F79="","",IF(ISNUMBER(MATCH(TRUE,ISNUMBER(SEARCH($Q$2:$Q$51, $F79)),0))=TRUE,"United States of America",INDEX($S$2:$S$199,MATCH(TRUE,ISNUMBER(SEARCH($S$2:$S$199, $F79)),0)))),"United States of America")</f>
        <v>Brazil</v>
      </c>
      <c r="I79" s="18" t="str" cm="1">
        <f t="array" ref="I79">IF(F79="","",IF(ISNUMBER(MATCH(TRUE,ISNUMBER(SEARCH($Q$2:$Q$51, $F79)),0))=TRUE,"",IF(ISNUMBER(MATCH(TRUE,ISNUMBER(SEARCH($S$2:$S$199, $F79)),0))=TRUE,"","미국 확인 필요")))</f>
        <v/>
      </c>
      <c r="S79" s="86" t="s">
        <v>481</v>
      </c>
      <c r="T79" s="214">
        <f t="shared" si="6"/>
        <v>0</v>
      </c>
      <c r="U79" s="214" t="str">
        <f>IF(T79=0,"",RANK(T79,T:T,0)+COUNTIF(T$1:T78,T79))</f>
        <v/>
      </c>
      <c r="V79" s="214">
        <f t="shared" si="7"/>
        <v>0</v>
      </c>
      <c r="W79" s="214" t="str">
        <f>IF(V79=0,"",RANK(V79,V:V,0)+COUNTIF(V$1:V78,V79))</f>
        <v/>
      </c>
    </row>
    <row r="80" spans="1:23">
      <c r="A80" s="4" t="s">
        <v>871</v>
      </c>
      <c r="B80" s="255">
        <v>29</v>
      </c>
      <c r="C80" s="18" t="str" cm="1">
        <f t="array" ref="C80">IFERROR(IF(A80="","",IF(ISNUMBER(MATCH(TRUE,ISNUMBER(SEARCH($Q$2:$Q$51, $A80)),0))=TRUE,"United States of America",INDEX($S$2:$S$199,MATCH(TRUE,ISNUMBER(SEARCH($S$2:$S$199, $A80)),0)))),"United States of America")</f>
        <v>Philippines</v>
      </c>
      <c r="D80" s="18" t="str" cm="1">
        <f t="array" ref="D80">IF(A80="","",IF(ISNUMBER(MATCH(TRUE,ISNUMBER(SEARCH($Q$2:$Q$51, $A80)),0))=TRUE,"",IF(ISNUMBER(MATCH(TRUE,ISNUMBER(SEARCH($S$2:$S$199, $A80)),0))=TRUE,"","미국 확인 필요")))</f>
        <v/>
      </c>
      <c r="F80" s="4" t="s">
        <v>869</v>
      </c>
      <c r="G80" s="255">
        <v>157</v>
      </c>
      <c r="H80" s="18" t="str" cm="1">
        <f t="array" ref="H80">IFERROR(IF(F80="","",IF(ISNUMBER(MATCH(TRUE,ISNUMBER(SEARCH($Q$2:$Q$51, $F80)),0))=TRUE,"United States of America",INDEX($S$2:$S$199,MATCH(TRUE,ISNUMBER(SEARCH($S$2:$S$199, $F80)),0)))),"United States of America")</f>
        <v>Spain</v>
      </c>
      <c r="I80" s="18" t="str" cm="1">
        <f t="array" ref="I80">IF(F80="","",IF(ISNUMBER(MATCH(TRUE,ISNUMBER(SEARCH($Q$2:$Q$51, $F80)),0))=TRUE,"",IF(ISNUMBER(MATCH(TRUE,ISNUMBER(SEARCH($S$2:$S$199, $F80)),0))=TRUE,"","미국 확인 필요")))</f>
        <v/>
      </c>
      <c r="S80" s="86" t="s">
        <v>482</v>
      </c>
      <c r="T80" s="214">
        <f t="shared" si="6"/>
        <v>0</v>
      </c>
      <c r="U80" s="214" t="str">
        <f>IF(T80=0,"",RANK(T80,T:T,0)+COUNTIF(T$1:T79,T80))</f>
        <v/>
      </c>
      <c r="V80" s="214">
        <f t="shared" si="7"/>
        <v>0</v>
      </c>
      <c r="W80" s="214" t="str">
        <f>IF(V80=0,"",RANK(V80,V:V,0)+COUNTIF(V$1:V79,V80))</f>
        <v/>
      </c>
    </row>
    <row r="81" spans="1:23">
      <c r="A81" s="4" t="s">
        <v>872</v>
      </c>
      <c r="B81" s="255">
        <v>57</v>
      </c>
      <c r="C81" s="18" t="str" cm="1">
        <f t="array" ref="C81">IFERROR(IF(A81="","",IF(ISNUMBER(MATCH(TRUE,ISNUMBER(SEARCH($Q$2:$Q$51, $A81)),0))=TRUE,"United States of America",INDEX($S$2:$S$199,MATCH(TRUE,ISNUMBER(SEARCH($S$2:$S$199, $A81)),0)))),"United States of America")</f>
        <v>United States of America</v>
      </c>
      <c r="D81" s="18" t="str" cm="1">
        <f t="array" ref="D81">IF(A81="","",IF(ISNUMBER(MATCH(TRUE,ISNUMBER(SEARCH($Q$2:$Q$51, $A81)),0))=TRUE,"",IF(ISNUMBER(MATCH(TRUE,ISNUMBER(SEARCH($S$2:$S$199, $A81)),0))=TRUE,"","미국 확인 필요")))</f>
        <v>미국 확인 필요</v>
      </c>
      <c r="F81" s="4" t="s">
        <v>834</v>
      </c>
      <c r="G81" s="255">
        <v>153</v>
      </c>
      <c r="H81" s="18" t="str" cm="1">
        <f t="array" ref="H81">IFERROR(IF(F81="","",IF(ISNUMBER(MATCH(TRUE,ISNUMBER(SEARCH($Q$2:$Q$51, $F81)),0))=TRUE,"United States of America",INDEX($S$2:$S$199,MATCH(TRUE,ISNUMBER(SEARCH($S$2:$S$199, $F81)),0)))),"United States of America")</f>
        <v>Germany</v>
      </c>
      <c r="I81" s="18" t="str" cm="1">
        <f t="array" ref="I81">IF(F81="","",IF(ISNUMBER(MATCH(TRUE,ISNUMBER(SEARCH($Q$2:$Q$51, $F81)),0))=TRUE,"",IF(ISNUMBER(MATCH(TRUE,ISNUMBER(SEARCH($S$2:$S$199, $F81)),0))=TRUE,"","미국 확인 필요")))</f>
        <v/>
      </c>
      <c r="S81" s="86" t="s">
        <v>483</v>
      </c>
      <c r="T81" s="214">
        <f t="shared" si="6"/>
        <v>0</v>
      </c>
      <c r="U81" s="214" t="str">
        <f>IF(T81=0,"",RANK(T81,T:T,0)+COUNTIF(T$1:T80,T81))</f>
        <v/>
      </c>
      <c r="V81" s="214">
        <f t="shared" si="7"/>
        <v>0</v>
      </c>
      <c r="W81" s="214" t="str">
        <f>IF(V81=0,"",RANK(V81,V:V,0)+COUNTIF(V$1:V80,V81))</f>
        <v/>
      </c>
    </row>
    <row r="82" spans="1:23">
      <c r="A82" s="4" t="s">
        <v>873</v>
      </c>
      <c r="B82" s="255">
        <v>88</v>
      </c>
      <c r="C82" s="18" t="str" cm="1">
        <f t="array" ref="C82">IFERROR(IF(A82="","",IF(ISNUMBER(MATCH(TRUE,ISNUMBER(SEARCH($Q$2:$Q$51, $A82)),0))=TRUE,"United States of America",INDEX($S$2:$S$199,MATCH(TRUE,ISNUMBER(SEARCH($S$2:$S$199, $A82)),0)))),"United States of America")</f>
        <v>United States of America</v>
      </c>
      <c r="D82" s="18" t="str" cm="1">
        <f t="array" ref="D82">IF(A82="","",IF(ISNUMBER(MATCH(TRUE,ISNUMBER(SEARCH($Q$2:$Q$51, $A82)),0))=TRUE,"",IF(ISNUMBER(MATCH(TRUE,ISNUMBER(SEARCH($S$2:$S$199, $A82)),0))=TRUE,"","미국 확인 필요")))</f>
        <v>미국 확인 필요</v>
      </c>
      <c r="F82" s="4" t="s">
        <v>889</v>
      </c>
      <c r="G82" s="255">
        <v>152</v>
      </c>
      <c r="H82" s="18" t="str" cm="1">
        <f t="array" ref="H82">IFERROR(IF(F82="","",IF(ISNUMBER(MATCH(TRUE,ISNUMBER(SEARCH($Q$2:$Q$51, $F82)),0))=TRUE,"United States of America",INDEX($S$2:$S$199,MATCH(TRUE,ISNUMBER(SEARCH($S$2:$S$199, $F82)),0)))),"United States of America")</f>
        <v>Vietnam</v>
      </c>
      <c r="I82" s="18" t="str" cm="1">
        <f t="array" ref="I82">IF(F82="","",IF(ISNUMBER(MATCH(TRUE,ISNUMBER(SEARCH($Q$2:$Q$51, $F82)),0))=TRUE,"",IF(ISNUMBER(MATCH(TRUE,ISNUMBER(SEARCH($S$2:$S$199, $F82)),0))=TRUE,"","미국 확인 필요")))</f>
        <v/>
      </c>
      <c r="S82" s="86" t="s">
        <v>484</v>
      </c>
      <c r="T82" s="214">
        <f t="shared" si="6"/>
        <v>0</v>
      </c>
      <c r="U82" s="214" t="str">
        <f>IF(T82=0,"",RANK(T82,T:T,0)+COUNTIF(T$1:T81,T82))</f>
        <v/>
      </c>
      <c r="V82" s="214">
        <f t="shared" si="7"/>
        <v>0</v>
      </c>
      <c r="W82" s="214" t="str">
        <f>IF(V82=0,"",RANK(V82,V:V,0)+COUNTIF(V$1:V81,V82))</f>
        <v/>
      </c>
    </row>
    <row r="83" spans="1:23">
      <c r="A83" s="4" t="s">
        <v>874</v>
      </c>
      <c r="B83" s="255">
        <v>34</v>
      </c>
      <c r="C83" s="18" t="str" cm="1">
        <f t="array" ref="C83">IFERROR(IF(A83="","",IF(ISNUMBER(MATCH(TRUE,ISNUMBER(SEARCH($Q$2:$Q$51, $A83)),0))=TRUE,"United States of America",INDEX($S$2:$S$199,MATCH(TRUE,ISNUMBER(SEARCH($S$2:$S$199, $A83)),0)))),"United States of America")</f>
        <v>United States of America</v>
      </c>
      <c r="D83" s="18" t="str" cm="1">
        <f t="array" ref="D83">IF(A83="","",IF(ISNUMBER(MATCH(TRUE,ISNUMBER(SEARCH($Q$2:$Q$51, $A83)),0))=TRUE,"",IF(ISNUMBER(MATCH(TRUE,ISNUMBER(SEARCH($S$2:$S$199, $A83)),0))=TRUE,"","미국 확인 필요")))</f>
        <v>미국 확인 필요</v>
      </c>
      <c r="F83" s="4" t="s">
        <v>920</v>
      </c>
      <c r="G83" s="255">
        <v>151</v>
      </c>
      <c r="H83" s="18" t="str" cm="1">
        <f t="array" ref="H83">IFERROR(IF(F83="","",IF(ISNUMBER(MATCH(TRUE,ISNUMBER(SEARCH($Q$2:$Q$51, $F83)),0))=TRUE,"United States of America",INDEX($S$2:$S$199,MATCH(TRUE,ISNUMBER(SEARCH($S$2:$S$199, $F83)),0)))),"United States of America")</f>
        <v>Brazil</v>
      </c>
      <c r="I83" s="18" t="str" cm="1">
        <f t="array" ref="I83">IF(F83="","",IF(ISNUMBER(MATCH(TRUE,ISNUMBER(SEARCH($Q$2:$Q$51, $F83)),0))=TRUE,"",IF(ISNUMBER(MATCH(TRUE,ISNUMBER(SEARCH($S$2:$S$199, $F83)),0))=TRUE,"","미국 확인 필요")))</f>
        <v/>
      </c>
      <c r="S83" s="86" t="s">
        <v>485</v>
      </c>
      <c r="T83" s="214">
        <f t="shared" si="6"/>
        <v>0</v>
      </c>
      <c r="U83" s="214" t="str">
        <f>IF(T83=0,"",RANK(T83,T:T,0)+COUNTIF(T$1:T82,T83))</f>
        <v/>
      </c>
      <c r="V83" s="214">
        <f t="shared" si="7"/>
        <v>0</v>
      </c>
      <c r="W83" s="214" t="str">
        <f>IF(V83=0,"",RANK(V83,V:V,0)+COUNTIF(V$1:V82,V83))</f>
        <v/>
      </c>
    </row>
    <row r="84" spans="1:23">
      <c r="A84" s="4" t="s">
        <v>875</v>
      </c>
      <c r="B84" s="255">
        <v>46</v>
      </c>
      <c r="C84" s="18" t="str" cm="1">
        <f t="array" ref="C84">IFERROR(IF(A84="","",IF(ISNUMBER(MATCH(TRUE,ISNUMBER(SEARCH($Q$2:$Q$51, $A84)),0))=TRUE,"United States of America",INDEX($S$2:$S$199,MATCH(TRUE,ISNUMBER(SEARCH($S$2:$S$199, $A84)),0)))),"United States of America")</f>
        <v>India</v>
      </c>
      <c r="D84" s="18" t="str" cm="1">
        <f t="array" ref="D84">IF(A84="","",IF(ISNUMBER(MATCH(TRUE,ISNUMBER(SEARCH($Q$2:$Q$51, $A84)),0))=TRUE,"",IF(ISNUMBER(MATCH(TRUE,ISNUMBER(SEARCH($S$2:$S$199, $A84)),0))=TRUE,"","미국 확인 필요")))</f>
        <v/>
      </c>
      <c r="F84" s="4" t="s">
        <v>921</v>
      </c>
      <c r="G84" s="255">
        <v>151</v>
      </c>
      <c r="H84" s="18" t="str" cm="1">
        <f t="array" ref="H84">IFERROR(IF(F84="","",IF(ISNUMBER(MATCH(TRUE,ISNUMBER(SEARCH($Q$2:$Q$51, $F84)),0))=TRUE,"United States of America",INDEX($S$2:$S$199,MATCH(TRUE,ISNUMBER(SEARCH($S$2:$S$199, $F84)),0)))),"United States of America")</f>
        <v>Korea</v>
      </c>
      <c r="I84" s="18" t="str" cm="1">
        <f t="array" ref="I84">IF(F84="","",IF(ISNUMBER(MATCH(TRUE,ISNUMBER(SEARCH($Q$2:$Q$51, $F84)),0))=TRUE,"",IF(ISNUMBER(MATCH(TRUE,ISNUMBER(SEARCH($S$2:$S$199, $F84)),0))=TRUE,"","미국 확인 필요")))</f>
        <v/>
      </c>
      <c r="S84" s="86" t="s">
        <v>486</v>
      </c>
      <c r="T84" s="214">
        <f t="shared" si="6"/>
        <v>0</v>
      </c>
      <c r="U84" s="214" t="str">
        <f>IF(T84=0,"",RANK(T84,T:T,0)+COUNTIF(T$1:T83,T84))</f>
        <v/>
      </c>
      <c r="V84" s="214">
        <f t="shared" si="7"/>
        <v>0</v>
      </c>
      <c r="W84" s="214" t="str">
        <f>IF(V84=0,"",RANK(V84,V:V,0)+COUNTIF(V$1:V83,V84))</f>
        <v/>
      </c>
    </row>
    <row r="85" spans="1:23">
      <c r="A85" s="4" t="s">
        <v>876</v>
      </c>
      <c r="B85" s="255">
        <v>22</v>
      </c>
      <c r="C85" s="18" t="str" cm="1">
        <f t="array" ref="C85">IFERROR(IF(A85="","",IF(ISNUMBER(MATCH(TRUE,ISNUMBER(SEARCH($Q$2:$Q$51, $A85)),0))=TRUE,"United States of America",INDEX($S$2:$S$199,MATCH(TRUE,ISNUMBER(SEARCH($S$2:$S$199, $A85)),0)))),"United States of America")</f>
        <v>India</v>
      </c>
      <c r="D85" s="18" t="str" cm="1">
        <f t="array" ref="D85">IF(A85="","",IF(ISNUMBER(MATCH(TRUE,ISNUMBER(SEARCH($Q$2:$Q$51, $A85)),0))=TRUE,"",IF(ISNUMBER(MATCH(TRUE,ISNUMBER(SEARCH($S$2:$S$199, $A85)),0))=TRUE,"","미국 확인 필요")))</f>
        <v/>
      </c>
      <c r="F85" s="4" t="s">
        <v>922</v>
      </c>
      <c r="G85" s="255">
        <v>148</v>
      </c>
      <c r="H85" s="18" t="str" cm="1">
        <f t="array" ref="H85">IFERROR(IF(F85="","",IF(ISNUMBER(MATCH(TRUE,ISNUMBER(SEARCH($Q$2:$Q$51, $F85)),0))=TRUE,"United States of America",INDEX($S$2:$S$199,MATCH(TRUE,ISNUMBER(SEARCH($S$2:$S$199, $F85)),0)))),"United States of America")</f>
        <v>Italy</v>
      </c>
      <c r="I85" s="18" t="str" cm="1">
        <f t="array" ref="I85">IF(F85="","",IF(ISNUMBER(MATCH(TRUE,ISNUMBER(SEARCH($Q$2:$Q$51, $F85)),0))=TRUE,"",IF(ISNUMBER(MATCH(TRUE,ISNUMBER(SEARCH($S$2:$S$199, $F85)),0))=TRUE,"","미국 확인 필요")))</f>
        <v/>
      </c>
      <c r="S85" s="86" t="s">
        <v>487</v>
      </c>
      <c r="T85" s="214">
        <f t="shared" si="6"/>
        <v>0</v>
      </c>
      <c r="U85" s="214" t="str">
        <f>IF(T85=0,"",RANK(T85,T:T,0)+COUNTIF(T$1:T84,T85))</f>
        <v/>
      </c>
      <c r="V85" s="214">
        <f t="shared" si="7"/>
        <v>0</v>
      </c>
      <c r="W85" s="214" t="str">
        <f>IF(V85=0,"",RANK(V85,V:V,0)+COUNTIF(V$1:V84,V85))</f>
        <v/>
      </c>
    </row>
    <row r="86" spans="1:23">
      <c r="A86" s="4" t="s">
        <v>877</v>
      </c>
      <c r="B86" s="255">
        <v>26</v>
      </c>
      <c r="C86" s="18" t="str" cm="1">
        <f t="array" ref="C86">IFERROR(IF(A86="","",IF(ISNUMBER(MATCH(TRUE,ISNUMBER(SEARCH($Q$2:$Q$51, $A86)),0))=TRUE,"United States of America",INDEX($S$2:$S$199,MATCH(TRUE,ISNUMBER(SEARCH($S$2:$S$199, $A86)),0)))),"United States of America")</f>
        <v>United States of America</v>
      </c>
      <c r="D86" s="18" t="str" cm="1">
        <f t="array" ref="D86">IF(A86="","",IF(ISNUMBER(MATCH(TRUE,ISNUMBER(SEARCH($Q$2:$Q$51, $A86)),0))=TRUE,"",IF(ISNUMBER(MATCH(TRUE,ISNUMBER(SEARCH($S$2:$S$199, $A86)),0))=TRUE,"","미국 확인 필요")))</f>
        <v/>
      </c>
      <c r="F86" s="4" t="s">
        <v>891</v>
      </c>
      <c r="G86" s="255">
        <v>148</v>
      </c>
      <c r="H86" s="18" t="str" cm="1">
        <f t="array" ref="H86">IFERROR(IF(F86="","",IF(ISNUMBER(MATCH(TRUE,ISNUMBER(SEARCH($Q$2:$Q$51, $F86)),0))=TRUE,"United States of America",INDEX($S$2:$S$199,MATCH(TRUE,ISNUMBER(SEARCH($S$2:$S$199, $F86)),0)))),"United States of America")</f>
        <v>United States of America</v>
      </c>
      <c r="I86" s="18" t="str" cm="1">
        <f t="array" ref="I86">IF(F86="","",IF(ISNUMBER(MATCH(TRUE,ISNUMBER(SEARCH($Q$2:$Q$51, $F86)),0))=TRUE,"",IF(ISNUMBER(MATCH(TRUE,ISNUMBER(SEARCH($S$2:$S$199, $F86)),0))=TRUE,"","미국 확인 필요")))</f>
        <v>미국 확인 필요</v>
      </c>
      <c r="S86" s="86" t="s">
        <v>488</v>
      </c>
      <c r="T86" s="214">
        <f t="shared" si="6"/>
        <v>0</v>
      </c>
      <c r="U86" s="214" t="str">
        <f>IF(T86=0,"",RANK(T86,T:T,0)+COUNTIF(T$1:T85,T86))</f>
        <v/>
      </c>
      <c r="V86" s="214">
        <f t="shared" si="7"/>
        <v>0</v>
      </c>
      <c r="W86" s="214" t="str">
        <f>IF(V86=0,"",RANK(V86,V:V,0)+COUNTIF(V$1:V85,V86))</f>
        <v/>
      </c>
    </row>
    <row r="87" spans="1:23">
      <c r="A87" s="4" t="s">
        <v>878</v>
      </c>
      <c r="B87" s="255">
        <v>23</v>
      </c>
      <c r="C87" s="18" t="str" cm="1">
        <f t="array" ref="C87">IFERROR(IF(A87="","",IF(ISNUMBER(MATCH(TRUE,ISNUMBER(SEARCH($Q$2:$Q$51, $A87)),0))=TRUE,"United States of America",INDEX($S$2:$S$199,MATCH(TRUE,ISNUMBER(SEARCH($S$2:$S$199, $A87)),0)))),"United States of America")</f>
        <v>United States of America</v>
      </c>
      <c r="D87" s="18" t="str" cm="1">
        <f t="array" ref="D87">IF(A87="","",IF(ISNUMBER(MATCH(TRUE,ISNUMBER(SEARCH($Q$2:$Q$51, $A87)),0))=TRUE,"",IF(ISNUMBER(MATCH(TRUE,ISNUMBER(SEARCH($S$2:$S$199, $A87)),0))=TRUE,"","미국 확인 필요")))</f>
        <v>미국 확인 필요</v>
      </c>
      <c r="F87" s="4" t="s">
        <v>923</v>
      </c>
      <c r="G87" s="255">
        <v>140</v>
      </c>
      <c r="H87" s="18" t="str" cm="1">
        <f t="array" ref="H87">IFERROR(IF(F87="","",IF(ISNUMBER(MATCH(TRUE,ISNUMBER(SEARCH($Q$2:$Q$51, $F87)),0))=TRUE,"United States of America",INDEX($S$2:$S$199,MATCH(TRUE,ISNUMBER(SEARCH($S$2:$S$199, $F87)),0)))),"United States of America")</f>
        <v>Germany</v>
      </c>
      <c r="I87" s="18" t="str" cm="1">
        <f t="array" ref="I87">IF(F87="","",IF(ISNUMBER(MATCH(TRUE,ISNUMBER(SEARCH($Q$2:$Q$51, $F87)),0))=TRUE,"",IF(ISNUMBER(MATCH(TRUE,ISNUMBER(SEARCH($S$2:$S$199, $F87)),0))=TRUE,"","미국 확인 필요")))</f>
        <v/>
      </c>
      <c r="S87" s="86" t="s">
        <v>489</v>
      </c>
      <c r="T87" s="214">
        <f t="shared" si="6"/>
        <v>0</v>
      </c>
      <c r="U87" s="214" t="str">
        <f>IF(T87=0,"",RANK(T87,T:T,0)+COUNTIF(T$1:T86,T87))</f>
        <v/>
      </c>
      <c r="V87" s="214">
        <f t="shared" si="7"/>
        <v>0</v>
      </c>
      <c r="W87" s="214" t="str">
        <f>IF(V87=0,"",RANK(V87,V:V,0)+COUNTIF(V$1:V86,V87))</f>
        <v/>
      </c>
    </row>
    <row r="88" spans="1:23">
      <c r="A88" s="4" t="s">
        <v>879</v>
      </c>
      <c r="B88" s="255">
        <v>43</v>
      </c>
      <c r="C88" s="18" t="str" cm="1">
        <f t="array" ref="C88">IFERROR(IF(A88="","",IF(ISNUMBER(MATCH(TRUE,ISNUMBER(SEARCH($Q$2:$Q$51, $A88)),0))=TRUE,"United States of America",INDEX($S$2:$S$199,MATCH(TRUE,ISNUMBER(SEARCH($S$2:$S$199, $A88)),0)))),"United States of America")</f>
        <v>United States of America</v>
      </c>
      <c r="D88" s="18" t="str" cm="1">
        <f t="array" ref="D88">IF(A88="","",IF(ISNUMBER(MATCH(TRUE,ISNUMBER(SEARCH($Q$2:$Q$51, $A88)),0))=TRUE,"",IF(ISNUMBER(MATCH(TRUE,ISNUMBER(SEARCH($S$2:$S$199, $A88)),0))=TRUE,"","미국 확인 필요")))</f>
        <v>미국 확인 필요</v>
      </c>
      <c r="F88" s="4" t="s">
        <v>817</v>
      </c>
      <c r="G88" s="255">
        <v>139</v>
      </c>
      <c r="H88" s="18" t="str" cm="1">
        <f t="array" ref="H88">IFERROR(IF(F88="","",IF(ISNUMBER(MATCH(TRUE,ISNUMBER(SEARCH($Q$2:$Q$51, $F88)),0))=TRUE,"United States of America",INDEX($S$2:$S$199,MATCH(TRUE,ISNUMBER(SEARCH($S$2:$S$199, $F88)),0)))),"United States of America")</f>
        <v>United States of America</v>
      </c>
      <c r="I88" s="18" t="str" cm="1">
        <f t="array" ref="I88">IF(F88="","",IF(ISNUMBER(MATCH(TRUE,ISNUMBER(SEARCH($Q$2:$Q$51, $F88)),0))=TRUE,"",IF(ISNUMBER(MATCH(TRUE,ISNUMBER(SEARCH($S$2:$S$199, $F88)),0))=TRUE,"","미국 확인 필요")))</f>
        <v>미국 확인 필요</v>
      </c>
      <c r="S88" s="86" t="s">
        <v>490</v>
      </c>
      <c r="T88" s="214">
        <f t="shared" si="6"/>
        <v>0</v>
      </c>
      <c r="U88" s="214" t="str">
        <f>IF(T88=0,"",RANK(T88,T:T,0)+COUNTIF(T$1:T87,T88))</f>
        <v/>
      </c>
      <c r="V88" s="214">
        <f t="shared" si="7"/>
        <v>0</v>
      </c>
      <c r="W88" s="214" t="str">
        <f>IF(V88=0,"",RANK(V88,V:V,0)+COUNTIF(V$1:V87,V88))</f>
        <v/>
      </c>
    </row>
    <row r="89" spans="1:23">
      <c r="A89" s="4" t="s">
        <v>880</v>
      </c>
      <c r="B89" s="255">
        <v>16</v>
      </c>
      <c r="C89" s="18" t="str" cm="1">
        <f t="array" ref="C89">IFERROR(IF(A89="","",IF(ISNUMBER(MATCH(TRUE,ISNUMBER(SEARCH($Q$2:$Q$51, $A89)),0))=TRUE,"United States of America",INDEX($S$2:$S$199,MATCH(TRUE,ISNUMBER(SEARCH($S$2:$S$199, $A89)),0)))),"United States of America")</f>
        <v>United Kingdom</v>
      </c>
      <c r="D89" s="18" t="str" cm="1">
        <f t="array" ref="D89">IF(A89="","",IF(ISNUMBER(MATCH(TRUE,ISNUMBER(SEARCH($Q$2:$Q$51, $A89)),0))=TRUE,"",IF(ISNUMBER(MATCH(TRUE,ISNUMBER(SEARCH($S$2:$S$199, $A89)),0))=TRUE,"","미국 확인 필요")))</f>
        <v/>
      </c>
      <c r="F89" s="4" t="s">
        <v>924</v>
      </c>
      <c r="G89" s="255">
        <v>132</v>
      </c>
      <c r="H89" s="18" t="str" cm="1">
        <f t="array" ref="H89">IFERROR(IF(F89="","",IF(ISNUMBER(MATCH(TRUE,ISNUMBER(SEARCH($Q$2:$Q$51, $F89)),0))=TRUE,"United States of America",INDEX($S$2:$S$199,MATCH(TRUE,ISNUMBER(SEARCH($S$2:$S$199, $F89)),0)))),"United States of America")</f>
        <v>Australia</v>
      </c>
      <c r="I89" s="18" t="str" cm="1">
        <f t="array" ref="I89">IF(F89="","",IF(ISNUMBER(MATCH(TRUE,ISNUMBER(SEARCH($Q$2:$Q$51, $F89)),0))=TRUE,"",IF(ISNUMBER(MATCH(TRUE,ISNUMBER(SEARCH($S$2:$S$199, $F89)),0))=TRUE,"","미국 확인 필요")))</f>
        <v/>
      </c>
      <c r="S89" s="86" t="s">
        <v>491</v>
      </c>
      <c r="T89" s="214">
        <f t="shared" si="6"/>
        <v>0</v>
      </c>
      <c r="U89" s="214" t="str">
        <f>IF(T89=0,"",RANK(T89,T:T,0)+COUNTIF(T$1:T88,T89))</f>
        <v/>
      </c>
      <c r="V89" s="214">
        <f t="shared" si="7"/>
        <v>0</v>
      </c>
      <c r="W89" s="214" t="str">
        <f>IF(V89=0,"",RANK(V89,V:V,0)+COUNTIF(V$1:V88,V89))</f>
        <v/>
      </c>
    </row>
    <row r="90" spans="1:23">
      <c r="A90" s="4" t="s">
        <v>881</v>
      </c>
      <c r="B90" s="255">
        <v>38</v>
      </c>
      <c r="C90" s="18" t="str" cm="1">
        <f t="array" ref="C90">IFERROR(IF(A90="","",IF(ISNUMBER(MATCH(TRUE,ISNUMBER(SEARCH($Q$2:$Q$51, $A90)),0))=TRUE,"United States of America",INDEX($S$2:$S$199,MATCH(TRUE,ISNUMBER(SEARCH($S$2:$S$199, $A90)),0)))),"United States of America")</f>
        <v>United Kingdom</v>
      </c>
      <c r="D90" s="18" t="str" cm="1">
        <f t="array" ref="D90">IF(A90="","",IF(ISNUMBER(MATCH(TRUE,ISNUMBER(SEARCH($Q$2:$Q$51, $A90)),0))=TRUE,"",IF(ISNUMBER(MATCH(TRUE,ISNUMBER(SEARCH($S$2:$S$199, $A90)),0))=TRUE,"","미국 확인 필요")))</f>
        <v/>
      </c>
      <c r="F90" s="4" t="s">
        <v>925</v>
      </c>
      <c r="G90" s="255">
        <v>131</v>
      </c>
      <c r="H90" s="18" t="str" cm="1">
        <f t="array" ref="H90">IFERROR(IF(F90="","",IF(ISNUMBER(MATCH(TRUE,ISNUMBER(SEARCH($Q$2:$Q$51, $F90)),0))=TRUE,"United States of America",INDEX($S$2:$S$199,MATCH(TRUE,ISNUMBER(SEARCH($S$2:$S$199, $F90)),0)))),"United States of America")</f>
        <v>Peru</v>
      </c>
      <c r="I90" s="18" t="str" cm="1">
        <f t="array" ref="I90">IF(F90="","",IF(ISNUMBER(MATCH(TRUE,ISNUMBER(SEARCH($Q$2:$Q$51, $F90)),0))=TRUE,"",IF(ISNUMBER(MATCH(TRUE,ISNUMBER(SEARCH($S$2:$S$199, $F90)),0))=TRUE,"","미국 확인 필요")))</f>
        <v/>
      </c>
      <c r="S90" s="86" t="s">
        <v>492</v>
      </c>
      <c r="T90" s="214">
        <f t="shared" si="6"/>
        <v>0</v>
      </c>
      <c r="U90" s="214" t="str">
        <f>IF(T90=0,"",RANK(T90,T:T,0)+COUNTIF(T$1:T89,T90))</f>
        <v/>
      </c>
      <c r="V90" s="214">
        <f t="shared" si="7"/>
        <v>0</v>
      </c>
      <c r="W90" s="214" t="str">
        <f>IF(V90=0,"",RANK(V90,V:V,0)+COUNTIF(V$1:V89,V90))</f>
        <v/>
      </c>
    </row>
    <row r="91" spans="1:23">
      <c r="A91" s="4" t="s">
        <v>882</v>
      </c>
      <c r="B91" s="255">
        <v>420</v>
      </c>
      <c r="C91" s="18" t="str" cm="1">
        <f t="array" ref="C91">IFERROR(IF(A91="","",IF(ISNUMBER(MATCH(TRUE,ISNUMBER(SEARCH($Q$2:$Q$51, $A91)),0))=TRUE,"United States of America",INDEX($S$2:$S$199,MATCH(TRUE,ISNUMBER(SEARCH($S$2:$S$199, $A91)),0)))),"United States of America")</f>
        <v>India</v>
      </c>
      <c r="D91" s="18" t="str" cm="1">
        <f t="array" ref="D91">IF(A91="","",IF(ISNUMBER(MATCH(TRUE,ISNUMBER(SEARCH($Q$2:$Q$51, $A91)),0))=TRUE,"",IF(ISNUMBER(MATCH(TRUE,ISNUMBER(SEARCH($S$2:$S$199, $A91)),0))=TRUE,"","미국 확인 필요")))</f>
        <v/>
      </c>
      <c r="F91" s="4" t="s">
        <v>926</v>
      </c>
      <c r="G91" s="255">
        <v>130</v>
      </c>
      <c r="H91" s="18" t="str" cm="1">
        <f t="array" ref="H91">IFERROR(IF(F91="","",IF(ISNUMBER(MATCH(TRUE,ISNUMBER(SEARCH($Q$2:$Q$51, $F91)),0))=TRUE,"United States of America",INDEX($S$2:$S$199,MATCH(TRUE,ISNUMBER(SEARCH($S$2:$S$199, $F91)),0)))),"United States of America")</f>
        <v>India</v>
      </c>
      <c r="I91" s="18" t="str" cm="1">
        <f t="array" ref="I91">IF(F91="","",IF(ISNUMBER(MATCH(TRUE,ISNUMBER(SEARCH($Q$2:$Q$51, $F91)),0))=TRUE,"",IF(ISNUMBER(MATCH(TRUE,ISNUMBER(SEARCH($S$2:$S$199, $F91)),0))=TRUE,"","미국 확인 필요")))</f>
        <v/>
      </c>
      <c r="S91" s="86" t="s">
        <v>493</v>
      </c>
      <c r="T91" s="214">
        <f t="shared" si="6"/>
        <v>0</v>
      </c>
      <c r="U91" s="214" t="str">
        <f>IF(T91=0,"",RANK(T91,T:T,0)+COUNTIF(T$1:T90,T91))</f>
        <v/>
      </c>
      <c r="V91" s="214">
        <f t="shared" si="7"/>
        <v>0</v>
      </c>
      <c r="W91" s="214" t="str">
        <f>IF(V91=0,"",RANK(V91,V:V,0)+COUNTIF(V$1:V90,V91))</f>
        <v/>
      </c>
    </row>
    <row r="92" spans="1:23">
      <c r="A92" s="4" t="s">
        <v>883</v>
      </c>
      <c r="B92" s="255">
        <v>26</v>
      </c>
      <c r="C92" s="18" t="str" cm="1">
        <f t="array" ref="C92">IFERROR(IF(A92="","",IF(ISNUMBER(MATCH(TRUE,ISNUMBER(SEARCH($Q$2:$Q$51, $A92)),0))=TRUE,"United States of America",INDEX($S$2:$S$199,MATCH(TRUE,ISNUMBER(SEARCH($S$2:$S$199, $A92)),0)))),"United States of America")</f>
        <v>India</v>
      </c>
      <c r="D92" s="18" t="str" cm="1">
        <f t="array" ref="D92">IF(A92="","",IF(ISNUMBER(MATCH(TRUE,ISNUMBER(SEARCH($Q$2:$Q$51, $A92)),0))=TRUE,"",IF(ISNUMBER(MATCH(TRUE,ISNUMBER(SEARCH($S$2:$S$199, $A92)),0))=TRUE,"","미국 확인 필요")))</f>
        <v/>
      </c>
      <c r="F92" s="4" t="s">
        <v>927</v>
      </c>
      <c r="G92" s="255">
        <v>122</v>
      </c>
      <c r="H92" s="18" t="str" cm="1">
        <f t="array" ref="H92">IFERROR(IF(F92="","",IF(ISNUMBER(MATCH(TRUE,ISNUMBER(SEARCH($Q$2:$Q$51, $F92)),0))=TRUE,"United States of America",INDEX($S$2:$S$199,MATCH(TRUE,ISNUMBER(SEARCH($S$2:$S$199, $F92)),0)))),"United States of America")</f>
        <v>South Africa</v>
      </c>
      <c r="I92" s="18" t="str" cm="1">
        <f t="array" ref="I92">IF(F92="","",IF(ISNUMBER(MATCH(TRUE,ISNUMBER(SEARCH($Q$2:$Q$51, $F92)),0))=TRUE,"",IF(ISNUMBER(MATCH(TRUE,ISNUMBER(SEARCH($S$2:$S$199, $F92)),0))=TRUE,"","미국 확인 필요")))</f>
        <v/>
      </c>
      <c r="S92" s="86" t="s">
        <v>494</v>
      </c>
      <c r="T92" s="214">
        <f t="shared" si="6"/>
        <v>0</v>
      </c>
      <c r="U92" s="214" t="str">
        <f>IF(T92=0,"",RANK(T92,T:T,0)+COUNTIF(T$1:T91,T92))</f>
        <v/>
      </c>
      <c r="V92" s="214">
        <f t="shared" si="7"/>
        <v>0</v>
      </c>
      <c r="W92" s="214" t="str">
        <f>IF(V92=0,"",RANK(V92,V:V,0)+COUNTIF(V$1:V91,V92))</f>
        <v/>
      </c>
    </row>
    <row r="93" spans="1:23">
      <c r="A93" s="4" t="s">
        <v>884</v>
      </c>
      <c r="B93" s="255">
        <v>19</v>
      </c>
      <c r="C93" s="18" t="str" cm="1">
        <f t="array" ref="C93">IFERROR(IF(A93="","",IF(ISNUMBER(MATCH(TRUE,ISNUMBER(SEARCH($Q$2:$Q$51, $A93)),0))=TRUE,"United States of America",INDEX($S$2:$S$199,MATCH(TRUE,ISNUMBER(SEARCH($S$2:$S$199, $A93)),0)))),"United States of America")</f>
        <v>Japan</v>
      </c>
      <c r="D93" s="18" t="str" cm="1">
        <f t="array" ref="D93">IF(A93="","",IF(ISNUMBER(MATCH(TRUE,ISNUMBER(SEARCH($Q$2:$Q$51, $A93)),0))=TRUE,"",IF(ISNUMBER(MATCH(TRUE,ISNUMBER(SEARCH($S$2:$S$199, $A93)),0))=TRUE,"","미국 확인 필요")))</f>
        <v/>
      </c>
      <c r="F93" s="4" t="s">
        <v>928</v>
      </c>
      <c r="G93" s="255">
        <v>120</v>
      </c>
      <c r="H93" s="18" t="str" cm="1">
        <f t="array" ref="H93">IFERROR(IF(F93="","",IF(ISNUMBER(MATCH(TRUE,ISNUMBER(SEARCH($Q$2:$Q$51, $F93)),0))=TRUE,"United States of America",INDEX($S$2:$S$199,MATCH(TRUE,ISNUMBER(SEARCH($S$2:$S$199, $F93)),0)))),"United States of America")</f>
        <v>India</v>
      </c>
      <c r="I93" s="18" t="str" cm="1">
        <f t="array" ref="I93">IF(F93="","",IF(ISNUMBER(MATCH(TRUE,ISNUMBER(SEARCH($Q$2:$Q$51, $F93)),0))=TRUE,"",IF(ISNUMBER(MATCH(TRUE,ISNUMBER(SEARCH($S$2:$S$199, $F93)),0))=TRUE,"","미국 확인 필요")))</f>
        <v/>
      </c>
      <c r="S93" s="86" t="s">
        <v>495</v>
      </c>
      <c r="T93" s="214">
        <f t="shared" si="6"/>
        <v>0</v>
      </c>
      <c r="U93" s="214" t="str">
        <f>IF(T93=0,"",RANK(T93,T:T,0)+COUNTIF(T$1:T92,T93))</f>
        <v/>
      </c>
      <c r="V93" s="214">
        <f t="shared" si="7"/>
        <v>0</v>
      </c>
      <c r="W93" s="214" t="str">
        <f>IF(V93=0,"",RANK(V93,V:V,0)+COUNTIF(V$1:V92,V93))</f>
        <v/>
      </c>
    </row>
    <row r="94" spans="1:23">
      <c r="A94" s="4" t="s">
        <v>885</v>
      </c>
      <c r="B94" s="255">
        <v>23</v>
      </c>
      <c r="C94" s="18" t="str" cm="1">
        <f t="array" ref="C94">IFERROR(IF(A94="","",IF(ISNUMBER(MATCH(TRUE,ISNUMBER(SEARCH($Q$2:$Q$51, $A94)),0))=TRUE,"United States of America",INDEX($S$2:$S$199,MATCH(TRUE,ISNUMBER(SEARCH($S$2:$S$199, $A94)),0)))),"United States of America")</f>
        <v>United Kingdom</v>
      </c>
      <c r="D94" s="18" t="str" cm="1">
        <f t="array" ref="D94">IF(A94="","",IF(ISNUMBER(MATCH(TRUE,ISNUMBER(SEARCH($Q$2:$Q$51, $A94)),0))=TRUE,"",IF(ISNUMBER(MATCH(TRUE,ISNUMBER(SEARCH($S$2:$S$199, $A94)),0))=TRUE,"","미국 확인 필요")))</f>
        <v/>
      </c>
      <c r="F94" s="4" t="s">
        <v>808</v>
      </c>
      <c r="G94" s="255">
        <v>118</v>
      </c>
      <c r="H94" s="18" t="str" cm="1">
        <f t="array" ref="H94">IFERROR(IF(F94="","",IF(ISNUMBER(MATCH(TRUE,ISNUMBER(SEARCH($Q$2:$Q$51, $F94)),0))=TRUE,"United States of America",INDEX($S$2:$S$199,MATCH(TRUE,ISNUMBER(SEARCH($S$2:$S$199, $F94)),0)))),"United States of America")</f>
        <v>Taiwan</v>
      </c>
      <c r="I94" s="18" t="str" cm="1">
        <f t="array" ref="I94">IF(F94="","",IF(ISNUMBER(MATCH(TRUE,ISNUMBER(SEARCH($Q$2:$Q$51, $F94)),0))=TRUE,"",IF(ISNUMBER(MATCH(TRUE,ISNUMBER(SEARCH($S$2:$S$199, $F94)),0))=TRUE,"","미국 확인 필요")))</f>
        <v/>
      </c>
      <c r="S94" s="86" t="s">
        <v>496</v>
      </c>
      <c r="T94" s="214">
        <f t="shared" si="6"/>
        <v>0</v>
      </c>
      <c r="U94" s="214" t="str">
        <f>IF(T94=0,"",RANK(T94,T:T,0)+COUNTIF(T$1:T93,T94))</f>
        <v/>
      </c>
      <c r="V94" s="214">
        <f t="shared" si="7"/>
        <v>0</v>
      </c>
      <c r="W94" s="214" t="str">
        <f>IF(V94=0,"",RANK(V94,V:V,0)+COUNTIF(V$1:V93,V94))</f>
        <v/>
      </c>
    </row>
    <row r="95" spans="1:23">
      <c r="A95" s="4" t="s">
        <v>886</v>
      </c>
      <c r="B95" s="255">
        <v>15</v>
      </c>
      <c r="C95" s="18" t="str" cm="1">
        <f t="array" ref="C95">IFERROR(IF(A95="","",IF(ISNUMBER(MATCH(TRUE,ISNUMBER(SEARCH($Q$2:$Q$51, $A95)),0))=TRUE,"United States of America",INDEX($S$2:$S$199,MATCH(TRUE,ISNUMBER(SEARCH($S$2:$S$199, $A95)),0)))),"United States of America")</f>
        <v>India</v>
      </c>
      <c r="D95" s="18" t="str" cm="1">
        <f t="array" ref="D95">IF(A95="","",IF(ISNUMBER(MATCH(TRUE,ISNUMBER(SEARCH($Q$2:$Q$51, $A95)),0))=TRUE,"",IF(ISNUMBER(MATCH(TRUE,ISNUMBER(SEARCH($S$2:$S$199, $A95)),0))=TRUE,"","미국 확인 필요")))</f>
        <v/>
      </c>
      <c r="F95" s="4" t="s">
        <v>820</v>
      </c>
      <c r="G95" s="255">
        <v>115</v>
      </c>
      <c r="H95" s="18" t="str" cm="1">
        <f t="array" ref="H95">IFERROR(IF(F95="","",IF(ISNUMBER(MATCH(TRUE,ISNUMBER(SEARCH($Q$2:$Q$51, $F95)),0))=TRUE,"United States of America",INDEX($S$2:$S$199,MATCH(TRUE,ISNUMBER(SEARCH($S$2:$S$199, $F95)),0)))),"United States of America")</f>
        <v>United States of America</v>
      </c>
      <c r="I95" s="18" t="str" cm="1">
        <f t="array" ref="I95">IF(F95="","",IF(ISNUMBER(MATCH(TRUE,ISNUMBER(SEARCH($Q$2:$Q$51, $F95)),0))=TRUE,"",IF(ISNUMBER(MATCH(TRUE,ISNUMBER(SEARCH($S$2:$S$199, $F95)),0))=TRUE,"","미국 확인 필요")))</f>
        <v>미국 확인 필요</v>
      </c>
      <c r="S95" s="86" t="s">
        <v>497</v>
      </c>
      <c r="T95" s="214">
        <f t="shared" si="6"/>
        <v>0</v>
      </c>
      <c r="U95" s="214" t="str">
        <f>IF(T95=0,"",RANK(T95,T:T,0)+COUNTIF(T$1:T94,T95))</f>
        <v/>
      </c>
      <c r="V95" s="214">
        <f t="shared" si="7"/>
        <v>0</v>
      </c>
      <c r="W95" s="214" t="str">
        <f>IF(V95=0,"",RANK(V95,V:V,0)+COUNTIF(V$1:V94,V95))</f>
        <v/>
      </c>
    </row>
    <row r="96" spans="1:23">
      <c r="A96" s="4" t="s">
        <v>887</v>
      </c>
      <c r="B96" s="255">
        <v>15</v>
      </c>
      <c r="C96" s="18" t="str" cm="1">
        <f t="array" ref="C96">IFERROR(IF(A96="","",IF(ISNUMBER(MATCH(TRUE,ISNUMBER(SEARCH($Q$2:$Q$51, $A96)),0))=TRUE,"United States of America",INDEX($S$2:$S$199,MATCH(TRUE,ISNUMBER(SEARCH($S$2:$S$199, $A96)),0)))),"United States of America")</f>
        <v>Belgium</v>
      </c>
      <c r="D96" s="18" t="str" cm="1">
        <f t="array" ref="D96">IF(A96="","",IF(ISNUMBER(MATCH(TRUE,ISNUMBER(SEARCH($Q$2:$Q$51, $A96)),0))=TRUE,"",IF(ISNUMBER(MATCH(TRUE,ISNUMBER(SEARCH($S$2:$S$199, $A96)),0))=TRUE,"","미국 확인 필요")))</f>
        <v/>
      </c>
      <c r="F96" s="4" t="s">
        <v>929</v>
      </c>
      <c r="G96" s="255">
        <v>114</v>
      </c>
      <c r="H96" s="18" t="str" cm="1">
        <f t="array" ref="H96">IFERROR(IF(F96="","",IF(ISNUMBER(MATCH(TRUE,ISNUMBER(SEARCH($Q$2:$Q$51, $F96)),0))=TRUE,"United States of America",INDEX($S$2:$S$199,MATCH(TRUE,ISNUMBER(SEARCH($S$2:$S$199, $F96)),0)))),"United States of America")</f>
        <v>China</v>
      </c>
      <c r="I96" s="18" t="str" cm="1">
        <f t="array" ref="I96">IF(F96="","",IF(ISNUMBER(MATCH(TRUE,ISNUMBER(SEARCH($Q$2:$Q$51, $F96)),0))=TRUE,"",IF(ISNUMBER(MATCH(TRUE,ISNUMBER(SEARCH($S$2:$S$199, $F96)),0))=TRUE,"","미국 확인 필요")))</f>
        <v/>
      </c>
      <c r="S96" s="86" t="s">
        <v>498</v>
      </c>
      <c r="T96" s="214">
        <f t="shared" si="6"/>
        <v>0</v>
      </c>
      <c r="U96" s="214" t="str">
        <f>IF(T96=0,"",RANK(T96,T:T,0)+COUNTIF(T$1:T95,T96))</f>
        <v/>
      </c>
      <c r="V96" s="214">
        <f t="shared" si="7"/>
        <v>0</v>
      </c>
      <c r="W96" s="214" t="str">
        <f>IF(V96=0,"",RANK(V96,V:V,0)+COUNTIF(V$1:V95,V96))</f>
        <v/>
      </c>
    </row>
    <row r="97" spans="1:23">
      <c r="A97" s="4" t="s">
        <v>888</v>
      </c>
      <c r="B97" s="255">
        <v>20</v>
      </c>
      <c r="C97" s="18" t="str" cm="1">
        <f t="array" ref="C97">IFERROR(IF(A97="","",IF(ISNUMBER(MATCH(TRUE,ISNUMBER(SEARCH($Q$2:$Q$51, $A97)),0))=TRUE,"United States of America",INDEX($S$2:$S$199,MATCH(TRUE,ISNUMBER(SEARCH($S$2:$S$199, $A97)),0)))),"United States of America")</f>
        <v>United Kingdom</v>
      </c>
      <c r="D97" s="18" t="str" cm="1">
        <f t="array" ref="D97">IF(A97="","",IF(ISNUMBER(MATCH(TRUE,ISNUMBER(SEARCH($Q$2:$Q$51, $A97)),0))=TRUE,"",IF(ISNUMBER(MATCH(TRUE,ISNUMBER(SEARCH($S$2:$S$199, $A97)),0))=TRUE,"","미국 확인 필요")))</f>
        <v/>
      </c>
      <c r="F97" s="4" t="s">
        <v>930</v>
      </c>
      <c r="G97" s="255">
        <v>111</v>
      </c>
      <c r="H97" s="18" t="str" cm="1">
        <f t="array" ref="H97">IFERROR(IF(F97="","",IF(ISNUMBER(MATCH(TRUE,ISNUMBER(SEARCH($Q$2:$Q$51, $F97)),0))=TRUE,"United States of America",INDEX($S$2:$S$199,MATCH(TRUE,ISNUMBER(SEARCH($S$2:$S$199, $F97)),0)))),"United States of America")</f>
        <v>Canada</v>
      </c>
      <c r="I97" s="18" t="str" cm="1">
        <f t="array" ref="I97">IF(F97="","",IF(ISNUMBER(MATCH(TRUE,ISNUMBER(SEARCH($Q$2:$Q$51, $F97)),0))=TRUE,"",IF(ISNUMBER(MATCH(TRUE,ISNUMBER(SEARCH($S$2:$S$199, $F97)),0))=TRUE,"","미국 확인 필요")))</f>
        <v/>
      </c>
      <c r="S97" s="86" t="s">
        <v>499</v>
      </c>
      <c r="T97" s="214">
        <f t="shared" si="6"/>
        <v>0</v>
      </c>
      <c r="U97" s="214" t="str">
        <f>IF(T97=0,"",RANK(T97,T:T,0)+COUNTIF(T$1:T96,T97))</f>
        <v/>
      </c>
      <c r="V97" s="214">
        <f t="shared" si="7"/>
        <v>0</v>
      </c>
      <c r="W97" s="214" t="str">
        <f>IF(V97=0,"",RANK(V97,V:V,0)+COUNTIF(V$1:V96,V97))</f>
        <v/>
      </c>
    </row>
    <row r="98" spans="1:23">
      <c r="A98" s="4" t="s">
        <v>889</v>
      </c>
      <c r="B98" s="255">
        <v>33</v>
      </c>
      <c r="C98" s="18" t="str" cm="1">
        <f t="array" ref="C98">IFERROR(IF(A98="","",IF(ISNUMBER(MATCH(TRUE,ISNUMBER(SEARCH($Q$2:$Q$51, $A98)),0))=TRUE,"United States of America",INDEX($S$2:$S$199,MATCH(TRUE,ISNUMBER(SEARCH($S$2:$S$199, $A98)),0)))),"United States of America")</f>
        <v>Vietnam</v>
      </c>
      <c r="D98" s="18" t="str" cm="1">
        <f t="array" ref="D98">IF(A98="","",IF(ISNUMBER(MATCH(TRUE,ISNUMBER(SEARCH($Q$2:$Q$51, $A98)),0))=TRUE,"",IF(ISNUMBER(MATCH(TRUE,ISNUMBER(SEARCH($S$2:$S$199, $A98)),0))=TRUE,"","미국 확인 필요")))</f>
        <v/>
      </c>
      <c r="F98" s="4" t="s">
        <v>890</v>
      </c>
      <c r="G98" s="255">
        <v>111</v>
      </c>
      <c r="H98" s="18" t="str" cm="1">
        <f t="array" ref="H98">IFERROR(IF(F98="","",IF(ISNUMBER(MATCH(TRUE,ISNUMBER(SEARCH($Q$2:$Q$51, $F98)),0))=TRUE,"United States of America",INDEX($S$2:$S$199,MATCH(TRUE,ISNUMBER(SEARCH($S$2:$S$199, $F98)),0)))),"United States of America")</f>
        <v>Vietnam</v>
      </c>
      <c r="I98" s="18" t="str" cm="1">
        <f t="array" ref="I98">IF(F98="","",IF(ISNUMBER(MATCH(TRUE,ISNUMBER(SEARCH($Q$2:$Q$51, $F98)),0))=TRUE,"",IF(ISNUMBER(MATCH(TRUE,ISNUMBER(SEARCH($S$2:$S$199, $F98)),0))=TRUE,"","미국 확인 필요")))</f>
        <v/>
      </c>
      <c r="S98" s="86" t="s">
        <v>402</v>
      </c>
      <c r="T98" s="214">
        <f t="shared" si="6"/>
        <v>0</v>
      </c>
      <c r="U98" s="214" t="str">
        <f>IF(T98=0,"",RANK(T98,T:T,0)+COUNTIF(T$1:T97,T98))</f>
        <v/>
      </c>
      <c r="V98" s="214">
        <f t="shared" si="7"/>
        <v>0</v>
      </c>
      <c r="W98" s="214" t="str">
        <f>IF(V98=0,"",RANK(V98,V:V,0)+COUNTIF(V$1:V97,V98))</f>
        <v/>
      </c>
    </row>
    <row r="99" spans="1:23">
      <c r="A99" s="4" t="s">
        <v>890</v>
      </c>
      <c r="B99" s="255">
        <v>15</v>
      </c>
      <c r="C99" s="18" t="str" cm="1">
        <f t="array" ref="C99">IFERROR(IF(A99="","",IF(ISNUMBER(MATCH(TRUE,ISNUMBER(SEARCH($Q$2:$Q$51, $A99)),0))=TRUE,"United States of America",INDEX($S$2:$S$199,MATCH(TRUE,ISNUMBER(SEARCH($S$2:$S$199, $A99)),0)))),"United States of America")</f>
        <v>Vietnam</v>
      </c>
      <c r="D99" s="18" t="str" cm="1">
        <f t="array" ref="D99">IF(A99="","",IF(ISNUMBER(MATCH(TRUE,ISNUMBER(SEARCH($Q$2:$Q$51, $A99)),0))=TRUE,"",IF(ISNUMBER(MATCH(TRUE,ISNUMBER(SEARCH($S$2:$S$199, $A99)),0))=TRUE,"","미국 확인 필요")))</f>
        <v/>
      </c>
      <c r="F99" s="4" t="s">
        <v>799</v>
      </c>
      <c r="G99" s="255">
        <v>109</v>
      </c>
      <c r="H99" s="18" t="str" cm="1">
        <f t="array" ref="H99">IFERROR(IF(F99="","",IF(ISNUMBER(MATCH(TRUE,ISNUMBER(SEARCH($Q$2:$Q$51, $F99)),0))=TRUE,"United States of America",INDEX($S$2:$S$199,MATCH(TRUE,ISNUMBER(SEARCH($S$2:$S$199, $F99)),0)))),"United States of America")</f>
        <v>United States of America</v>
      </c>
      <c r="I99" s="18" t="str" cm="1">
        <f t="array" ref="I99">IF(F99="","",IF(ISNUMBER(MATCH(TRUE,ISNUMBER(SEARCH($Q$2:$Q$51, $F99)),0))=TRUE,"",IF(ISNUMBER(MATCH(TRUE,ISNUMBER(SEARCH($S$2:$S$199, $F99)),0))=TRUE,"","미국 확인 필요")))</f>
        <v/>
      </c>
      <c r="S99" s="86" t="s">
        <v>500</v>
      </c>
      <c r="T99" s="214">
        <f t="shared" si="6"/>
        <v>0</v>
      </c>
      <c r="U99" s="214" t="str">
        <f>IF(T99=0,"",RANK(T99,T:T,0)+COUNTIF(T$1:T98,T99))</f>
        <v/>
      </c>
      <c r="V99" s="214">
        <f t="shared" si="7"/>
        <v>0</v>
      </c>
      <c r="W99" s="214" t="str">
        <f>IF(V99=0,"",RANK(V99,V:V,0)+COUNTIF(V$1:V98,V99))</f>
        <v/>
      </c>
    </row>
    <row r="100" spans="1:23">
      <c r="A100" s="4" t="s">
        <v>891</v>
      </c>
      <c r="B100" s="255">
        <v>58</v>
      </c>
      <c r="C100" s="18" t="str" cm="1">
        <f t="array" ref="C100">IFERROR(IF(A100="","",IF(ISNUMBER(MATCH(TRUE,ISNUMBER(SEARCH($Q$2:$Q$51, $A100)),0))=TRUE,"United States of America",INDEX($S$2:$S$199,MATCH(TRUE,ISNUMBER(SEARCH($S$2:$S$199, $A100)),0)))),"United States of America")</f>
        <v>United States of America</v>
      </c>
      <c r="D100" s="18" t="str" cm="1">
        <f t="array" ref="D100">IF(A100="","",IF(ISNUMBER(MATCH(TRUE,ISNUMBER(SEARCH($Q$2:$Q$51, $A100)),0))=TRUE,"",IF(ISNUMBER(MATCH(TRUE,ISNUMBER(SEARCH($S$2:$S$199, $A100)),0))=TRUE,"","미국 확인 필요")))</f>
        <v>미국 확인 필요</v>
      </c>
      <c r="F100" s="4" t="s">
        <v>931</v>
      </c>
      <c r="G100" s="255">
        <v>107</v>
      </c>
      <c r="H100" s="18" t="str" cm="1">
        <f t="array" ref="H100">IFERROR(IF(F100="","",IF(ISNUMBER(MATCH(TRUE,ISNUMBER(SEARCH($Q$2:$Q$51, $F100)),0))=TRUE,"United States of America",INDEX($S$2:$S$199,MATCH(TRUE,ISNUMBER(SEARCH($S$2:$S$199, $F100)),0)))),"United States of America")</f>
        <v>India</v>
      </c>
      <c r="I100" s="18" t="str" cm="1">
        <f t="array" ref="I100">IF(F100="","",IF(ISNUMBER(MATCH(TRUE,ISNUMBER(SEARCH($Q$2:$Q$51, $F100)),0))=TRUE,"",IF(ISNUMBER(MATCH(TRUE,ISNUMBER(SEARCH($S$2:$S$199, $F100)),0))=TRUE,"","미국 확인 필요")))</f>
        <v/>
      </c>
      <c r="S100" s="86" t="s">
        <v>501</v>
      </c>
      <c r="T100" s="214">
        <f t="shared" si="6"/>
        <v>0</v>
      </c>
      <c r="U100" s="214" t="str">
        <f>IF(T100=0,"",RANK(T100,T:T,0)+COUNTIF(T$1:T99,T100))</f>
        <v/>
      </c>
      <c r="V100" s="214">
        <f t="shared" si="7"/>
        <v>0</v>
      </c>
      <c r="W100" s="214" t="str">
        <f>IF(V100=0,"",RANK(V100,V:V,0)+COUNTIF(V$1:V99,V100))</f>
        <v/>
      </c>
    </row>
    <row r="101" spans="1:23">
      <c r="A101" s="4" t="s">
        <v>892</v>
      </c>
      <c r="B101" s="255">
        <v>17</v>
      </c>
      <c r="C101" s="18" t="str" cm="1">
        <f t="array" ref="C101">IFERROR(IF(A101="","",IF(ISNUMBER(MATCH(TRUE,ISNUMBER(SEARCH($Q$2:$Q$51, $A101)),0))=TRUE,"United States of America",INDEX($S$2:$S$199,MATCH(TRUE,ISNUMBER(SEARCH($S$2:$S$199, $A101)),0)))),"United States of America")</f>
        <v>United States of America</v>
      </c>
      <c r="D101" s="18" t="str" cm="1">
        <f t="array" ref="D101">IF(A101="","",IF(ISNUMBER(MATCH(TRUE,ISNUMBER(SEARCH($Q$2:$Q$51, $A101)),0))=TRUE,"",IF(ISNUMBER(MATCH(TRUE,ISNUMBER(SEARCH($S$2:$S$199, $A101)),0))=TRUE,"","미국 확인 필요")))</f>
        <v>미국 확인 필요</v>
      </c>
      <c r="F101" s="4" t="s">
        <v>932</v>
      </c>
      <c r="G101" s="255">
        <v>106</v>
      </c>
      <c r="H101" s="18" t="str" cm="1">
        <f t="array" ref="H101">IFERROR(IF(F101="","",IF(ISNUMBER(MATCH(TRUE,ISNUMBER(SEARCH($Q$2:$Q$51, $F101)),0))=TRUE,"United States of America",INDEX($S$2:$S$199,MATCH(TRUE,ISNUMBER(SEARCH($S$2:$S$199, $F101)),0)))),"United States of America")</f>
        <v>Australia</v>
      </c>
      <c r="I101" s="18" t="str" cm="1">
        <f t="array" ref="I101">IF(F101="","",IF(ISNUMBER(MATCH(TRUE,ISNUMBER(SEARCH($Q$2:$Q$51, $F101)),0))=TRUE,"",IF(ISNUMBER(MATCH(TRUE,ISNUMBER(SEARCH($S$2:$S$199, $F101)),0))=TRUE,"","미국 확인 필요")))</f>
        <v/>
      </c>
      <c r="S101" s="86" t="s">
        <v>502</v>
      </c>
      <c r="T101" s="214">
        <f t="shared" si="6"/>
        <v>0</v>
      </c>
      <c r="U101" s="214" t="str">
        <f>IF(T101=0,"",RANK(T101,T:T,0)+COUNTIF(T$1:T100,T101))</f>
        <v/>
      </c>
      <c r="V101" s="214">
        <f t="shared" si="7"/>
        <v>0</v>
      </c>
      <c r="W101" s="214" t="str">
        <f>IF(V101=0,"",RANK(V101,V:V,0)+COUNTIF(V$1:V100,V101))</f>
        <v/>
      </c>
    </row>
    <row r="102" spans="1:23">
      <c r="A102" s="4" t="s">
        <v>893</v>
      </c>
      <c r="B102" s="255">
        <v>18</v>
      </c>
      <c r="C102" s="18" t="str" cm="1">
        <f t="array" ref="C102">IFERROR(IF(A102="","",IF(ISNUMBER(MATCH(TRUE,ISNUMBER(SEARCH($Q$2:$Q$51, $A102)),0))=TRUE,"United States of America",INDEX($S$2:$S$199,MATCH(TRUE,ISNUMBER(SEARCH($S$2:$S$199, $A102)),0)))),"United States of America")</f>
        <v>United States of America</v>
      </c>
      <c r="D102" s="18" t="str" cm="1">
        <f t="array" ref="D102">IF(A102="","",IF(ISNUMBER(MATCH(TRUE,ISNUMBER(SEARCH($Q$2:$Q$51, $A102)),0))=TRUE,"",IF(ISNUMBER(MATCH(TRUE,ISNUMBER(SEARCH($S$2:$S$199, $A102)),0))=TRUE,"","미국 확인 필요")))</f>
        <v>미국 확인 필요</v>
      </c>
      <c r="H102" s="18" t="str" cm="1">
        <f t="array" ref="H102">IFERROR(IF(F102="","",IF(ISNUMBER(MATCH(TRUE,ISNUMBER(SEARCH($Q$2:$Q$51, $F102)),0))=TRUE,"United States of America",INDEX($S$2:$S$199,MATCH(TRUE,ISNUMBER(SEARCH($S$2:$S$199, $F102)),0)))),"United States of America")</f>
        <v/>
      </c>
      <c r="I102" s="18" t="str" cm="1">
        <f t="array" ref="I102">IF(F102="","",IF(ISNUMBER(MATCH(TRUE,ISNUMBER(SEARCH($Q$2:$Q$51, $F102)),0))=TRUE,"",IF(ISNUMBER(MATCH(TRUE,ISNUMBER(SEARCH($S$2:$S$199, $F102)),0))=TRUE,"","미국 확인 필요")))</f>
        <v/>
      </c>
      <c r="S102" s="86" t="s">
        <v>503</v>
      </c>
      <c r="T102" s="214">
        <f t="shared" si="6"/>
        <v>0</v>
      </c>
      <c r="U102" s="214" t="str">
        <f>IF(T102=0,"",RANK(T102,T:T,0)+COUNTIF(T$1:T101,T102))</f>
        <v/>
      </c>
      <c r="V102" s="214">
        <f t="shared" si="7"/>
        <v>0</v>
      </c>
      <c r="W102" s="214" t="str">
        <f>IF(V102=0,"",RANK(V102,V:V,0)+COUNTIF(V$1:V101,V102))</f>
        <v/>
      </c>
    </row>
    <row r="103" spans="1:23">
      <c r="A103" s="4" t="s">
        <v>894</v>
      </c>
      <c r="B103" s="255">
        <v>41</v>
      </c>
      <c r="C103" s="18" t="str" cm="1">
        <f t="array" ref="C103">IFERROR(IF(A103="","",IF(ISNUMBER(MATCH(TRUE,ISNUMBER(SEARCH($Q$2:$Q$51, $A103)),0))=TRUE,"United States of America",INDEX($S$2:$S$199,MATCH(TRUE,ISNUMBER(SEARCH($S$2:$S$199, $A103)),0)))),"United States of America")</f>
        <v>China</v>
      </c>
      <c r="D103" s="18" t="str" cm="1">
        <f t="array" ref="D103">IF(A103="","",IF(ISNUMBER(MATCH(TRUE,ISNUMBER(SEARCH($Q$2:$Q$51, $A103)),0))=TRUE,"",IF(ISNUMBER(MATCH(TRUE,ISNUMBER(SEARCH($S$2:$S$199, $A103)),0))=TRUE,"","미국 확인 필요")))</f>
        <v/>
      </c>
      <c r="H103" s="18" t="str" cm="1">
        <f t="array" ref="H103">IFERROR(IF(F103="","",IF(ISNUMBER(MATCH(TRUE,ISNUMBER(SEARCH($Q$2:$Q$51, $F103)),0))=TRUE,"United States of America",INDEX($S$2:$S$199,MATCH(TRUE,ISNUMBER(SEARCH($S$2:$S$199, $F103)),0)))),"United States of America")</f>
        <v/>
      </c>
      <c r="I103" s="18" t="str" cm="1">
        <f t="array" ref="I103">IF(F103="","",IF(ISNUMBER(MATCH(TRUE,ISNUMBER(SEARCH($Q$2:$Q$51, $F103)),0))=TRUE,"",IF(ISNUMBER(MATCH(TRUE,ISNUMBER(SEARCH($S$2:$S$199, $F103)),0))=TRUE,"","미국 확인 필요")))</f>
        <v/>
      </c>
      <c r="S103" s="86" t="s">
        <v>504</v>
      </c>
      <c r="T103" s="214">
        <f t="shared" si="6"/>
        <v>0</v>
      </c>
      <c r="U103" s="214" t="str">
        <f>IF(T103=0,"",RANK(T103,T:T,0)+COUNTIF(T$1:T102,T103))</f>
        <v/>
      </c>
      <c r="V103" s="214">
        <f t="shared" si="7"/>
        <v>0</v>
      </c>
      <c r="W103" s="214" t="str">
        <f>IF(V103=0,"",RANK(V103,V:V,0)+COUNTIF(V$1:V102,V103))</f>
        <v/>
      </c>
    </row>
    <row r="104" spans="1:23">
      <c r="A104" s="4" t="s">
        <v>895</v>
      </c>
      <c r="B104" s="255">
        <v>106</v>
      </c>
      <c r="C104" s="18" t="str" cm="1">
        <f t="array" ref="C104">IFERROR(IF(A104="","",IF(ISNUMBER(MATCH(TRUE,ISNUMBER(SEARCH($Q$2:$Q$51, $A104)),0))=TRUE,"United States of America",INDEX($S$2:$S$199,MATCH(TRUE,ISNUMBER(SEARCH($S$2:$S$199, $A104)),0)))),"United States of America")</f>
        <v>India</v>
      </c>
      <c r="D104" s="18" t="str" cm="1">
        <f t="array" ref="D104">IF(A104="","",IF(ISNUMBER(MATCH(TRUE,ISNUMBER(SEARCH($Q$2:$Q$51, $A104)),0))=TRUE,"",IF(ISNUMBER(MATCH(TRUE,ISNUMBER(SEARCH($S$2:$S$199, $A104)),0))=TRUE,"","미국 확인 필요")))</f>
        <v/>
      </c>
      <c r="H104" s="18" t="str" cm="1">
        <f t="array" ref="H104">IFERROR(IF(F104="","",IF(ISNUMBER(MATCH(TRUE,ISNUMBER(SEARCH($Q$2:$Q$51, $F104)),0))=TRUE,"United States of America",INDEX($S$2:$S$199,MATCH(TRUE,ISNUMBER(SEARCH($S$2:$S$199, $F104)),0)))),"United States of America")</f>
        <v/>
      </c>
      <c r="I104" s="18" t="str" cm="1">
        <f t="array" ref="I104">IF(F104="","",IF(ISNUMBER(MATCH(TRUE,ISNUMBER(SEARCH($Q$2:$Q$51, $F104)),0))=TRUE,"",IF(ISNUMBER(MATCH(TRUE,ISNUMBER(SEARCH($S$2:$S$199, $F104)),0))=TRUE,"","미국 확인 필요")))</f>
        <v/>
      </c>
      <c r="S104" s="86" t="s">
        <v>505</v>
      </c>
      <c r="T104" s="214">
        <f t="shared" si="6"/>
        <v>0</v>
      </c>
      <c r="U104" s="214" t="str">
        <f>IF(T104=0,"",RANK(T104,T:T,0)+COUNTIF(T$1:T103,T104))</f>
        <v/>
      </c>
      <c r="V104" s="214">
        <f t="shared" si="7"/>
        <v>0</v>
      </c>
      <c r="W104" s="214" t="str">
        <f>IF(V104=0,"",RANK(V104,V:V,0)+COUNTIF(V$1:V103,V104))</f>
        <v/>
      </c>
    </row>
    <row r="105" spans="1:23">
      <c r="A105" s="4" t="s">
        <v>896</v>
      </c>
      <c r="B105" s="255">
        <v>18</v>
      </c>
      <c r="C105" s="18" t="str" cm="1">
        <f t="array" ref="C105">IFERROR(IF(A105="","",IF(ISNUMBER(MATCH(TRUE,ISNUMBER(SEARCH($Q$2:$Q$51, $A105)),0))=TRUE,"United States of America",INDEX($S$2:$S$199,MATCH(TRUE,ISNUMBER(SEARCH($S$2:$S$199, $A105)),0)))),"United States of America")</f>
        <v>United Kingdom</v>
      </c>
      <c r="D105" s="18" t="str" cm="1">
        <f t="array" ref="D105">IF(A105="","",IF(ISNUMBER(MATCH(TRUE,ISNUMBER(SEARCH($Q$2:$Q$51, $A105)),0))=TRUE,"",IF(ISNUMBER(MATCH(TRUE,ISNUMBER(SEARCH($S$2:$S$199, $A105)),0))=TRUE,"","미국 확인 필요")))</f>
        <v/>
      </c>
      <c r="H105" s="18" t="str" cm="1">
        <f t="array" ref="H105">IFERROR(IF(F105="","",IF(ISNUMBER(MATCH(TRUE,ISNUMBER(SEARCH($Q$2:$Q$51, $F105)),0))=TRUE,"United States of America",INDEX($S$2:$S$199,MATCH(TRUE,ISNUMBER(SEARCH($S$2:$S$199, $F105)),0)))),"United States of America")</f>
        <v/>
      </c>
      <c r="I105" s="18" t="str" cm="1">
        <f t="array" ref="I105">IF(F105="","",IF(ISNUMBER(MATCH(TRUE,ISNUMBER(SEARCH($Q$2:$Q$51, $F105)),0))=TRUE,"",IF(ISNUMBER(MATCH(TRUE,ISNUMBER(SEARCH($S$2:$S$199, $F105)),0))=TRUE,"","미국 확인 필요")))</f>
        <v/>
      </c>
      <c r="S105" s="86" t="s">
        <v>506</v>
      </c>
      <c r="T105" s="214">
        <f t="shared" si="6"/>
        <v>0</v>
      </c>
      <c r="U105" s="214" t="str">
        <f>IF(T105=0,"",RANK(T105,T:T,0)+COUNTIF(T$1:T104,T105))</f>
        <v/>
      </c>
      <c r="V105" s="214">
        <f t="shared" si="7"/>
        <v>0</v>
      </c>
      <c r="W105" s="214" t="str">
        <f>IF(V105=0,"",RANK(V105,V:V,0)+COUNTIF(V$1:V104,V105))</f>
        <v/>
      </c>
    </row>
    <row r="106" spans="1:23">
      <c r="C106" s="18" t="str" cm="1">
        <f t="array" ref="C106">IFERROR(IF(A106="","",IF(ISNUMBER(MATCH(TRUE,ISNUMBER(SEARCH($Q$2:$Q$51, $A106)),0))=TRUE,"United States of America",INDEX($S$2:$S$199,MATCH(TRUE,ISNUMBER(SEARCH($S$2:$S$199, $A106)),0)))),"United States of America")</f>
        <v/>
      </c>
      <c r="D106" s="18" t="str" cm="1">
        <f t="array" ref="D106">IF(A106="","",IF(ISNUMBER(MATCH(TRUE,ISNUMBER(SEARCH($Q$2:$Q$51, $A106)),0))=TRUE,"",IF(ISNUMBER(MATCH(TRUE,ISNUMBER(SEARCH($S$2:$S$199, $A106)),0))=TRUE,"","미국 확인 필요")))</f>
        <v/>
      </c>
      <c r="H106" s="18" t="str" cm="1">
        <f t="array" ref="H106">IFERROR(IF(F106="","",IF(ISNUMBER(MATCH(TRUE,ISNUMBER(SEARCH($Q$2:$Q$51, $F106)),0))=TRUE,"United States of America",INDEX($S$2:$S$199,MATCH(TRUE,ISNUMBER(SEARCH($S$2:$S$199, $F106)),0)))),"United States of America")</f>
        <v/>
      </c>
      <c r="I106" s="18" t="str" cm="1">
        <f t="array" ref="I106">IF(F106="","",IF(ISNUMBER(MATCH(TRUE,ISNUMBER(SEARCH($Q$2:$Q$51, $F106)),0))=TRUE,"",IF(ISNUMBER(MATCH(TRUE,ISNUMBER(SEARCH($S$2:$S$199, $F106)),0))=TRUE,"","미국 확인 필요")))</f>
        <v/>
      </c>
      <c r="S106" s="86" t="s">
        <v>507</v>
      </c>
      <c r="T106" s="214">
        <f t="shared" si="6"/>
        <v>0</v>
      </c>
      <c r="U106" s="214" t="str">
        <f>IF(T106=0,"",RANK(T106,T:T,0)+COUNTIF(T$1:T105,T106))</f>
        <v/>
      </c>
      <c r="V106" s="214">
        <f t="shared" si="7"/>
        <v>0</v>
      </c>
      <c r="W106" s="214" t="str">
        <f>IF(V106=0,"",RANK(V106,V:V,0)+COUNTIF(V$1:V105,V106))</f>
        <v/>
      </c>
    </row>
    <row r="107" spans="1:23">
      <c r="C107" s="18" t="str" cm="1">
        <f t="array" ref="C107">IFERROR(IF(A107="","",IF(ISNUMBER(MATCH(TRUE,ISNUMBER(SEARCH($Q$2:$Q$51, $A107)),0))=TRUE,"United States of America",INDEX($S$2:$S$199,MATCH(TRUE,ISNUMBER(SEARCH($S$2:$S$199, $A107)),0)))),"United States of America")</f>
        <v/>
      </c>
      <c r="D107" s="18" t="str" cm="1">
        <f t="array" ref="D107">IF(A107="","",IF(ISNUMBER(MATCH(TRUE,ISNUMBER(SEARCH($Q$2:$Q$51, $A107)),0))=TRUE,"",IF(ISNUMBER(MATCH(TRUE,ISNUMBER(SEARCH($S$2:$S$199, $A107)),0))=TRUE,"","미국 확인 필요")))</f>
        <v/>
      </c>
      <c r="H107" s="18" t="str" cm="1">
        <f t="array" ref="H107">IFERROR(IF(F107="","",IF(ISNUMBER(MATCH(TRUE,ISNUMBER(SEARCH($Q$2:$Q$51, $F107)),0))=TRUE,"United States of America",INDEX($S$2:$S$199,MATCH(TRUE,ISNUMBER(SEARCH($S$2:$S$199, $F107)),0)))),"United States of America")</f>
        <v/>
      </c>
      <c r="I107" s="18" t="str" cm="1">
        <f t="array" ref="I107">IF(F107="","",IF(ISNUMBER(MATCH(TRUE,ISNUMBER(SEARCH($Q$2:$Q$51, $F107)),0))=TRUE,"",IF(ISNUMBER(MATCH(TRUE,ISNUMBER(SEARCH($S$2:$S$199, $F107)),0))=TRUE,"","미국 확인 필요")))</f>
        <v/>
      </c>
      <c r="S107" s="86" t="s">
        <v>508</v>
      </c>
      <c r="T107" s="214">
        <f t="shared" si="6"/>
        <v>0</v>
      </c>
      <c r="U107" s="214" t="str">
        <f>IF(T107=0,"",RANK(T107,T:T,0)+COUNTIF(T$1:T106,T107))</f>
        <v/>
      </c>
      <c r="V107" s="214">
        <f t="shared" si="7"/>
        <v>0</v>
      </c>
      <c r="W107" s="214" t="str">
        <f>IF(V107=0,"",RANK(V107,V:V,0)+COUNTIF(V$1:V106,V107))</f>
        <v/>
      </c>
    </row>
    <row r="108" spans="1:23">
      <c r="C108" s="18" t="str" cm="1">
        <f t="array" ref="C108">IFERROR(IF(A108="","",IF(ISNUMBER(MATCH(TRUE,ISNUMBER(SEARCH($Q$2:$Q$51, $A108)),0))=TRUE,"United States of America",INDEX($S$2:$S$199,MATCH(TRUE,ISNUMBER(SEARCH($S$2:$S$199, $A108)),0)))),"United States of America")</f>
        <v/>
      </c>
      <c r="D108" s="18" t="str" cm="1">
        <f t="array" ref="D108">IF(A108="","",IF(ISNUMBER(MATCH(TRUE,ISNUMBER(SEARCH($Q$2:$Q$51, $A108)),0))=TRUE,"",IF(ISNUMBER(MATCH(TRUE,ISNUMBER(SEARCH($S$2:$S$199, $A108)),0))=TRUE,"","미국 확인 필요")))</f>
        <v/>
      </c>
      <c r="H108" s="18" t="str" cm="1">
        <f t="array" ref="H108">IFERROR(IF(F108="","",IF(ISNUMBER(MATCH(TRUE,ISNUMBER(SEARCH($Q$2:$Q$51, $F108)),0))=TRUE,"United States of America",INDEX($S$2:$S$199,MATCH(TRUE,ISNUMBER(SEARCH($S$2:$S$199, $F108)),0)))),"United States of America")</f>
        <v/>
      </c>
      <c r="I108" s="18" t="str" cm="1">
        <f t="array" ref="I108">IF(F108="","",IF(ISNUMBER(MATCH(TRUE,ISNUMBER(SEARCH($Q$2:$Q$51, $F108)),0))=TRUE,"",IF(ISNUMBER(MATCH(TRUE,ISNUMBER(SEARCH($S$2:$S$199, $F108)),0))=TRUE,"","미국 확인 필요")))</f>
        <v/>
      </c>
      <c r="S108" s="86" t="s">
        <v>509</v>
      </c>
      <c r="T108" s="214">
        <f t="shared" si="6"/>
        <v>0</v>
      </c>
      <c r="U108" s="214" t="str">
        <f>IF(T108=0,"",RANK(T108,T:T,0)+COUNTIF(T$1:T107,T108))</f>
        <v/>
      </c>
      <c r="V108" s="214">
        <f t="shared" si="7"/>
        <v>0</v>
      </c>
      <c r="W108" s="214" t="str">
        <f>IF(V108=0,"",RANK(V108,V:V,0)+COUNTIF(V$1:V107,V108))</f>
        <v/>
      </c>
    </row>
    <row r="109" spans="1:23">
      <c r="C109" s="18" t="str" cm="1">
        <f t="array" ref="C109">IFERROR(IF(A109="","",IF(ISNUMBER(MATCH(TRUE,ISNUMBER(SEARCH($Q$2:$Q$51, $A109)),0))=TRUE,"United States of America",INDEX($S$2:$S$199,MATCH(TRUE,ISNUMBER(SEARCH($S$2:$S$199, $A109)),0)))),"United States of America")</f>
        <v/>
      </c>
      <c r="D109" s="18" t="str" cm="1">
        <f t="array" ref="D109">IF(A109="","",IF(ISNUMBER(MATCH(TRUE,ISNUMBER(SEARCH($Q$2:$Q$51, $A109)),0))=TRUE,"",IF(ISNUMBER(MATCH(TRUE,ISNUMBER(SEARCH($S$2:$S$199, $A109)),0))=TRUE,"","미국 확인 필요")))</f>
        <v/>
      </c>
      <c r="H109" s="18" t="str" cm="1">
        <f t="array" ref="H109">IFERROR(IF(F109="","",IF(ISNUMBER(MATCH(TRUE,ISNUMBER(SEARCH($Q$2:$Q$51, $F109)),0))=TRUE,"United States of America",INDEX($S$2:$S$199,MATCH(TRUE,ISNUMBER(SEARCH($S$2:$S$199, $F109)),0)))),"United States of America")</f>
        <v/>
      </c>
      <c r="I109" s="18" t="str" cm="1">
        <f t="array" ref="I109">IF(F109="","",IF(ISNUMBER(MATCH(TRUE,ISNUMBER(SEARCH($Q$2:$Q$51, $F109)),0))=TRUE,"",IF(ISNUMBER(MATCH(TRUE,ISNUMBER(SEARCH($S$2:$S$199, $F109)),0))=TRUE,"","미국 확인 필요")))</f>
        <v/>
      </c>
      <c r="S109" s="86" t="s">
        <v>510</v>
      </c>
      <c r="T109" s="214">
        <f t="shared" si="6"/>
        <v>0</v>
      </c>
      <c r="U109" s="214" t="str">
        <f>IF(T109=0,"",RANK(T109,T:T,0)+COUNTIF(T$1:T108,T109))</f>
        <v/>
      </c>
      <c r="V109" s="214">
        <f t="shared" si="7"/>
        <v>0</v>
      </c>
      <c r="W109" s="214" t="str">
        <f>IF(V109=0,"",RANK(V109,V:V,0)+COUNTIF(V$1:V108,V109))</f>
        <v/>
      </c>
    </row>
    <row r="110" spans="1:23">
      <c r="C110" s="18" t="str" cm="1">
        <f t="array" ref="C110">IFERROR(IF(A110="","",IF(ISNUMBER(MATCH(TRUE,ISNUMBER(SEARCH($Q$2:$Q$51, $A110)),0))=TRUE,"United States of America",INDEX($S$2:$S$199,MATCH(TRUE,ISNUMBER(SEARCH($S$2:$S$199, $A110)),0)))),"United States of America")</f>
        <v/>
      </c>
      <c r="D110" s="18" t="str" cm="1">
        <f t="array" ref="D110">IF(A110="","",IF(ISNUMBER(MATCH(TRUE,ISNUMBER(SEARCH($Q$2:$Q$51, $A110)),0))=TRUE,"",IF(ISNUMBER(MATCH(TRUE,ISNUMBER(SEARCH($S$2:$S$199, $A110)),0))=TRUE,"","미국 확인 필요")))</f>
        <v/>
      </c>
      <c r="H110" s="18" t="str" cm="1">
        <f t="array" ref="H110">IFERROR(IF(F110="","",IF(ISNUMBER(MATCH(TRUE,ISNUMBER(SEARCH($Q$2:$Q$51, $F110)),0))=TRUE,"United States of America",INDEX($S$2:$S$199,MATCH(TRUE,ISNUMBER(SEARCH($S$2:$S$199, $F110)),0)))),"United States of America")</f>
        <v/>
      </c>
      <c r="I110" s="18" t="str" cm="1">
        <f t="array" ref="I110">IF(F110="","",IF(ISNUMBER(MATCH(TRUE,ISNUMBER(SEARCH($Q$2:$Q$51, $F110)),0))=TRUE,"",IF(ISNUMBER(MATCH(TRUE,ISNUMBER(SEARCH($S$2:$S$199, $F110)),0))=TRUE,"","미국 확인 필요")))</f>
        <v/>
      </c>
      <c r="S110" s="86" t="s">
        <v>511</v>
      </c>
      <c r="T110" s="214">
        <f t="shared" si="6"/>
        <v>0</v>
      </c>
      <c r="U110" s="214" t="str">
        <f>IF(T110=0,"",RANK(T110,T:T,0)+COUNTIF(T$1:T109,T110))</f>
        <v/>
      </c>
      <c r="V110" s="214">
        <f t="shared" si="7"/>
        <v>0</v>
      </c>
      <c r="W110" s="214" t="str">
        <f>IF(V110=0,"",RANK(V110,V:V,0)+COUNTIF(V$1:V109,V110))</f>
        <v/>
      </c>
    </row>
    <row r="111" spans="1:23">
      <c r="C111" s="18" t="str" cm="1">
        <f t="array" ref="C111">IFERROR(IF(A111="","",IF(ISNUMBER(MATCH(TRUE,ISNUMBER(SEARCH($Q$2:$Q$51, $A111)),0))=TRUE,"United States of America",INDEX($S$2:$S$199,MATCH(TRUE,ISNUMBER(SEARCH($S$2:$S$199, $A111)),0)))),"United States of America")</f>
        <v/>
      </c>
      <c r="D111" s="18" t="str" cm="1">
        <f t="array" ref="D111">IF(A111="","",IF(ISNUMBER(MATCH(TRUE,ISNUMBER(SEARCH($Q$2:$Q$51, $A111)),0))=TRUE,"",IF(ISNUMBER(MATCH(TRUE,ISNUMBER(SEARCH($S$2:$S$199, $A111)),0))=TRUE,"","미국 확인 필요")))</f>
        <v/>
      </c>
      <c r="H111" s="18" t="str" cm="1">
        <f t="array" ref="H111">IFERROR(IF(F111="","",IF(ISNUMBER(MATCH(TRUE,ISNUMBER(SEARCH($Q$2:$Q$51, $F111)),0))=TRUE,"United States of America",INDEX($S$2:$S$199,MATCH(TRUE,ISNUMBER(SEARCH($S$2:$S$199, $F111)),0)))),"United States of America")</f>
        <v/>
      </c>
      <c r="I111" s="18" t="str" cm="1">
        <f t="array" ref="I111">IF(F111="","",IF(ISNUMBER(MATCH(TRUE,ISNUMBER(SEARCH($Q$2:$Q$51, $F111)),0))=TRUE,"",IF(ISNUMBER(MATCH(TRUE,ISNUMBER(SEARCH($S$2:$S$199, $F111)),0))=TRUE,"","미국 확인 필요")))</f>
        <v/>
      </c>
      <c r="S111" s="86" t="s">
        <v>512</v>
      </c>
      <c r="T111" s="214">
        <f t="shared" si="6"/>
        <v>0</v>
      </c>
      <c r="U111" s="214" t="str">
        <f>IF(T111=0,"",RANK(T111,T:T,0)+COUNTIF(T$1:T110,T111))</f>
        <v/>
      </c>
      <c r="V111" s="214">
        <f t="shared" si="7"/>
        <v>0</v>
      </c>
      <c r="W111" s="214" t="str">
        <f>IF(V111=0,"",RANK(V111,V:V,0)+COUNTIF(V$1:V110,V111))</f>
        <v/>
      </c>
    </row>
    <row r="112" spans="1:23">
      <c r="C112" s="18" t="str" cm="1">
        <f t="array" ref="C112">IFERROR(IF(A112="","",IF(ISNUMBER(MATCH(TRUE,ISNUMBER(SEARCH($Q$2:$Q$51, $A112)),0))=TRUE,"United States of America",INDEX($S$2:$S$199,MATCH(TRUE,ISNUMBER(SEARCH($S$2:$S$199, $A112)),0)))),"United States of America")</f>
        <v/>
      </c>
      <c r="D112" s="18" t="str" cm="1">
        <f t="array" ref="D112">IF(A112="","",IF(ISNUMBER(MATCH(TRUE,ISNUMBER(SEARCH($Q$2:$Q$51, $A112)),0))=TRUE,"",IF(ISNUMBER(MATCH(TRUE,ISNUMBER(SEARCH($S$2:$S$199, $A112)),0))=TRUE,"","미국 확인 필요")))</f>
        <v/>
      </c>
      <c r="H112" s="18" t="str" cm="1">
        <f t="array" ref="H112">IFERROR(IF(F112="","",IF(ISNUMBER(MATCH(TRUE,ISNUMBER(SEARCH($Q$2:$Q$51, $F112)),0))=TRUE,"United States of America",INDEX($S$2:$S$199,MATCH(TRUE,ISNUMBER(SEARCH($S$2:$S$199, $F112)),0)))),"United States of America")</f>
        <v/>
      </c>
      <c r="I112" s="18" t="str" cm="1">
        <f t="array" ref="I112">IF(F112="","",IF(ISNUMBER(MATCH(TRUE,ISNUMBER(SEARCH($Q$2:$Q$51, $F112)),0))=TRUE,"",IF(ISNUMBER(MATCH(TRUE,ISNUMBER(SEARCH($S$2:$S$199, $F112)),0))=TRUE,"","미국 확인 필요")))</f>
        <v/>
      </c>
      <c r="S112" s="86" t="s">
        <v>513</v>
      </c>
      <c r="T112" s="214">
        <f t="shared" si="6"/>
        <v>0</v>
      </c>
      <c r="U112" s="214" t="str">
        <f>IF(T112=0,"",RANK(T112,T:T,0)+COUNTIF(T$1:T111,T112))</f>
        <v/>
      </c>
      <c r="V112" s="214">
        <f t="shared" si="7"/>
        <v>0</v>
      </c>
      <c r="W112" s="214" t="str">
        <f>IF(V112=0,"",RANK(V112,V:V,0)+COUNTIF(V$1:V111,V112))</f>
        <v/>
      </c>
    </row>
    <row r="113" spans="3:23">
      <c r="C113" s="18" t="str" cm="1">
        <f t="array" ref="C113">IFERROR(IF(A113="","",IF(ISNUMBER(MATCH(TRUE,ISNUMBER(SEARCH($Q$2:$Q$51, $A113)),0))=TRUE,"United States of America",INDEX($S$2:$S$199,MATCH(TRUE,ISNUMBER(SEARCH($S$2:$S$199, $A113)),0)))),"United States of America")</f>
        <v/>
      </c>
      <c r="D113" s="18" t="str" cm="1">
        <f t="array" ref="D113">IF(A113="","",IF(ISNUMBER(MATCH(TRUE,ISNUMBER(SEARCH($Q$2:$Q$51, $A113)),0))=TRUE,"",IF(ISNUMBER(MATCH(TRUE,ISNUMBER(SEARCH($S$2:$S$199, $A113)),0))=TRUE,"","미국 확인 필요")))</f>
        <v/>
      </c>
      <c r="H113" s="18" t="str" cm="1">
        <f t="array" ref="H113">IFERROR(IF(F113="","",IF(ISNUMBER(MATCH(TRUE,ISNUMBER(SEARCH($Q$2:$Q$51, $F113)),0))=TRUE,"United States of America",INDEX($S$2:$S$199,MATCH(TRUE,ISNUMBER(SEARCH($S$2:$S$199, $F113)),0)))),"United States of America")</f>
        <v/>
      </c>
      <c r="I113" s="18" t="str" cm="1">
        <f t="array" ref="I113">IF(F113="","",IF(ISNUMBER(MATCH(TRUE,ISNUMBER(SEARCH($Q$2:$Q$51, $F113)),0))=TRUE,"",IF(ISNUMBER(MATCH(TRUE,ISNUMBER(SEARCH($S$2:$S$199, $F113)),0))=TRUE,"","미국 확인 필요")))</f>
        <v/>
      </c>
      <c r="S113" s="86" t="s">
        <v>514</v>
      </c>
      <c r="T113" s="214">
        <f t="shared" si="6"/>
        <v>0</v>
      </c>
      <c r="U113" s="214" t="str">
        <f>IF(T113=0,"",RANK(T113,T:T,0)+COUNTIF(T$1:T112,T113))</f>
        <v/>
      </c>
      <c r="V113" s="214">
        <f t="shared" si="7"/>
        <v>0</v>
      </c>
      <c r="W113" s="214" t="str">
        <f>IF(V113=0,"",RANK(V113,V:V,0)+COUNTIF(V$1:V112,V113))</f>
        <v/>
      </c>
    </row>
    <row r="114" spans="3:23">
      <c r="C114" s="18" t="str" cm="1">
        <f t="array" ref="C114">IFERROR(IF(A114="","",IF(ISNUMBER(MATCH(TRUE,ISNUMBER(SEARCH($Q$2:$Q$51, $A114)),0))=TRUE,"United States of America",INDEX($S$2:$S$199,MATCH(TRUE,ISNUMBER(SEARCH($S$2:$S$199, $A114)),0)))),"United States of America")</f>
        <v/>
      </c>
      <c r="D114" s="18" t="str" cm="1">
        <f t="array" ref="D114">IF(A114="","",IF(ISNUMBER(MATCH(TRUE,ISNUMBER(SEARCH($Q$2:$Q$51, $A114)),0))=TRUE,"",IF(ISNUMBER(MATCH(TRUE,ISNUMBER(SEARCH($S$2:$S$199, $A114)),0))=TRUE,"","미국 확인 필요")))</f>
        <v/>
      </c>
      <c r="H114" s="18" t="str" cm="1">
        <f t="array" ref="H114">IFERROR(IF(F114="","",IF(ISNUMBER(MATCH(TRUE,ISNUMBER(SEARCH($Q$2:$Q$51, $F114)),0))=TRUE,"United States of America",INDEX($S$2:$S$199,MATCH(TRUE,ISNUMBER(SEARCH($S$2:$S$199, $F114)),0)))),"United States of America")</f>
        <v/>
      </c>
      <c r="I114" s="18" t="str" cm="1">
        <f t="array" ref="I114">IF(F114="","",IF(ISNUMBER(MATCH(TRUE,ISNUMBER(SEARCH($Q$2:$Q$51, $F114)),0))=TRUE,"",IF(ISNUMBER(MATCH(TRUE,ISNUMBER(SEARCH($S$2:$S$199, $F114)),0))=TRUE,"","미국 확인 필요")))</f>
        <v/>
      </c>
      <c r="S114" s="86" t="s">
        <v>515</v>
      </c>
      <c r="T114" s="214">
        <f t="shared" si="6"/>
        <v>0</v>
      </c>
      <c r="U114" s="214" t="str">
        <f>IF(T114=0,"",RANK(T114,T:T,0)+COUNTIF(T$1:T113,T114))</f>
        <v/>
      </c>
      <c r="V114" s="214">
        <f t="shared" si="7"/>
        <v>0</v>
      </c>
      <c r="W114" s="214" t="str">
        <f>IF(V114=0,"",RANK(V114,V:V,0)+COUNTIF(V$1:V113,V114))</f>
        <v/>
      </c>
    </row>
    <row r="115" spans="3:23">
      <c r="C115" s="18" t="str" cm="1">
        <f t="array" ref="C115">IFERROR(IF(A115="","",IF(ISNUMBER(MATCH(TRUE,ISNUMBER(SEARCH($Q$2:$Q$51, $A115)),0))=TRUE,"United States of America",INDEX($S$2:$S$199,MATCH(TRUE,ISNUMBER(SEARCH($S$2:$S$199, $A115)),0)))),"United States of America")</f>
        <v/>
      </c>
      <c r="D115" s="18" t="str" cm="1">
        <f t="array" ref="D115">IF(A115="","",IF(ISNUMBER(MATCH(TRUE,ISNUMBER(SEARCH($Q$2:$Q$51, $A115)),0))=TRUE,"",IF(ISNUMBER(MATCH(TRUE,ISNUMBER(SEARCH($S$2:$S$199, $A115)),0))=TRUE,"","미국 확인 필요")))</f>
        <v/>
      </c>
      <c r="H115" s="18" t="str" cm="1">
        <f t="array" ref="H115">IFERROR(IF(F115="","",IF(ISNUMBER(MATCH(TRUE,ISNUMBER(SEARCH($Q$2:$Q$51, $F115)),0))=TRUE,"United States of America",INDEX($S$2:$S$199,MATCH(TRUE,ISNUMBER(SEARCH($S$2:$S$199, $F115)),0)))),"United States of America")</f>
        <v/>
      </c>
      <c r="I115" s="18" t="str" cm="1">
        <f t="array" ref="I115">IF(F115="","",IF(ISNUMBER(MATCH(TRUE,ISNUMBER(SEARCH($Q$2:$Q$51, $F115)),0))=TRUE,"",IF(ISNUMBER(MATCH(TRUE,ISNUMBER(SEARCH($S$2:$S$199, $F115)),0))=TRUE,"","미국 확인 필요")))</f>
        <v/>
      </c>
      <c r="S115" s="86" t="s">
        <v>516</v>
      </c>
      <c r="T115" s="214">
        <f t="shared" si="6"/>
        <v>0</v>
      </c>
      <c r="U115" s="214" t="str">
        <f>IF(T115=0,"",RANK(T115,T:T,0)+COUNTIF(T$1:T114,T115))</f>
        <v/>
      </c>
      <c r="V115" s="214">
        <f t="shared" si="7"/>
        <v>0</v>
      </c>
      <c r="W115" s="214" t="str">
        <f>IF(V115=0,"",RANK(V115,V:V,0)+COUNTIF(V$1:V114,V115))</f>
        <v/>
      </c>
    </row>
    <row r="116" spans="3:23">
      <c r="C116" s="18" t="str" cm="1">
        <f t="array" ref="C116">IFERROR(IF(A116="","",IF(ISNUMBER(MATCH(TRUE,ISNUMBER(SEARCH($Q$2:$Q$51, $A116)),0))=TRUE,"United States of America",INDEX($S$2:$S$199,MATCH(TRUE,ISNUMBER(SEARCH($S$2:$S$199, $A116)),0)))),"United States of America")</f>
        <v/>
      </c>
      <c r="D116" s="18" t="str" cm="1">
        <f t="array" ref="D116">IF(A116="","",IF(ISNUMBER(MATCH(TRUE,ISNUMBER(SEARCH($Q$2:$Q$51, $A116)),0))=TRUE,"",IF(ISNUMBER(MATCH(TRUE,ISNUMBER(SEARCH($S$2:$S$199, $A116)),0))=TRUE,"","미국 확인 필요")))</f>
        <v/>
      </c>
      <c r="H116" s="18" t="str" cm="1">
        <f t="array" ref="H116">IFERROR(IF(F116="","",IF(ISNUMBER(MATCH(TRUE,ISNUMBER(SEARCH($Q$2:$Q$51, $F116)),0))=TRUE,"United States of America",INDEX($S$2:$S$199,MATCH(TRUE,ISNUMBER(SEARCH($S$2:$S$199, $F116)),0)))),"United States of America")</f>
        <v/>
      </c>
      <c r="I116" s="18" t="str" cm="1">
        <f t="array" ref="I116">IF(F116="","",IF(ISNUMBER(MATCH(TRUE,ISNUMBER(SEARCH($Q$2:$Q$51, $F116)),0))=TRUE,"",IF(ISNUMBER(MATCH(TRUE,ISNUMBER(SEARCH($S$2:$S$199, $F116)),0))=TRUE,"","미국 확인 필요")))</f>
        <v/>
      </c>
      <c r="S116" s="86" t="s">
        <v>517</v>
      </c>
      <c r="T116" s="214">
        <f t="shared" si="6"/>
        <v>0</v>
      </c>
      <c r="U116" s="214" t="str">
        <f>IF(T116=0,"",RANK(T116,T:T,0)+COUNTIF(T$1:T115,T116))</f>
        <v/>
      </c>
      <c r="V116" s="214">
        <f t="shared" si="7"/>
        <v>0</v>
      </c>
      <c r="W116" s="214" t="str">
        <f>IF(V116=0,"",RANK(V116,V:V,0)+COUNTIF(V$1:V115,V116))</f>
        <v/>
      </c>
    </row>
    <row r="117" spans="3:23">
      <c r="C117" s="18" t="str" cm="1">
        <f t="array" ref="C117">IFERROR(IF(A117="","",IF(ISNUMBER(MATCH(TRUE,ISNUMBER(SEARCH($Q$2:$Q$51, $A117)),0))=TRUE,"United States of America",INDEX($S$2:$S$199,MATCH(TRUE,ISNUMBER(SEARCH($S$2:$S$199, $A117)),0)))),"United States of America")</f>
        <v/>
      </c>
      <c r="D117" s="18" t="str" cm="1">
        <f t="array" ref="D117">IF(A117="","",IF(ISNUMBER(MATCH(TRUE,ISNUMBER(SEARCH($Q$2:$Q$51, $A117)),0))=TRUE,"",IF(ISNUMBER(MATCH(TRUE,ISNUMBER(SEARCH($S$2:$S$199, $A117)),0))=TRUE,"","미국 확인 필요")))</f>
        <v/>
      </c>
      <c r="H117" s="18" t="str" cm="1">
        <f t="array" ref="H117">IFERROR(IF(F117="","",IF(ISNUMBER(MATCH(TRUE,ISNUMBER(SEARCH($Q$2:$Q$51, $F117)),0))=TRUE,"United States of America",INDEX($S$2:$S$199,MATCH(TRUE,ISNUMBER(SEARCH($S$2:$S$199, $F117)),0)))),"United States of America")</f>
        <v/>
      </c>
      <c r="I117" s="18" t="str" cm="1">
        <f t="array" ref="I117">IF(F117="","",IF(ISNUMBER(MATCH(TRUE,ISNUMBER(SEARCH($Q$2:$Q$51, $F117)),0))=TRUE,"",IF(ISNUMBER(MATCH(TRUE,ISNUMBER(SEARCH($S$2:$S$199, $F117)),0))=TRUE,"","미국 확인 필요")))</f>
        <v/>
      </c>
      <c r="S117" s="86" t="s">
        <v>518</v>
      </c>
      <c r="T117" s="214">
        <f t="shared" si="6"/>
        <v>0</v>
      </c>
      <c r="U117" s="214" t="str">
        <f>IF(T117=0,"",RANK(T117,T:T,0)+COUNTIF(T$1:T116,T117))</f>
        <v/>
      </c>
      <c r="V117" s="214">
        <f t="shared" si="7"/>
        <v>0</v>
      </c>
      <c r="W117" s="214" t="str">
        <f>IF(V117=0,"",RANK(V117,V:V,0)+COUNTIF(V$1:V116,V117))</f>
        <v/>
      </c>
    </row>
    <row r="118" spans="3:23">
      <c r="C118" s="18" t="str" cm="1">
        <f t="array" ref="C118">IFERROR(IF(A118="","",IF(ISNUMBER(MATCH(TRUE,ISNUMBER(SEARCH($Q$2:$Q$51, $A118)),0))=TRUE,"United States of America",INDEX($S$2:$S$199,MATCH(TRUE,ISNUMBER(SEARCH($S$2:$S$199, $A118)),0)))),"United States of America")</f>
        <v/>
      </c>
      <c r="D118" s="18" t="str" cm="1">
        <f t="array" ref="D118">IF(A118="","",IF(ISNUMBER(MATCH(TRUE,ISNUMBER(SEARCH($Q$2:$Q$51, $A118)),0))=TRUE,"",IF(ISNUMBER(MATCH(TRUE,ISNUMBER(SEARCH($S$2:$S$199, $A118)),0))=TRUE,"","미국 확인 필요")))</f>
        <v/>
      </c>
      <c r="H118" s="18" t="str" cm="1">
        <f t="array" ref="H118">IFERROR(IF(F118="","",IF(ISNUMBER(MATCH(TRUE,ISNUMBER(SEARCH($Q$2:$Q$51, $F118)),0))=TRUE,"United States of America",INDEX($S$2:$S$199,MATCH(TRUE,ISNUMBER(SEARCH($S$2:$S$199, $F118)),0)))),"United States of America")</f>
        <v/>
      </c>
      <c r="I118" s="18" t="str" cm="1">
        <f t="array" ref="I118">IF(F118="","",IF(ISNUMBER(MATCH(TRUE,ISNUMBER(SEARCH($Q$2:$Q$51, $F118)),0))=TRUE,"",IF(ISNUMBER(MATCH(TRUE,ISNUMBER(SEARCH($S$2:$S$199, $F118)),0))=TRUE,"","미국 확인 필요")))</f>
        <v/>
      </c>
      <c r="S118" s="86" t="s">
        <v>519</v>
      </c>
      <c r="T118" s="214">
        <f t="shared" si="6"/>
        <v>0</v>
      </c>
      <c r="U118" s="214" t="str">
        <f>IF(T118=0,"",RANK(T118,T:T,0)+COUNTIF(T$1:T117,T118))</f>
        <v/>
      </c>
      <c r="V118" s="214">
        <f t="shared" si="7"/>
        <v>0</v>
      </c>
      <c r="W118" s="214" t="str">
        <f>IF(V118=0,"",RANK(V118,V:V,0)+COUNTIF(V$1:V117,V118))</f>
        <v/>
      </c>
    </row>
    <row r="119" spans="3:23">
      <c r="C119" s="18" t="str" cm="1">
        <f t="array" ref="C119">IFERROR(IF(A119="","",IF(ISNUMBER(MATCH(TRUE,ISNUMBER(SEARCH($Q$2:$Q$51, $A119)),0))=TRUE,"United States of America",INDEX($S$2:$S$199,MATCH(TRUE,ISNUMBER(SEARCH($S$2:$S$199, $A119)),0)))),"United States of America")</f>
        <v/>
      </c>
      <c r="D119" s="18" t="str" cm="1">
        <f t="array" ref="D119">IF(A119="","",IF(ISNUMBER(MATCH(TRUE,ISNUMBER(SEARCH($Q$2:$Q$51, $A119)),0))=TRUE,"",IF(ISNUMBER(MATCH(TRUE,ISNUMBER(SEARCH($S$2:$S$199, $A119)),0))=TRUE,"","미국 확인 필요")))</f>
        <v/>
      </c>
      <c r="H119" s="18" t="str" cm="1">
        <f t="array" ref="H119">IFERROR(IF(F119="","",IF(ISNUMBER(MATCH(TRUE,ISNUMBER(SEARCH($Q$2:$Q$51, $F119)),0))=TRUE,"United States of America",INDEX($S$2:$S$199,MATCH(TRUE,ISNUMBER(SEARCH($S$2:$S$199, $F119)),0)))),"United States of America")</f>
        <v/>
      </c>
      <c r="I119" s="18" t="str" cm="1">
        <f t="array" ref="I119">IF(F119="","",IF(ISNUMBER(MATCH(TRUE,ISNUMBER(SEARCH($Q$2:$Q$51, $F119)),0))=TRUE,"",IF(ISNUMBER(MATCH(TRUE,ISNUMBER(SEARCH($S$2:$S$199, $F119)),0))=TRUE,"","미국 확인 필요")))</f>
        <v/>
      </c>
      <c r="S119" s="86" t="s">
        <v>520</v>
      </c>
      <c r="T119" s="214">
        <f t="shared" si="6"/>
        <v>0</v>
      </c>
      <c r="U119" s="214" t="str">
        <f>IF(T119=0,"",RANK(T119,T:T,0)+COUNTIF(T$1:T118,T119))</f>
        <v/>
      </c>
      <c r="V119" s="214">
        <f t="shared" si="7"/>
        <v>0</v>
      </c>
      <c r="W119" s="214" t="str">
        <f>IF(V119=0,"",RANK(V119,V:V,0)+COUNTIF(V$1:V118,V119))</f>
        <v/>
      </c>
    </row>
    <row r="120" spans="3:23">
      <c r="C120" s="18" t="str" cm="1">
        <f t="array" ref="C120">IFERROR(IF(A120="","",IF(ISNUMBER(MATCH(TRUE,ISNUMBER(SEARCH($Q$2:$Q$51, $A120)),0))=TRUE,"United States of America",INDEX($S$2:$S$199,MATCH(TRUE,ISNUMBER(SEARCH($S$2:$S$199, $A120)),0)))),"United States of America")</f>
        <v/>
      </c>
      <c r="D120" s="18" t="str" cm="1">
        <f t="array" ref="D120">IF(A120="","",IF(ISNUMBER(MATCH(TRUE,ISNUMBER(SEARCH($Q$2:$Q$51, $A120)),0))=TRUE,"",IF(ISNUMBER(MATCH(TRUE,ISNUMBER(SEARCH($S$2:$S$199, $A120)),0))=TRUE,"","미국 확인 필요")))</f>
        <v/>
      </c>
      <c r="H120" s="18" t="str" cm="1">
        <f t="array" ref="H120">IFERROR(IF(F120="","",IF(ISNUMBER(MATCH(TRUE,ISNUMBER(SEARCH($Q$2:$Q$51, $F120)),0))=TRUE,"United States of America",INDEX($S$2:$S$199,MATCH(TRUE,ISNUMBER(SEARCH($S$2:$S$199, $F120)),0)))),"United States of America")</f>
        <v/>
      </c>
      <c r="I120" s="18" t="str" cm="1">
        <f t="array" ref="I120">IF(F120="","",IF(ISNUMBER(MATCH(TRUE,ISNUMBER(SEARCH($Q$2:$Q$51, $F120)),0))=TRUE,"",IF(ISNUMBER(MATCH(TRUE,ISNUMBER(SEARCH($S$2:$S$199, $F120)),0))=TRUE,"","미국 확인 필요")))</f>
        <v/>
      </c>
      <c r="S120" s="86" t="s">
        <v>521</v>
      </c>
      <c r="T120" s="214">
        <f t="shared" si="6"/>
        <v>0</v>
      </c>
      <c r="U120" s="214" t="str">
        <f>IF(T120=0,"",RANK(T120,T:T,0)+COUNTIF(T$1:T119,T120))</f>
        <v/>
      </c>
      <c r="V120" s="214">
        <f t="shared" si="7"/>
        <v>0</v>
      </c>
      <c r="W120" s="214" t="str">
        <f>IF(V120=0,"",RANK(V120,V:V,0)+COUNTIF(V$1:V119,V120))</f>
        <v/>
      </c>
    </row>
    <row r="121" spans="3:23">
      <c r="C121" s="18" t="str" cm="1">
        <f t="array" ref="C121">IFERROR(IF(A121="","",IF(ISNUMBER(MATCH(TRUE,ISNUMBER(SEARCH($Q$2:$Q$51, $A121)),0))=TRUE,"United States of America",INDEX($S$2:$S$199,MATCH(TRUE,ISNUMBER(SEARCH($S$2:$S$199, $A121)),0)))),"United States of America")</f>
        <v/>
      </c>
      <c r="D121" s="18" t="str" cm="1">
        <f t="array" ref="D121">IF(A121="","",IF(ISNUMBER(MATCH(TRUE,ISNUMBER(SEARCH($Q$2:$Q$51, $A121)),0))=TRUE,"",IF(ISNUMBER(MATCH(TRUE,ISNUMBER(SEARCH($S$2:$S$199, $A121)),0))=TRUE,"","미국 확인 필요")))</f>
        <v/>
      </c>
      <c r="H121" s="18" t="str" cm="1">
        <f t="array" ref="H121">IFERROR(IF(F121="","",IF(ISNUMBER(MATCH(TRUE,ISNUMBER(SEARCH($Q$2:$Q$51, $F121)),0))=TRUE,"United States of America",INDEX($S$2:$S$199,MATCH(TRUE,ISNUMBER(SEARCH($S$2:$S$199, $F121)),0)))),"United States of America")</f>
        <v/>
      </c>
      <c r="I121" s="18" t="str" cm="1">
        <f t="array" ref="I121">IF(F121="","",IF(ISNUMBER(MATCH(TRUE,ISNUMBER(SEARCH($Q$2:$Q$51, $F121)),0))=TRUE,"",IF(ISNUMBER(MATCH(TRUE,ISNUMBER(SEARCH($S$2:$S$199, $F121)),0))=TRUE,"","미국 확인 필요")))</f>
        <v/>
      </c>
      <c r="S121" s="86" t="s">
        <v>522</v>
      </c>
      <c r="T121" s="214">
        <f t="shared" si="6"/>
        <v>0</v>
      </c>
      <c r="U121" s="214" t="str">
        <f>IF(T121=0,"",RANK(T121,T:T,0)+COUNTIF(T$1:T120,T121))</f>
        <v/>
      </c>
      <c r="V121" s="214">
        <f t="shared" si="7"/>
        <v>0</v>
      </c>
      <c r="W121" s="214" t="str">
        <f>IF(V121=0,"",RANK(V121,V:V,0)+COUNTIF(V$1:V120,V121))</f>
        <v/>
      </c>
    </row>
    <row r="122" spans="3:23">
      <c r="C122" s="18" t="str" cm="1">
        <f t="array" ref="C122">IFERROR(IF(A122="","",IF(ISNUMBER(MATCH(TRUE,ISNUMBER(SEARCH($Q$2:$Q$51, $A122)),0))=TRUE,"United States of America",INDEX($S$2:$S$199,MATCH(TRUE,ISNUMBER(SEARCH($S$2:$S$199, $A122)),0)))),"United States of America")</f>
        <v/>
      </c>
      <c r="D122" s="18" t="str" cm="1">
        <f t="array" ref="D122">IF(A122="","",IF(ISNUMBER(MATCH(TRUE,ISNUMBER(SEARCH($Q$2:$Q$51, $A122)),0))=TRUE,"",IF(ISNUMBER(MATCH(TRUE,ISNUMBER(SEARCH($S$2:$S$199, $A122)),0))=TRUE,"","미국 확인 필요")))</f>
        <v/>
      </c>
      <c r="H122" s="18" t="str" cm="1">
        <f t="array" ref="H122">IFERROR(IF(F122="","",IF(ISNUMBER(MATCH(TRUE,ISNUMBER(SEARCH($Q$2:$Q$51, $F122)),0))=TRUE,"United States of America",INDEX($S$2:$S$199,MATCH(TRUE,ISNUMBER(SEARCH($S$2:$S$199, $F122)),0)))),"United States of America")</f>
        <v/>
      </c>
      <c r="I122" s="18" t="str" cm="1">
        <f t="array" ref="I122">IF(F122="","",IF(ISNUMBER(MATCH(TRUE,ISNUMBER(SEARCH($Q$2:$Q$51, $F122)),0))=TRUE,"",IF(ISNUMBER(MATCH(TRUE,ISNUMBER(SEARCH($S$2:$S$199, $F122)),0))=TRUE,"","미국 확인 필요")))</f>
        <v/>
      </c>
      <c r="S122" s="86" t="s">
        <v>523</v>
      </c>
      <c r="T122" s="214">
        <f t="shared" si="6"/>
        <v>0</v>
      </c>
      <c r="U122" s="214" t="str">
        <f>IF(T122=0,"",RANK(T122,T:T,0)+COUNTIF(T$1:T121,T122))</f>
        <v/>
      </c>
      <c r="V122" s="214">
        <f t="shared" si="7"/>
        <v>0</v>
      </c>
      <c r="W122" s="214" t="str">
        <f>IF(V122=0,"",RANK(V122,V:V,0)+COUNTIF(V$1:V121,V122))</f>
        <v/>
      </c>
    </row>
    <row r="123" spans="3:23">
      <c r="C123" s="18" t="str" cm="1">
        <f t="array" ref="C123">IFERROR(IF(A123="","",IF(ISNUMBER(MATCH(TRUE,ISNUMBER(SEARCH($Q$2:$Q$51, $A123)),0))=TRUE,"United States of America",INDEX($S$2:$S$199,MATCH(TRUE,ISNUMBER(SEARCH($S$2:$S$199, $A123)),0)))),"United States of America")</f>
        <v/>
      </c>
      <c r="D123" s="18" t="str" cm="1">
        <f t="array" ref="D123">IF(A123="","",IF(ISNUMBER(MATCH(TRUE,ISNUMBER(SEARCH($Q$2:$Q$51, $A123)),0))=TRUE,"",IF(ISNUMBER(MATCH(TRUE,ISNUMBER(SEARCH($S$2:$S$199, $A123)),0))=TRUE,"","미국 확인 필요")))</f>
        <v/>
      </c>
      <c r="H123" s="18" t="str" cm="1">
        <f t="array" ref="H123">IFERROR(IF(F123="","",IF(ISNUMBER(MATCH(TRUE,ISNUMBER(SEARCH($Q$2:$Q$51, $F123)),0))=TRUE,"United States of America",INDEX($S$2:$S$199,MATCH(TRUE,ISNUMBER(SEARCH($S$2:$S$199, $F123)),0)))),"United States of America")</f>
        <v/>
      </c>
      <c r="I123" s="18" t="str" cm="1">
        <f t="array" ref="I123">IF(F123="","",IF(ISNUMBER(MATCH(TRUE,ISNUMBER(SEARCH($Q$2:$Q$51, $F123)),0))=TRUE,"",IF(ISNUMBER(MATCH(TRUE,ISNUMBER(SEARCH($S$2:$S$199, $F123)),0))=TRUE,"","미국 확인 필요")))</f>
        <v/>
      </c>
      <c r="S123" s="86" t="s">
        <v>524</v>
      </c>
      <c r="T123" s="214">
        <f t="shared" si="6"/>
        <v>0</v>
      </c>
      <c r="U123" s="214" t="str">
        <f>IF(T123=0,"",RANK(T123,T:T,0)+COUNTIF(T$1:T122,T123))</f>
        <v/>
      </c>
      <c r="V123" s="214">
        <f t="shared" si="7"/>
        <v>0</v>
      </c>
      <c r="W123" s="214" t="str">
        <f>IF(V123=0,"",RANK(V123,V:V,0)+COUNTIF(V$1:V122,V123))</f>
        <v/>
      </c>
    </row>
    <row r="124" spans="3:23">
      <c r="C124" s="18" t="str" cm="1">
        <f t="array" ref="C124">IFERROR(IF(A124="","",IF(ISNUMBER(MATCH(TRUE,ISNUMBER(SEARCH($Q$2:$Q$51, $A124)),0))=TRUE,"United States of America",INDEX($S$2:$S$199,MATCH(TRUE,ISNUMBER(SEARCH($S$2:$S$199, $A124)),0)))),"United States of America")</f>
        <v/>
      </c>
      <c r="D124" s="18" t="str" cm="1">
        <f t="array" ref="D124">IF(A124="","",IF(ISNUMBER(MATCH(TRUE,ISNUMBER(SEARCH($Q$2:$Q$51, $A124)),0))=TRUE,"",IF(ISNUMBER(MATCH(TRUE,ISNUMBER(SEARCH($S$2:$S$199, $A124)),0))=TRUE,"","미국 확인 필요")))</f>
        <v/>
      </c>
      <c r="H124" s="18" t="str" cm="1">
        <f t="array" ref="H124">IFERROR(IF(F124="","",IF(ISNUMBER(MATCH(TRUE,ISNUMBER(SEARCH($Q$2:$Q$51, $F124)),0))=TRUE,"United States of America",INDEX($S$2:$S$199,MATCH(TRUE,ISNUMBER(SEARCH($S$2:$S$199, $F124)),0)))),"United States of America")</f>
        <v/>
      </c>
      <c r="I124" s="18" t="str" cm="1">
        <f t="array" ref="I124">IF(F124="","",IF(ISNUMBER(MATCH(TRUE,ISNUMBER(SEARCH($Q$2:$Q$51, $F124)),0))=TRUE,"",IF(ISNUMBER(MATCH(TRUE,ISNUMBER(SEARCH($S$2:$S$199, $F124)),0))=TRUE,"","미국 확인 필요")))</f>
        <v/>
      </c>
      <c r="S124" s="86" t="s">
        <v>525</v>
      </c>
      <c r="T124" s="214">
        <f t="shared" si="6"/>
        <v>0</v>
      </c>
      <c r="U124" s="214" t="str">
        <f>IF(T124=0,"",RANK(T124,T:T,0)+COUNTIF(T$1:T123,T124))</f>
        <v/>
      </c>
      <c r="V124" s="214">
        <f t="shared" si="7"/>
        <v>0</v>
      </c>
      <c r="W124" s="214" t="str">
        <f>IF(V124=0,"",RANK(V124,V:V,0)+COUNTIF(V$1:V123,V124))</f>
        <v/>
      </c>
    </row>
    <row r="125" spans="3:23">
      <c r="C125" s="18" t="str" cm="1">
        <f t="array" ref="C125">IFERROR(IF(A125="","",IF(ISNUMBER(MATCH(TRUE,ISNUMBER(SEARCH($Q$2:$Q$51, $A125)),0))=TRUE,"United States of America",INDEX($S$2:$S$199,MATCH(TRUE,ISNUMBER(SEARCH($S$2:$S$199, $A125)),0)))),"United States of America")</f>
        <v/>
      </c>
      <c r="D125" s="18" t="str" cm="1">
        <f t="array" ref="D125">IF(A125="","",IF(ISNUMBER(MATCH(TRUE,ISNUMBER(SEARCH($Q$2:$Q$51, $A125)),0))=TRUE,"",IF(ISNUMBER(MATCH(TRUE,ISNUMBER(SEARCH($S$2:$S$199, $A125)),0))=TRUE,"","미국 확인 필요")))</f>
        <v/>
      </c>
      <c r="H125" s="18" t="str" cm="1">
        <f t="array" ref="H125">IFERROR(IF(F125="","",IF(ISNUMBER(MATCH(TRUE,ISNUMBER(SEARCH($Q$2:$Q$51, $F125)),0))=TRUE,"United States of America",INDEX($S$2:$S$199,MATCH(TRUE,ISNUMBER(SEARCH($S$2:$S$199, $F125)),0)))),"United States of America")</f>
        <v/>
      </c>
      <c r="I125" s="18" t="str" cm="1">
        <f t="array" ref="I125">IF(F125="","",IF(ISNUMBER(MATCH(TRUE,ISNUMBER(SEARCH($Q$2:$Q$51, $F125)),0))=TRUE,"",IF(ISNUMBER(MATCH(TRUE,ISNUMBER(SEARCH($S$2:$S$199, $F125)),0))=TRUE,"","미국 확인 필요")))</f>
        <v/>
      </c>
      <c r="S125" s="86" t="s">
        <v>526</v>
      </c>
      <c r="T125" s="214">
        <f t="shared" si="6"/>
        <v>0</v>
      </c>
      <c r="U125" s="214" t="str">
        <f>IF(T125=0,"",RANK(T125,T:T,0)+COUNTIF(T$1:T124,T125))</f>
        <v/>
      </c>
      <c r="V125" s="214">
        <f t="shared" si="7"/>
        <v>0</v>
      </c>
      <c r="W125" s="214" t="str">
        <f>IF(V125=0,"",RANK(V125,V:V,0)+COUNTIF(V$1:V124,V125))</f>
        <v/>
      </c>
    </row>
    <row r="126" spans="3:23">
      <c r="C126" s="18" t="str" cm="1">
        <f t="array" ref="C126">IFERROR(IF(A126="","",IF(ISNUMBER(MATCH(TRUE,ISNUMBER(SEARCH($Q$2:$Q$51, $A126)),0))=TRUE,"United States of America",INDEX($S$2:$S$199,MATCH(TRUE,ISNUMBER(SEARCH($S$2:$S$199, $A126)),0)))),"United States of America")</f>
        <v/>
      </c>
      <c r="D126" s="18" t="str" cm="1">
        <f t="array" ref="D126">IF(A126="","",IF(ISNUMBER(MATCH(TRUE,ISNUMBER(SEARCH($Q$2:$Q$51, $A126)),0))=TRUE,"",IF(ISNUMBER(MATCH(TRUE,ISNUMBER(SEARCH($S$2:$S$199, $A126)),0))=TRUE,"","미국 확인 필요")))</f>
        <v/>
      </c>
      <c r="H126" s="18" t="str" cm="1">
        <f t="array" ref="H126">IFERROR(IF(F126="","",IF(ISNUMBER(MATCH(TRUE,ISNUMBER(SEARCH($Q$2:$Q$51, $F126)),0))=TRUE,"United States of America",INDEX($S$2:$S$199,MATCH(TRUE,ISNUMBER(SEARCH($S$2:$S$199, $F126)),0)))),"United States of America")</f>
        <v/>
      </c>
      <c r="I126" s="18" t="str" cm="1">
        <f t="array" ref="I126">IF(F126="","",IF(ISNUMBER(MATCH(TRUE,ISNUMBER(SEARCH($Q$2:$Q$51, $F126)),0))=TRUE,"",IF(ISNUMBER(MATCH(TRUE,ISNUMBER(SEARCH($S$2:$S$199, $F126)),0))=TRUE,"","미국 확인 필요")))</f>
        <v/>
      </c>
      <c r="S126" s="86" t="s">
        <v>527</v>
      </c>
      <c r="T126" s="214">
        <f t="shared" si="6"/>
        <v>0</v>
      </c>
      <c r="U126" s="214" t="str">
        <f>IF(T126=0,"",RANK(T126,T:T,0)+COUNTIF(T$1:T125,T126))</f>
        <v/>
      </c>
      <c r="V126" s="214">
        <f t="shared" si="7"/>
        <v>0</v>
      </c>
      <c r="W126" s="214" t="str">
        <f>IF(V126=0,"",RANK(V126,V:V,0)+COUNTIF(V$1:V125,V126))</f>
        <v/>
      </c>
    </row>
    <row r="127" spans="3:23">
      <c r="C127" s="18" t="str" cm="1">
        <f t="array" ref="C127">IFERROR(IF(A127="","",IF(ISNUMBER(MATCH(TRUE,ISNUMBER(SEARCH($Q$2:$Q$51, $A127)),0))=TRUE,"United States of America",INDEX($S$2:$S$199,MATCH(TRUE,ISNUMBER(SEARCH($S$2:$S$199, $A127)),0)))),"United States of America")</f>
        <v/>
      </c>
      <c r="D127" s="18" t="str" cm="1">
        <f t="array" ref="D127">IF(A127="","",IF(ISNUMBER(MATCH(TRUE,ISNUMBER(SEARCH($Q$2:$Q$51, $A127)),0))=TRUE,"",IF(ISNUMBER(MATCH(TRUE,ISNUMBER(SEARCH($S$2:$S$199, $A127)),0))=TRUE,"","미국 확인 필요")))</f>
        <v/>
      </c>
      <c r="H127" s="18" t="str" cm="1">
        <f t="array" ref="H127">IFERROR(IF(F127="","",IF(ISNUMBER(MATCH(TRUE,ISNUMBER(SEARCH($Q$2:$Q$51, $F127)),0))=TRUE,"United States of America",INDEX($S$2:$S$199,MATCH(TRUE,ISNUMBER(SEARCH($S$2:$S$199, $F127)),0)))),"United States of America")</f>
        <v/>
      </c>
      <c r="I127" s="18" t="str" cm="1">
        <f t="array" ref="I127">IF(F127="","",IF(ISNUMBER(MATCH(TRUE,ISNUMBER(SEARCH($Q$2:$Q$51, $F127)),0))=TRUE,"",IF(ISNUMBER(MATCH(TRUE,ISNUMBER(SEARCH($S$2:$S$199, $F127)),0))=TRUE,"","미국 확인 필요")))</f>
        <v/>
      </c>
      <c r="S127" s="86" t="s">
        <v>528</v>
      </c>
      <c r="T127" s="214">
        <f t="shared" si="6"/>
        <v>0</v>
      </c>
      <c r="U127" s="214" t="str">
        <f>IF(T127=0,"",RANK(T127,T:T,0)+COUNTIF(T$1:T126,T127))</f>
        <v/>
      </c>
      <c r="V127" s="214">
        <f t="shared" si="7"/>
        <v>0</v>
      </c>
      <c r="W127" s="214" t="str">
        <f>IF(V127=0,"",RANK(V127,V:V,0)+COUNTIF(V$1:V126,V127))</f>
        <v/>
      </c>
    </row>
    <row r="128" spans="3:23">
      <c r="C128" s="18" t="str" cm="1">
        <f t="array" ref="C128">IFERROR(IF(A128="","",IF(ISNUMBER(MATCH(TRUE,ISNUMBER(SEARCH($Q$2:$Q$51, $A128)),0))=TRUE,"United States of America",INDEX($S$2:$S$199,MATCH(TRUE,ISNUMBER(SEARCH($S$2:$S$199, $A128)),0)))),"United States of America")</f>
        <v/>
      </c>
      <c r="D128" s="18" t="str" cm="1">
        <f t="array" ref="D128">IF(A128="","",IF(ISNUMBER(MATCH(TRUE,ISNUMBER(SEARCH($Q$2:$Q$51, $A128)),0))=TRUE,"",IF(ISNUMBER(MATCH(TRUE,ISNUMBER(SEARCH($S$2:$S$199, $A128)),0))=TRUE,"","미국 확인 필요")))</f>
        <v/>
      </c>
      <c r="H128" s="18" t="str" cm="1">
        <f t="array" ref="H128">IFERROR(IF(F128="","",IF(ISNUMBER(MATCH(TRUE,ISNUMBER(SEARCH($Q$2:$Q$51, $F128)),0))=TRUE,"United States of America",INDEX($S$2:$S$199,MATCH(TRUE,ISNUMBER(SEARCH($S$2:$S$199, $F128)),0)))),"United States of America")</f>
        <v/>
      </c>
      <c r="I128" s="18" t="str" cm="1">
        <f t="array" ref="I128">IF(F128="","",IF(ISNUMBER(MATCH(TRUE,ISNUMBER(SEARCH($Q$2:$Q$51, $F128)),0))=TRUE,"",IF(ISNUMBER(MATCH(TRUE,ISNUMBER(SEARCH($S$2:$S$199, $F128)),0))=TRUE,"","미국 확인 필요")))</f>
        <v/>
      </c>
      <c r="S128" s="86" t="s">
        <v>529</v>
      </c>
      <c r="T128" s="214">
        <f t="shared" si="6"/>
        <v>0</v>
      </c>
      <c r="U128" s="214" t="str">
        <f>IF(T128=0,"",RANK(T128,T:T,0)+COUNTIF(T$1:T127,T128))</f>
        <v/>
      </c>
      <c r="V128" s="214">
        <f t="shared" si="7"/>
        <v>0</v>
      </c>
      <c r="W128" s="214" t="str">
        <f>IF(V128=0,"",RANK(V128,V:V,0)+COUNTIF(V$1:V127,V128))</f>
        <v/>
      </c>
    </row>
    <row r="129" spans="3:23">
      <c r="C129" s="18" t="str" cm="1">
        <f t="array" ref="C129">IFERROR(IF(A129="","",IF(ISNUMBER(MATCH(TRUE,ISNUMBER(SEARCH($Q$2:$Q$51, $A129)),0))=TRUE,"United States of America",INDEX($S$2:$S$199,MATCH(TRUE,ISNUMBER(SEARCH($S$2:$S$199, $A129)),0)))),"United States of America")</f>
        <v/>
      </c>
      <c r="D129" s="18" t="str" cm="1">
        <f t="array" ref="D129">IF(A129="","",IF(ISNUMBER(MATCH(TRUE,ISNUMBER(SEARCH($Q$2:$Q$51, $A129)),0))=TRUE,"",IF(ISNUMBER(MATCH(TRUE,ISNUMBER(SEARCH($S$2:$S$199, $A129)),0))=TRUE,"","미국 확인 필요")))</f>
        <v/>
      </c>
      <c r="H129" s="18" t="str" cm="1">
        <f t="array" ref="H129">IFERROR(IF(F129="","",IF(ISNUMBER(MATCH(TRUE,ISNUMBER(SEARCH($Q$2:$Q$51, $F129)),0))=TRUE,"United States of America",INDEX($S$2:$S$199,MATCH(TRUE,ISNUMBER(SEARCH($S$2:$S$199, $F129)),0)))),"United States of America")</f>
        <v/>
      </c>
      <c r="I129" s="18" t="str" cm="1">
        <f t="array" ref="I129">IF(F129="","",IF(ISNUMBER(MATCH(TRUE,ISNUMBER(SEARCH($Q$2:$Q$51, $F129)),0))=TRUE,"",IF(ISNUMBER(MATCH(TRUE,ISNUMBER(SEARCH($S$2:$S$199, $F129)),0))=TRUE,"","미국 확인 필요")))</f>
        <v/>
      </c>
      <c r="S129" s="86" t="s">
        <v>530</v>
      </c>
      <c r="T129" s="214">
        <f t="shared" si="6"/>
        <v>0</v>
      </c>
      <c r="U129" s="214" t="str">
        <f>IF(T129=0,"",RANK(T129,T:T,0)+COUNTIF(T$1:T128,T129))</f>
        <v/>
      </c>
      <c r="V129" s="214">
        <f t="shared" si="7"/>
        <v>0</v>
      </c>
      <c r="W129" s="214" t="str">
        <f>IF(V129=0,"",RANK(V129,V:V,0)+COUNTIF(V$1:V128,V129))</f>
        <v/>
      </c>
    </row>
    <row r="130" spans="3:23">
      <c r="C130" s="18" t="str" cm="1">
        <f t="array" ref="C130">IFERROR(IF(A130="","",IF(ISNUMBER(MATCH(TRUE,ISNUMBER(SEARCH($Q$2:$Q$51, $A130)),0))=TRUE,"United States of America",INDEX($S$2:$S$199,MATCH(TRUE,ISNUMBER(SEARCH($S$2:$S$199, $A130)),0)))),"United States of America")</f>
        <v/>
      </c>
      <c r="D130" s="18" t="str" cm="1">
        <f t="array" ref="D130">IF(A130="","",IF(ISNUMBER(MATCH(TRUE,ISNUMBER(SEARCH($Q$2:$Q$51, $A130)),0))=TRUE,"",IF(ISNUMBER(MATCH(TRUE,ISNUMBER(SEARCH($S$2:$S$199, $A130)),0))=TRUE,"","미국 확인 필요")))</f>
        <v/>
      </c>
      <c r="H130" s="18" t="str" cm="1">
        <f t="array" ref="H130">IFERROR(IF(F130="","",IF(ISNUMBER(MATCH(TRUE,ISNUMBER(SEARCH($Q$2:$Q$51, $F130)),0))=TRUE,"United States of America",INDEX($S$2:$S$199,MATCH(TRUE,ISNUMBER(SEARCH($S$2:$S$199, $F130)),0)))),"United States of America")</f>
        <v/>
      </c>
      <c r="I130" s="18" t="str" cm="1">
        <f t="array" ref="I130">IF(F130="","",IF(ISNUMBER(MATCH(TRUE,ISNUMBER(SEARCH($Q$2:$Q$51, $F130)),0))=TRUE,"",IF(ISNUMBER(MATCH(TRUE,ISNUMBER(SEARCH($S$2:$S$199, $F130)),0))=TRUE,"","미국 확인 필요")))</f>
        <v/>
      </c>
      <c r="S130" s="86" t="s">
        <v>531</v>
      </c>
      <c r="T130" s="214">
        <f t="shared" ref="T130:T193" si="8">SUMIF(C:C,S130,B:B)</f>
        <v>0</v>
      </c>
      <c r="U130" s="214" t="str">
        <f>IF(T130=0,"",RANK(T130,T:T,0)+COUNTIF(T$1:T129,T130))</f>
        <v/>
      </c>
      <c r="V130" s="214">
        <f t="shared" ref="V130:V193" si="9">SUMIF(H:H,S130,G:G)</f>
        <v>0</v>
      </c>
      <c r="W130" s="214" t="str">
        <f>IF(V130=0,"",RANK(V130,V:V,0)+COUNTIF(V$1:V129,V130))</f>
        <v/>
      </c>
    </row>
    <row r="131" spans="3:23">
      <c r="C131" s="18" t="str" cm="1">
        <f t="array" ref="C131">IFERROR(IF(A131="","",IF(ISNUMBER(MATCH(TRUE,ISNUMBER(SEARCH($Q$2:$Q$51, $A131)),0))=TRUE,"United States of America",INDEX($S$2:$S$199,MATCH(TRUE,ISNUMBER(SEARCH($S$2:$S$199, $A131)),0)))),"United States of America")</f>
        <v/>
      </c>
      <c r="D131" s="18" t="str" cm="1">
        <f t="array" ref="D131">IF(A131="","",IF(ISNUMBER(MATCH(TRUE,ISNUMBER(SEARCH($Q$2:$Q$51, $A131)),0))=TRUE,"",IF(ISNUMBER(MATCH(TRUE,ISNUMBER(SEARCH($S$2:$S$199, $A131)),0))=TRUE,"","미국 확인 필요")))</f>
        <v/>
      </c>
      <c r="H131" s="18" t="str" cm="1">
        <f t="array" ref="H131">IFERROR(IF(F131="","",IF(ISNUMBER(MATCH(TRUE,ISNUMBER(SEARCH($Q$2:$Q$51, $F131)),0))=TRUE,"United States of America",INDEX($S$2:$S$199,MATCH(TRUE,ISNUMBER(SEARCH($S$2:$S$199, $F131)),0)))),"United States of America")</f>
        <v/>
      </c>
      <c r="I131" s="18" t="str" cm="1">
        <f t="array" ref="I131">IF(F131="","",IF(ISNUMBER(MATCH(TRUE,ISNUMBER(SEARCH($Q$2:$Q$51, $F131)),0))=TRUE,"",IF(ISNUMBER(MATCH(TRUE,ISNUMBER(SEARCH($S$2:$S$199, $F131)),0))=TRUE,"","미국 확인 필요")))</f>
        <v/>
      </c>
      <c r="S131" s="86" t="s">
        <v>532</v>
      </c>
      <c r="T131" s="214">
        <f t="shared" si="8"/>
        <v>0</v>
      </c>
      <c r="U131" s="214" t="str">
        <f>IF(T131=0,"",RANK(T131,T:T,0)+COUNTIF(T$1:T130,T131))</f>
        <v/>
      </c>
      <c r="V131" s="214">
        <f t="shared" si="9"/>
        <v>0</v>
      </c>
      <c r="W131" s="214" t="str">
        <f>IF(V131=0,"",RANK(V131,V:V,0)+COUNTIF(V$1:V130,V131))</f>
        <v/>
      </c>
    </row>
    <row r="132" spans="3:23">
      <c r="C132" s="18" t="str" cm="1">
        <f t="array" ref="C132">IFERROR(IF(A132="","",IF(ISNUMBER(MATCH(TRUE,ISNUMBER(SEARCH($Q$2:$Q$51, $A132)),0))=TRUE,"United States of America",INDEX($S$2:$S$199,MATCH(TRUE,ISNUMBER(SEARCH($S$2:$S$199, $A132)),0)))),"United States of America")</f>
        <v/>
      </c>
      <c r="D132" s="18" t="str" cm="1">
        <f t="array" ref="D132">IF(A132="","",IF(ISNUMBER(MATCH(TRUE,ISNUMBER(SEARCH($Q$2:$Q$51, $A132)),0))=TRUE,"",IF(ISNUMBER(MATCH(TRUE,ISNUMBER(SEARCH($S$2:$S$199, $A132)),0))=TRUE,"","미국 확인 필요")))</f>
        <v/>
      </c>
      <c r="H132" s="18" t="str" cm="1">
        <f t="array" ref="H132">IFERROR(IF(F132="","",IF(ISNUMBER(MATCH(TRUE,ISNUMBER(SEARCH($Q$2:$Q$51, $F132)),0))=TRUE,"United States of America",INDEX($S$2:$S$199,MATCH(TRUE,ISNUMBER(SEARCH($S$2:$S$199, $F132)),0)))),"United States of America")</f>
        <v/>
      </c>
      <c r="I132" s="18" t="str" cm="1">
        <f t="array" ref="I132">IF(F132="","",IF(ISNUMBER(MATCH(TRUE,ISNUMBER(SEARCH($Q$2:$Q$51, $F132)),0))=TRUE,"",IF(ISNUMBER(MATCH(TRUE,ISNUMBER(SEARCH($S$2:$S$199, $F132)),0))=TRUE,"","미국 확인 필요")))</f>
        <v/>
      </c>
      <c r="S132" s="86" t="s">
        <v>533</v>
      </c>
      <c r="T132" s="214">
        <f t="shared" si="8"/>
        <v>0</v>
      </c>
      <c r="U132" s="214" t="str">
        <f>IF(T132=0,"",RANK(T132,T:T,0)+COUNTIF(T$1:T131,T132))</f>
        <v/>
      </c>
      <c r="V132" s="214">
        <f t="shared" si="9"/>
        <v>0</v>
      </c>
      <c r="W132" s="214" t="str">
        <f>IF(V132=0,"",RANK(V132,V:V,0)+COUNTIF(V$1:V131,V132))</f>
        <v/>
      </c>
    </row>
    <row r="133" spans="3:23">
      <c r="C133" s="18" t="str" cm="1">
        <f t="array" ref="C133">IFERROR(IF(A133="","",IF(ISNUMBER(MATCH(TRUE,ISNUMBER(SEARCH($Q$2:$Q$51, $A133)),0))=TRUE,"United States of America",INDEX($S$2:$S$199,MATCH(TRUE,ISNUMBER(SEARCH($S$2:$S$199, $A133)),0)))),"United States of America")</f>
        <v/>
      </c>
      <c r="D133" s="18" t="str" cm="1">
        <f t="array" ref="D133">IF(A133="","",IF(ISNUMBER(MATCH(TRUE,ISNUMBER(SEARCH($Q$2:$Q$51, $A133)),0))=TRUE,"",IF(ISNUMBER(MATCH(TRUE,ISNUMBER(SEARCH($S$2:$S$199, $A133)),0))=TRUE,"","미국 확인 필요")))</f>
        <v/>
      </c>
      <c r="H133" s="18" t="str" cm="1">
        <f t="array" ref="H133">IFERROR(IF(F133="","",IF(ISNUMBER(MATCH(TRUE,ISNUMBER(SEARCH($Q$2:$Q$51, $F133)),0))=TRUE,"United States of America",INDEX($S$2:$S$199,MATCH(TRUE,ISNUMBER(SEARCH($S$2:$S$199, $F133)),0)))),"United States of America")</f>
        <v/>
      </c>
      <c r="I133" s="18" t="str" cm="1">
        <f t="array" ref="I133">IF(F133="","",IF(ISNUMBER(MATCH(TRUE,ISNUMBER(SEARCH($Q$2:$Q$51, $F133)),0))=TRUE,"",IF(ISNUMBER(MATCH(TRUE,ISNUMBER(SEARCH($S$2:$S$199, $F133)),0))=TRUE,"","미국 확인 필요")))</f>
        <v/>
      </c>
      <c r="S133" s="86" t="s">
        <v>534</v>
      </c>
      <c r="T133" s="214">
        <f t="shared" si="8"/>
        <v>0</v>
      </c>
      <c r="U133" s="214" t="str">
        <f>IF(T133=0,"",RANK(T133,T:T,0)+COUNTIF(T$1:T132,T133))</f>
        <v/>
      </c>
      <c r="V133" s="214">
        <f t="shared" si="9"/>
        <v>0</v>
      </c>
      <c r="W133" s="214" t="str">
        <f>IF(V133=0,"",RANK(V133,V:V,0)+COUNTIF(V$1:V132,V133))</f>
        <v/>
      </c>
    </row>
    <row r="134" spans="3:23">
      <c r="C134" s="18" t="str" cm="1">
        <f t="array" ref="C134">IFERROR(IF(A134="","",IF(ISNUMBER(MATCH(TRUE,ISNUMBER(SEARCH($Q$2:$Q$51, $A134)),0))=TRUE,"United States of America",INDEX($S$2:$S$199,MATCH(TRUE,ISNUMBER(SEARCH($S$2:$S$199, $A134)),0)))),"United States of America")</f>
        <v/>
      </c>
      <c r="D134" s="18" t="str" cm="1">
        <f t="array" ref="D134">IF(A134="","",IF(ISNUMBER(MATCH(TRUE,ISNUMBER(SEARCH($Q$2:$Q$51, $A134)),0))=TRUE,"",IF(ISNUMBER(MATCH(TRUE,ISNUMBER(SEARCH($S$2:$S$199, $A134)),0))=TRUE,"","미국 확인 필요")))</f>
        <v/>
      </c>
      <c r="H134" s="18" t="str" cm="1">
        <f t="array" ref="H134">IFERROR(IF(F134="","",IF(ISNUMBER(MATCH(TRUE,ISNUMBER(SEARCH($Q$2:$Q$51, $F134)),0))=TRUE,"United States of America",INDEX($S$2:$S$199,MATCH(TRUE,ISNUMBER(SEARCH($S$2:$S$199, $F134)),0)))),"United States of America")</f>
        <v/>
      </c>
      <c r="I134" s="18" t="str" cm="1">
        <f t="array" ref="I134">IF(F134="","",IF(ISNUMBER(MATCH(TRUE,ISNUMBER(SEARCH($Q$2:$Q$51, $F134)),0))=TRUE,"",IF(ISNUMBER(MATCH(TRUE,ISNUMBER(SEARCH($S$2:$S$199, $F134)),0))=TRUE,"","미국 확인 필요")))</f>
        <v/>
      </c>
      <c r="S134" s="86" t="s">
        <v>535</v>
      </c>
      <c r="T134" s="214">
        <f t="shared" si="8"/>
        <v>0</v>
      </c>
      <c r="U134" s="214" t="str">
        <f>IF(T134=0,"",RANK(T134,T:T,0)+COUNTIF(T$1:T133,T134))</f>
        <v/>
      </c>
      <c r="V134" s="214">
        <f t="shared" si="9"/>
        <v>0</v>
      </c>
      <c r="W134" s="214" t="str">
        <f>IF(V134=0,"",RANK(V134,V:V,0)+COUNTIF(V$1:V133,V134))</f>
        <v/>
      </c>
    </row>
    <row r="135" spans="3:23">
      <c r="C135" s="18" t="str" cm="1">
        <f t="array" ref="C135">IFERROR(IF(A135="","",IF(ISNUMBER(MATCH(TRUE,ISNUMBER(SEARCH($Q$2:$Q$51, $A135)),0))=TRUE,"United States of America",INDEX($S$2:$S$199,MATCH(TRUE,ISNUMBER(SEARCH($S$2:$S$199, $A135)),0)))),"United States of America")</f>
        <v/>
      </c>
      <c r="D135" s="18" t="str" cm="1">
        <f t="array" ref="D135">IF(A135="","",IF(ISNUMBER(MATCH(TRUE,ISNUMBER(SEARCH($Q$2:$Q$51, $A135)),0))=TRUE,"",IF(ISNUMBER(MATCH(TRUE,ISNUMBER(SEARCH($S$2:$S$199, $A135)),0))=TRUE,"","미국 확인 필요")))</f>
        <v/>
      </c>
      <c r="H135" s="18" t="str" cm="1">
        <f t="array" ref="H135">IFERROR(IF(F135="","",IF(ISNUMBER(MATCH(TRUE,ISNUMBER(SEARCH($Q$2:$Q$51, $F135)),0))=TRUE,"United States of America",INDEX($S$2:$S$199,MATCH(TRUE,ISNUMBER(SEARCH($S$2:$S$199, $F135)),0)))),"United States of America")</f>
        <v/>
      </c>
      <c r="I135" s="18" t="str" cm="1">
        <f t="array" ref="I135">IF(F135="","",IF(ISNUMBER(MATCH(TRUE,ISNUMBER(SEARCH($Q$2:$Q$51, $F135)),0))=TRUE,"",IF(ISNUMBER(MATCH(TRUE,ISNUMBER(SEARCH($S$2:$S$199, $F135)),0))=TRUE,"","미국 확인 필요")))</f>
        <v/>
      </c>
      <c r="S135" s="86" t="s">
        <v>536</v>
      </c>
      <c r="T135" s="214">
        <f t="shared" si="8"/>
        <v>0</v>
      </c>
      <c r="U135" s="214" t="str">
        <f>IF(T135=0,"",RANK(T135,T:T,0)+COUNTIF(T$1:T134,T135))</f>
        <v/>
      </c>
      <c r="V135" s="214">
        <f t="shared" si="9"/>
        <v>0</v>
      </c>
      <c r="W135" s="214" t="str">
        <f>IF(V135=0,"",RANK(V135,V:V,0)+COUNTIF(V$1:V134,V135))</f>
        <v/>
      </c>
    </row>
    <row r="136" spans="3:23">
      <c r="C136" s="18" t="str" cm="1">
        <f t="array" ref="C136">IFERROR(IF(A136="","",IF(ISNUMBER(MATCH(TRUE,ISNUMBER(SEARCH($Q$2:$Q$51, $A136)),0))=TRUE,"United States of America",INDEX($S$2:$S$199,MATCH(TRUE,ISNUMBER(SEARCH($S$2:$S$199, $A136)),0)))),"United States of America")</f>
        <v/>
      </c>
      <c r="D136" s="18" t="str" cm="1">
        <f t="array" ref="D136">IF(A136="","",IF(ISNUMBER(MATCH(TRUE,ISNUMBER(SEARCH($Q$2:$Q$51, $A136)),0))=TRUE,"",IF(ISNUMBER(MATCH(TRUE,ISNUMBER(SEARCH($S$2:$S$199, $A136)),0))=TRUE,"","미국 확인 필요")))</f>
        <v/>
      </c>
      <c r="H136" s="18" t="str" cm="1">
        <f t="array" ref="H136">IFERROR(IF(F136="","",IF(ISNUMBER(MATCH(TRUE,ISNUMBER(SEARCH($Q$2:$Q$51, $F136)),0))=TRUE,"United States of America",INDEX($S$2:$S$199,MATCH(TRUE,ISNUMBER(SEARCH($S$2:$S$199, $F136)),0)))),"United States of America")</f>
        <v/>
      </c>
      <c r="I136" s="18" t="str" cm="1">
        <f t="array" ref="I136">IF(F136="","",IF(ISNUMBER(MATCH(TRUE,ISNUMBER(SEARCH($Q$2:$Q$51, $F136)),0))=TRUE,"",IF(ISNUMBER(MATCH(TRUE,ISNUMBER(SEARCH($S$2:$S$199, $F136)),0))=TRUE,"","미국 확인 필요")))</f>
        <v/>
      </c>
      <c r="S136" s="86" t="s">
        <v>537</v>
      </c>
      <c r="T136" s="214">
        <f t="shared" si="8"/>
        <v>0</v>
      </c>
      <c r="U136" s="214" t="str">
        <f>IF(T136=0,"",RANK(T136,T:T,0)+COUNTIF(T$1:T135,T136))</f>
        <v/>
      </c>
      <c r="V136" s="214">
        <f t="shared" si="9"/>
        <v>0</v>
      </c>
      <c r="W136" s="214" t="str">
        <f>IF(V136=0,"",RANK(V136,V:V,0)+COUNTIF(V$1:V135,V136))</f>
        <v/>
      </c>
    </row>
    <row r="137" spans="3:23">
      <c r="C137" s="18" t="str" cm="1">
        <f t="array" ref="C137">IFERROR(IF(A137="","",IF(ISNUMBER(MATCH(TRUE,ISNUMBER(SEARCH($Q$2:$Q$51, $A137)),0))=TRUE,"United States of America",INDEX($S$2:$S$199,MATCH(TRUE,ISNUMBER(SEARCH($S$2:$S$199, $A137)),0)))),"United States of America")</f>
        <v/>
      </c>
      <c r="D137" s="18" t="str" cm="1">
        <f t="array" ref="D137">IF(A137="","",IF(ISNUMBER(MATCH(TRUE,ISNUMBER(SEARCH($Q$2:$Q$51, $A137)),0))=TRUE,"",IF(ISNUMBER(MATCH(TRUE,ISNUMBER(SEARCH($S$2:$S$199, $A137)),0))=TRUE,"","미국 확인 필요")))</f>
        <v/>
      </c>
      <c r="H137" s="18" t="str" cm="1">
        <f t="array" ref="H137">IFERROR(IF(F137="","",IF(ISNUMBER(MATCH(TRUE,ISNUMBER(SEARCH($Q$2:$Q$51, $F137)),0))=TRUE,"United States of America",INDEX($S$2:$S$199,MATCH(TRUE,ISNUMBER(SEARCH($S$2:$S$199, $F137)),0)))),"United States of America")</f>
        <v/>
      </c>
      <c r="I137" s="18" t="str" cm="1">
        <f t="array" ref="I137">IF(F137="","",IF(ISNUMBER(MATCH(TRUE,ISNUMBER(SEARCH($Q$2:$Q$51, $F137)),0))=TRUE,"",IF(ISNUMBER(MATCH(TRUE,ISNUMBER(SEARCH($S$2:$S$199, $F137)),0))=TRUE,"","미국 확인 필요")))</f>
        <v/>
      </c>
      <c r="S137" s="86" t="s">
        <v>538</v>
      </c>
      <c r="T137" s="214">
        <f t="shared" si="8"/>
        <v>0</v>
      </c>
      <c r="U137" s="214" t="str">
        <f>IF(T137=0,"",RANK(T137,T:T,0)+COUNTIF(T$1:T136,T137))</f>
        <v/>
      </c>
      <c r="V137" s="214">
        <f t="shared" si="9"/>
        <v>0</v>
      </c>
      <c r="W137" s="214" t="str">
        <f>IF(V137=0,"",RANK(V137,V:V,0)+COUNTIF(V$1:V136,V137))</f>
        <v/>
      </c>
    </row>
    <row r="138" spans="3:23">
      <c r="C138" s="18" t="str" cm="1">
        <f t="array" ref="C138">IFERROR(IF(A138="","",IF(ISNUMBER(MATCH(TRUE,ISNUMBER(SEARCH($Q$2:$Q$51, $A138)),0))=TRUE,"United States of America",INDEX($S$2:$S$199,MATCH(TRUE,ISNUMBER(SEARCH($S$2:$S$199, $A138)),0)))),"United States of America")</f>
        <v/>
      </c>
      <c r="D138" s="18" t="str" cm="1">
        <f t="array" ref="D138">IF(A138="","",IF(ISNUMBER(MATCH(TRUE,ISNUMBER(SEARCH($Q$2:$Q$51, $A138)),0))=TRUE,"",IF(ISNUMBER(MATCH(TRUE,ISNUMBER(SEARCH($S$2:$S$199, $A138)),0))=TRUE,"","미국 확인 필요")))</f>
        <v/>
      </c>
      <c r="H138" s="18" t="str" cm="1">
        <f t="array" ref="H138">IFERROR(IF(F138="","",IF(ISNUMBER(MATCH(TRUE,ISNUMBER(SEARCH($Q$2:$Q$51, $F138)),0))=TRUE,"United States of America",INDEX($S$2:$S$199,MATCH(TRUE,ISNUMBER(SEARCH($S$2:$S$199, $F138)),0)))),"United States of America")</f>
        <v/>
      </c>
      <c r="I138" s="18" t="str" cm="1">
        <f t="array" ref="I138">IF(F138="","",IF(ISNUMBER(MATCH(TRUE,ISNUMBER(SEARCH($Q$2:$Q$51, $F138)),0))=TRUE,"",IF(ISNUMBER(MATCH(TRUE,ISNUMBER(SEARCH($S$2:$S$199, $F138)),0))=TRUE,"","미국 확인 필요")))</f>
        <v/>
      </c>
      <c r="S138" s="86" t="s">
        <v>539</v>
      </c>
      <c r="T138" s="214">
        <f t="shared" si="8"/>
        <v>0</v>
      </c>
      <c r="U138" s="214" t="str">
        <f>IF(T138=0,"",RANK(T138,T:T,0)+COUNTIF(T$1:T137,T138))</f>
        <v/>
      </c>
      <c r="V138" s="214">
        <f t="shared" si="9"/>
        <v>0</v>
      </c>
      <c r="W138" s="214" t="str">
        <f>IF(V138=0,"",RANK(V138,V:V,0)+COUNTIF(V$1:V137,V138))</f>
        <v/>
      </c>
    </row>
    <row r="139" spans="3:23">
      <c r="C139" s="18" t="str" cm="1">
        <f t="array" ref="C139">IFERROR(IF(A139="","",IF(ISNUMBER(MATCH(TRUE,ISNUMBER(SEARCH($Q$2:$Q$51, $A139)),0))=TRUE,"United States of America",INDEX($S$2:$S$199,MATCH(TRUE,ISNUMBER(SEARCH($S$2:$S$199, $A139)),0)))),"United States of America")</f>
        <v/>
      </c>
      <c r="D139" s="18" t="str" cm="1">
        <f t="array" ref="D139">IF(A139="","",IF(ISNUMBER(MATCH(TRUE,ISNUMBER(SEARCH($Q$2:$Q$51, $A139)),0))=TRUE,"",IF(ISNUMBER(MATCH(TRUE,ISNUMBER(SEARCH($S$2:$S$199, $A139)),0))=TRUE,"","미국 확인 필요")))</f>
        <v/>
      </c>
      <c r="H139" s="18" t="str" cm="1">
        <f t="array" ref="H139">IFERROR(IF(F139="","",IF(ISNUMBER(MATCH(TRUE,ISNUMBER(SEARCH($Q$2:$Q$51, $F139)),0))=TRUE,"United States of America",INDEX($S$2:$S$199,MATCH(TRUE,ISNUMBER(SEARCH($S$2:$S$199, $F139)),0)))),"United States of America")</f>
        <v/>
      </c>
      <c r="I139" s="18" t="str" cm="1">
        <f t="array" ref="I139">IF(F139="","",IF(ISNUMBER(MATCH(TRUE,ISNUMBER(SEARCH($Q$2:$Q$51, $F139)),0))=TRUE,"",IF(ISNUMBER(MATCH(TRUE,ISNUMBER(SEARCH($S$2:$S$199, $F139)),0))=TRUE,"","미국 확인 필요")))</f>
        <v/>
      </c>
      <c r="S139" s="86" t="s">
        <v>540</v>
      </c>
      <c r="T139" s="214">
        <f t="shared" si="8"/>
        <v>0</v>
      </c>
      <c r="U139" s="214" t="str">
        <f>IF(T139=0,"",RANK(T139,T:T,0)+COUNTIF(T$1:T138,T139))</f>
        <v/>
      </c>
      <c r="V139" s="214">
        <f t="shared" si="9"/>
        <v>0</v>
      </c>
      <c r="W139" s="214" t="str">
        <f>IF(V139=0,"",RANK(V139,V:V,0)+COUNTIF(V$1:V138,V139))</f>
        <v/>
      </c>
    </row>
    <row r="140" spans="3:23">
      <c r="C140" s="18" t="str" cm="1">
        <f t="array" ref="C140">IFERROR(IF(A140="","",IF(ISNUMBER(MATCH(TRUE,ISNUMBER(SEARCH($Q$2:$Q$51, $A140)),0))=TRUE,"United States of America",INDEX($S$2:$S$199,MATCH(TRUE,ISNUMBER(SEARCH($S$2:$S$199, $A140)),0)))),"United States of America")</f>
        <v/>
      </c>
      <c r="D140" s="18" t="str" cm="1">
        <f t="array" ref="D140">IF(A140="","",IF(ISNUMBER(MATCH(TRUE,ISNUMBER(SEARCH($Q$2:$Q$51, $A140)),0))=TRUE,"",IF(ISNUMBER(MATCH(TRUE,ISNUMBER(SEARCH($S$2:$S$199, $A140)),0))=TRUE,"","미국 확인 필요")))</f>
        <v/>
      </c>
      <c r="H140" s="18" t="str" cm="1">
        <f t="array" ref="H140">IFERROR(IF(F140="","",IF(ISNUMBER(MATCH(TRUE,ISNUMBER(SEARCH($Q$2:$Q$51, $F140)),0))=TRUE,"United States of America",INDEX($S$2:$S$199,MATCH(TRUE,ISNUMBER(SEARCH($S$2:$S$199, $F140)),0)))),"United States of America")</f>
        <v/>
      </c>
      <c r="I140" s="18" t="str" cm="1">
        <f t="array" ref="I140">IF(F140="","",IF(ISNUMBER(MATCH(TRUE,ISNUMBER(SEARCH($Q$2:$Q$51, $F140)),0))=TRUE,"",IF(ISNUMBER(MATCH(TRUE,ISNUMBER(SEARCH($S$2:$S$199, $F140)),0))=TRUE,"","미국 확인 필요")))</f>
        <v/>
      </c>
      <c r="S140" s="86" t="s">
        <v>541</v>
      </c>
      <c r="T140" s="214">
        <f t="shared" si="8"/>
        <v>0</v>
      </c>
      <c r="U140" s="214" t="str">
        <f>IF(T140=0,"",RANK(T140,T:T,0)+COUNTIF(T$1:T139,T140))</f>
        <v/>
      </c>
      <c r="V140" s="214">
        <f t="shared" si="9"/>
        <v>0</v>
      </c>
      <c r="W140" s="214" t="str">
        <f>IF(V140=0,"",RANK(V140,V:V,0)+COUNTIF(V$1:V139,V140))</f>
        <v/>
      </c>
    </row>
    <row r="141" spans="3:23">
      <c r="C141" s="18" t="str" cm="1">
        <f t="array" ref="C141">IFERROR(IF(A141="","",IF(ISNUMBER(MATCH(TRUE,ISNUMBER(SEARCH($Q$2:$Q$51, $A141)),0))=TRUE,"United States of America",INDEX($S$2:$S$199,MATCH(TRUE,ISNUMBER(SEARCH($S$2:$S$199, $A141)),0)))),"United States of America")</f>
        <v/>
      </c>
      <c r="D141" s="18" t="str" cm="1">
        <f t="array" ref="D141">IF(A141="","",IF(ISNUMBER(MATCH(TRUE,ISNUMBER(SEARCH($Q$2:$Q$51, $A141)),0))=TRUE,"",IF(ISNUMBER(MATCH(TRUE,ISNUMBER(SEARCH($S$2:$S$199, $A141)),0))=TRUE,"","미국 확인 필요")))</f>
        <v/>
      </c>
      <c r="H141" s="18" t="str" cm="1">
        <f t="array" ref="H141">IFERROR(IF(F141="","",IF(ISNUMBER(MATCH(TRUE,ISNUMBER(SEARCH($Q$2:$Q$51, $F141)),0))=TRUE,"United States of America",INDEX($S$2:$S$199,MATCH(TRUE,ISNUMBER(SEARCH($S$2:$S$199, $F141)),0)))),"United States of America")</f>
        <v/>
      </c>
      <c r="I141" s="18" t="str" cm="1">
        <f t="array" ref="I141">IF(F141="","",IF(ISNUMBER(MATCH(TRUE,ISNUMBER(SEARCH($Q$2:$Q$51, $F141)),0))=TRUE,"",IF(ISNUMBER(MATCH(TRUE,ISNUMBER(SEARCH($S$2:$S$199, $F141)),0))=TRUE,"","미국 확인 필요")))</f>
        <v/>
      </c>
      <c r="S141" s="86" t="s">
        <v>542</v>
      </c>
      <c r="T141" s="214">
        <f t="shared" si="8"/>
        <v>0</v>
      </c>
      <c r="U141" s="214" t="str">
        <f>IF(T141=0,"",RANK(T141,T:T,0)+COUNTIF(T$1:T140,T141))</f>
        <v/>
      </c>
      <c r="V141" s="214">
        <f t="shared" si="9"/>
        <v>0</v>
      </c>
      <c r="W141" s="214" t="str">
        <f>IF(V141=0,"",RANK(V141,V:V,0)+COUNTIF(V$1:V140,V141))</f>
        <v/>
      </c>
    </row>
    <row r="142" spans="3:23">
      <c r="C142" s="18" t="str" cm="1">
        <f t="array" ref="C142">IFERROR(IF(A142="","",IF(ISNUMBER(MATCH(TRUE,ISNUMBER(SEARCH($Q$2:$Q$51, $A142)),0))=TRUE,"United States of America",INDEX($S$2:$S$199,MATCH(TRUE,ISNUMBER(SEARCH($S$2:$S$199, $A142)),0)))),"United States of America")</f>
        <v/>
      </c>
      <c r="D142" s="18" t="str" cm="1">
        <f t="array" ref="D142">IF(A142="","",IF(ISNUMBER(MATCH(TRUE,ISNUMBER(SEARCH($Q$2:$Q$51, $A142)),0))=TRUE,"",IF(ISNUMBER(MATCH(TRUE,ISNUMBER(SEARCH($S$2:$S$199, $A142)),0))=TRUE,"","미국 확인 필요")))</f>
        <v/>
      </c>
      <c r="H142" s="18" t="str" cm="1">
        <f t="array" ref="H142">IFERROR(IF(F142="","",IF(ISNUMBER(MATCH(TRUE,ISNUMBER(SEARCH($Q$2:$Q$51, $F142)),0))=TRUE,"United States of America",INDEX($S$2:$S$199,MATCH(TRUE,ISNUMBER(SEARCH($S$2:$S$199, $F142)),0)))),"United States of America")</f>
        <v/>
      </c>
      <c r="I142" s="18" t="str" cm="1">
        <f t="array" ref="I142">IF(F142="","",IF(ISNUMBER(MATCH(TRUE,ISNUMBER(SEARCH($Q$2:$Q$51, $F142)),0))=TRUE,"",IF(ISNUMBER(MATCH(TRUE,ISNUMBER(SEARCH($S$2:$S$199, $F142)),0))=TRUE,"","미국 확인 필요")))</f>
        <v/>
      </c>
      <c r="S142" s="86" t="s">
        <v>543</v>
      </c>
      <c r="T142" s="214">
        <f t="shared" si="8"/>
        <v>0</v>
      </c>
      <c r="U142" s="214" t="str">
        <f>IF(T142=0,"",RANK(T142,T:T,0)+COUNTIF(T$1:T141,T142))</f>
        <v/>
      </c>
      <c r="V142" s="214">
        <f t="shared" si="9"/>
        <v>0</v>
      </c>
      <c r="W142" s="214" t="str">
        <f>IF(V142=0,"",RANK(V142,V:V,0)+COUNTIF(V$1:V141,V142))</f>
        <v/>
      </c>
    </row>
    <row r="143" spans="3:23">
      <c r="C143" s="18" t="str" cm="1">
        <f t="array" ref="C143">IFERROR(IF(A143="","",IF(ISNUMBER(MATCH(TRUE,ISNUMBER(SEARCH($Q$2:$Q$51, $A143)),0))=TRUE,"United States of America",INDEX($S$2:$S$199,MATCH(TRUE,ISNUMBER(SEARCH($S$2:$S$199, $A143)),0)))),"United States of America")</f>
        <v/>
      </c>
      <c r="D143" s="18" t="str" cm="1">
        <f t="array" ref="D143">IF(A143="","",IF(ISNUMBER(MATCH(TRUE,ISNUMBER(SEARCH($Q$2:$Q$51, $A143)),0))=TRUE,"",IF(ISNUMBER(MATCH(TRUE,ISNUMBER(SEARCH($S$2:$S$199, $A143)),0))=TRUE,"","미국 확인 필요")))</f>
        <v/>
      </c>
      <c r="H143" s="18" t="str" cm="1">
        <f t="array" ref="H143">IFERROR(IF(F143="","",IF(ISNUMBER(MATCH(TRUE,ISNUMBER(SEARCH($Q$2:$Q$51, $F143)),0))=TRUE,"United States of America",INDEX($S$2:$S$199,MATCH(TRUE,ISNUMBER(SEARCH($S$2:$S$199, $F143)),0)))),"United States of America")</f>
        <v/>
      </c>
      <c r="I143" s="18" t="str" cm="1">
        <f t="array" ref="I143">IF(F143="","",IF(ISNUMBER(MATCH(TRUE,ISNUMBER(SEARCH($Q$2:$Q$51, $F143)),0))=TRUE,"",IF(ISNUMBER(MATCH(TRUE,ISNUMBER(SEARCH($S$2:$S$199, $F143)),0))=TRUE,"","미국 확인 필요")))</f>
        <v/>
      </c>
      <c r="S143" s="86" t="s">
        <v>544</v>
      </c>
      <c r="T143" s="214">
        <f t="shared" si="8"/>
        <v>0</v>
      </c>
      <c r="U143" s="214" t="str">
        <f>IF(T143=0,"",RANK(T143,T:T,0)+COUNTIF(T$1:T142,T143))</f>
        <v/>
      </c>
      <c r="V143" s="214">
        <f t="shared" si="9"/>
        <v>0</v>
      </c>
      <c r="W143" s="214" t="str">
        <f>IF(V143=0,"",RANK(V143,V:V,0)+COUNTIF(V$1:V142,V143))</f>
        <v/>
      </c>
    </row>
    <row r="144" spans="3:23">
      <c r="C144" s="18" t="str" cm="1">
        <f t="array" ref="C144">IFERROR(IF(A144="","",IF(ISNUMBER(MATCH(TRUE,ISNUMBER(SEARCH($Q$2:$Q$51, $A144)),0))=TRUE,"United States of America",INDEX($S$2:$S$199,MATCH(TRUE,ISNUMBER(SEARCH($S$2:$S$199, $A144)),0)))),"United States of America")</f>
        <v/>
      </c>
      <c r="D144" s="18" t="str" cm="1">
        <f t="array" ref="D144">IF(A144="","",IF(ISNUMBER(MATCH(TRUE,ISNUMBER(SEARCH($Q$2:$Q$51, $A144)),0))=TRUE,"",IF(ISNUMBER(MATCH(TRUE,ISNUMBER(SEARCH($S$2:$S$199, $A144)),0))=TRUE,"","미국 확인 필요")))</f>
        <v/>
      </c>
      <c r="H144" s="18" t="str" cm="1">
        <f t="array" ref="H144">IFERROR(IF(F144="","",IF(ISNUMBER(MATCH(TRUE,ISNUMBER(SEARCH($Q$2:$Q$51, $F144)),0))=TRUE,"United States of America",INDEX($S$2:$S$199,MATCH(TRUE,ISNUMBER(SEARCH($S$2:$S$199, $F144)),0)))),"United States of America")</f>
        <v/>
      </c>
      <c r="I144" s="18" t="str" cm="1">
        <f t="array" ref="I144">IF(F144="","",IF(ISNUMBER(MATCH(TRUE,ISNUMBER(SEARCH($Q$2:$Q$51, $F144)),0))=TRUE,"",IF(ISNUMBER(MATCH(TRUE,ISNUMBER(SEARCH($S$2:$S$199, $F144)),0))=TRUE,"","미국 확인 필요")))</f>
        <v/>
      </c>
      <c r="S144" s="86" t="s">
        <v>545</v>
      </c>
      <c r="T144" s="214">
        <f t="shared" si="8"/>
        <v>0</v>
      </c>
      <c r="U144" s="214" t="str">
        <f>IF(T144=0,"",RANK(T144,T:T,0)+COUNTIF(T$1:T143,T144))</f>
        <v/>
      </c>
      <c r="V144" s="214">
        <f t="shared" si="9"/>
        <v>0</v>
      </c>
      <c r="W144" s="214" t="str">
        <f>IF(V144=0,"",RANK(V144,V:V,0)+COUNTIF(V$1:V143,V144))</f>
        <v/>
      </c>
    </row>
    <row r="145" spans="3:23">
      <c r="C145" s="18" t="str" cm="1">
        <f t="array" ref="C145">IFERROR(IF(A145="","",IF(ISNUMBER(MATCH(TRUE,ISNUMBER(SEARCH($Q$2:$Q$51, $A145)),0))=TRUE,"United States of America",INDEX($S$2:$S$199,MATCH(TRUE,ISNUMBER(SEARCH($S$2:$S$199, $A145)),0)))),"United States of America")</f>
        <v/>
      </c>
      <c r="D145" s="18" t="str" cm="1">
        <f t="array" ref="D145">IF(A145="","",IF(ISNUMBER(MATCH(TRUE,ISNUMBER(SEARCH($Q$2:$Q$51, $A145)),0))=TRUE,"",IF(ISNUMBER(MATCH(TRUE,ISNUMBER(SEARCH($S$2:$S$199, $A145)),0))=TRUE,"","미국 확인 필요")))</f>
        <v/>
      </c>
      <c r="H145" s="18" t="str" cm="1">
        <f t="array" ref="H145">IFERROR(IF(F145="","",IF(ISNUMBER(MATCH(TRUE,ISNUMBER(SEARCH($Q$2:$Q$51, $F145)),0))=TRUE,"United States of America",INDEX($S$2:$S$199,MATCH(TRUE,ISNUMBER(SEARCH($S$2:$S$199, $F145)),0)))),"United States of America")</f>
        <v/>
      </c>
      <c r="I145" s="18" t="str" cm="1">
        <f t="array" ref="I145">IF(F145="","",IF(ISNUMBER(MATCH(TRUE,ISNUMBER(SEARCH($Q$2:$Q$51, $F145)),0))=TRUE,"",IF(ISNUMBER(MATCH(TRUE,ISNUMBER(SEARCH($S$2:$S$199, $F145)),0))=TRUE,"","미국 확인 필요")))</f>
        <v/>
      </c>
      <c r="S145" s="86" t="s">
        <v>546</v>
      </c>
      <c r="T145" s="214">
        <f t="shared" si="8"/>
        <v>0</v>
      </c>
      <c r="U145" s="214" t="str">
        <f>IF(T145=0,"",RANK(T145,T:T,0)+COUNTIF(T$1:T144,T145))</f>
        <v/>
      </c>
      <c r="V145" s="214">
        <f t="shared" si="9"/>
        <v>0</v>
      </c>
      <c r="W145" s="214" t="str">
        <f>IF(V145=0,"",RANK(V145,V:V,0)+COUNTIF(V$1:V144,V145))</f>
        <v/>
      </c>
    </row>
    <row r="146" spans="3:23">
      <c r="C146" s="18" t="str" cm="1">
        <f t="array" ref="C146">IFERROR(IF(A146="","",IF(ISNUMBER(MATCH(TRUE,ISNUMBER(SEARCH($Q$2:$Q$51, $A146)),0))=TRUE,"United States of America",INDEX($S$2:$S$199,MATCH(TRUE,ISNUMBER(SEARCH($S$2:$S$199, $A146)),0)))),"United States of America")</f>
        <v/>
      </c>
      <c r="D146" s="18" t="str" cm="1">
        <f t="array" ref="D146">IF(A146="","",IF(ISNUMBER(MATCH(TRUE,ISNUMBER(SEARCH($Q$2:$Q$51, $A146)),0))=TRUE,"",IF(ISNUMBER(MATCH(TRUE,ISNUMBER(SEARCH($S$2:$S$199, $A146)),0))=TRUE,"","미국 확인 필요")))</f>
        <v/>
      </c>
      <c r="H146" s="18" t="str" cm="1">
        <f t="array" ref="H146">IFERROR(IF(F146="","",IF(ISNUMBER(MATCH(TRUE,ISNUMBER(SEARCH($Q$2:$Q$51, $F146)),0))=TRUE,"United States of America",INDEX($S$2:$S$199,MATCH(TRUE,ISNUMBER(SEARCH($S$2:$S$199, $F146)),0)))),"United States of America")</f>
        <v/>
      </c>
      <c r="I146" s="18" t="str" cm="1">
        <f t="array" ref="I146">IF(F146="","",IF(ISNUMBER(MATCH(TRUE,ISNUMBER(SEARCH($Q$2:$Q$51, $F146)),0))=TRUE,"",IF(ISNUMBER(MATCH(TRUE,ISNUMBER(SEARCH($S$2:$S$199, $F146)),0))=TRUE,"","미국 확인 필요")))</f>
        <v/>
      </c>
      <c r="S146" s="86" t="s">
        <v>547</v>
      </c>
      <c r="T146" s="214">
        <f t="shared" si="8"/>
        <v>0</v>
      </c>
      <c r="U146" s="214" t="str">
        <f>IF(T146=0,"",RANK(T146,T:T,0)+COUNTIF(T$1:T145,T146))</f>
        <v/>
      </c>
      <c r="V146" s="214">
        <f t="shared" si="9"/>
        <v>0</v>
      </c>
      <c r="W146" s="214" t="str">
        <f>IF(V146=0,"",RANK(V146,V:V,0)+COUNTIF(V$1:V145,V146))</f>
        <v/>
      </c>
    </row>
    <row r="147" spans="3:23">
      <c r="C147" s="18" t="str" cm="1">
        <f t="array" ref="C147">IFERROR(IF(A147="","",IF(ISNUMBER(MATCH(TRUE,ISNUMBER(SEARCH($Q$2:$Q$51, $A147)),0))=TRUE,"United States of America",INDEX($S$2:$S$199,MATCH(TRUE,ISNUMBER(SEARCH($S$2:$S$199, $A147)),0)))),"United States of America")</f>
        <v/>
      </c>
      <c r="D147" s="18" t="str" cm="1">
        <f t="array" ref="D147">IF(A147="","",IF(ISNUMBER(MATCH(TRUE,ISNUMBER(SEARCH($Q$2:$Q$51, $A147)),0))=TRUE,"",IF(ISNUMBER(MATCH(TRUE,ISNUMBER(SEARCH($S$2:$S$199, $A147)),0))=TRUE,"","미국 확인 필요")))</f>
        <v/>
      </c>
      <c r="H147" s="18" t="str" cm="1">
        <f t="array" ref="H147">IFERROR(IF(F147="","",IF(ISNUMBER(MATCH(TRUE,ISNUMBER(SEARCH($Q$2:$Q$51, $F147)),0))=TRUE,"United States of America",INDEX($S$2:$S$199,MATCH(TRUE,ISNUMBER(SEARCH($S$2:$S$199, $F147)),0)))),"United States of America")</f>
        <v/>
      </c>
      <c r="I147" s="18" t="str" cm="1">
        <f t="array" ref="I147">IF(F147="","",IF(ISNUMBER(MATCH(TRUE,ISNUMBER(SEARCH($Q$2:$Q$51, $F147)),0))=TRUE,"",IF(ISNUMBER(MATCH(TRUE,ISNUMBER(SEARCH($S$2:$S$199, $F147)),0))=TRUE,"","미국 확인 필요")))</f>
        <v/>
      </c>
      <c r="S147" s="86" t="s">
        <v>548</v>
      </c>
      <c r="T147" s="214">
        <f t="shared" si="8"/>
        <v>0</v>
      </c>
      <c r="U147" s="214" t="str">
        <f>IF(T147=0,"",RANK(T147,T:T,0)+COUNTIF(T$1:T146,T147))</f>
        <v/>
      </c>
      <c r="V147" s="214">
        <f t="shared" si="9"/>
        <v>0</v>
      </c>
      <c r="W147" s="214" t="str">
        <f>IF(V147=0,"",RANK(V147,V:V,0)+COUNTIF(V$1:V146,V147))</f>
        <v/>
      </c>
    </row>
    <row r="148" spans="3:23">
      <c r="C148" s="18" t="str" cm="1">
        <f t="array" ref="C148">IFERROR(IF(A148="","",IF(ISNUMBER(MATCH(TRUE,ISNUMBER(SEARCH($Q$2:$Q$51, $A148)),0))=TRUE,"United States of America",INDEX($S$2:$S$199,MATCH(TRUE,ISNUMBER(SEARCH($S$2:$S$199, $A148)),0)))),"United States of America")</f>
        <v/>
      </c>
      <c r="D148" s="18" t="str" cm="1">
        <f t="array" ref="D148">IF(A148="","",IF(ISNUMBER(MATCH(TRUE,ISNUMBER(SEARCH($Q$2:$Q$51, $A148)),0))=TRUE,"",IF(ISNUMBER(MATCH(TRUE,ISNUMBER(SEARCH($S$2:$S$199, $A148)),0))=TRUE,"","미국 확인 필요")))</f>
        <v/>
      </c>
      <c r="H148" s="18" t="str" cm="1">
        <f t="array" ref="H148">IFERROR(IF(F148="","",IF(ISNUMBER(MATCH(TRUE,ISNUMBER(SEARCH($Q$2:$Q$51, $F148)),0))=TRUE,"United States of America",INDEX($S$2:$S$199,MATCH(TRUE,ISNUMBER(SEARCH($S$2:$S$199, $F148)),0)))),"United States of America")</f>
        <v/>
      </c>
      <c r="I148" s="18" t="str" cm="1">
        <f t="array" ref="I148">IF(F148="","",IF(ISNUMBER(MATCH(TRUE,ISNUMBER(SEARCH($Q$2:$Q$51, $F148)),0))=TRUE,"",IF(ISNUMBER(MATCH(TRUE,ISNUMBER(SEARCH($S$2:$S$199, $F148)),0))=TRUE,"","미국 확인 필요")))</f>
        <v/>
      </c>
      <c r="S148" s="86" t="s">
        <v>549</v>
      </c>
      <c r="T148" s="214">
        <f t="shared" si="8"/>
        <v>0</v>
      </c>
      <c r="U148" s="214" t="str">
        <f>IF(T148=0,"",RANK(T148,T:T,0)+COUNTIF(T$1:T147,T148))</f>
        <v/>
      </c>
      <c r="V148" s="214">
        <f t="shared" si="9"/>
        <v>0</v>
      </c>
      <c r="W148" s="214" t="str">
        <f>IF(V148=0,"",RANK(V148,V:V,0)+COUNTIF(V$1:V147,V148))</f>
        <v/>
      </c>
    </row>
    <row r="149" spans="3:23">
      <c r="C149" s="18" t="str" cm="1">
        <f t="array" ref="C149">IFERROR(IF(A149="","",IF(ISNUMBER(MATCH(TRUE,ISNUMBER(SEARCH($Q$2:$Q$51, $A149)),0))=TRUE,"United States of America",INDEX($S$2:$S$199,MATCH(TRUE,ISNUMBER(SEARCH($S$2:$S$199, $A149)),0)))),"United States of America")</f>
        <v/>
      </c>
      <c r="D149" s="18" t="str" cm="1">
        <f t="array" ref="D149">IF(A149="","",IF(ISNUMBER(MATCH(TRUE,ISNUMBER(SEARCH($Q$2:$Q$51, $A149)),0))=TRUE,"",IF(ISNUMBER(MATCH(TRUE,ISNUMBER(SEARCH($S$2:$S$199, $A149)),0))=TRUE,"","미국 확인 필요")))</f>
        <v/>
      </c>
      <c r="H149" s="18" t="str" cm="1">
        <f t="array" ref="H149">IFERROR(IF(F149="","",IF(ISNUMBER(MATCH(TRUE,ISNUMBER(SEARCH($Q$2:$Q$51, $F149)),0))=TRUE,"United States of America",INDEX($S$2:$S$199,MATCH(TRUE,ISNUMBER(SEARCH($S$2:$S$199, $F149)),0)))),"United States of America")</f>
        <v/>
      </c>
      <c r="I149" s="18" t="str" cm="1">
        <f t="array" ref="I149">IF(F149="","",IF(ISNUMBER(MATCH(TRUE,ISNUMBER(SEARCH($Q$2:$Q$51, $F149)),0))=TRUE,"",IF(ISNUMBER(MATCH(TRUE,ISNUMBER(SEARCH($S$2:$S$199, $F149)),0))=TRUE,"","미국 확인 필요")))</f>
        <v/>
      </c>
      <c r="S149" s="86" t="s">
        <v>550</v>
      </c>
      <c r="T149" s="214">
        <f t="shared" si="8"/>
        <v>0</v>
      </c>
      <c r="U149" s="214" t="str">
        <f>IF(T149=0,"",RANK(T149,T:T,0)+COUNTIF(T$1:T148,T149))</f>
        <v/>
      </c>
      <c r="V149" s="214">
        <f t="shared" si="9"/>
        <v>0</v>
      </c>
      <c r="W149" s="214" t="str">
        <f>IF(V149=0,"",RANK(V149,V:V,0)+COUNTIF(V$1:V148,V149))</f>
        <v/>
      </c>
    </row>
    <row r="150" spans="3:23">
      <c r="C150" s="18" t="str" cm="1">
        <f t="array" ref="C150">IFERROR(IF(A150="","",IF(ISNUMBER(MATCH(TRUE,ISNUMBER(SEARCH($Q$2:$Q$51, $A150)),0))=TRUE,"United States of America",INDEX($S$2:$S$199,MATCH(TRUE,ISNUMBER(SEARCH($S$2:$S$199, $A150)),0)))),"United States of America")</f>
        <v/>
      </c>
      <c r="D150" s="18" t="str" cm="1">
        <f t="array" ref="D150">IF(A150="","",IF(ISNUMBER(MATCH(TRUE,ISNUMBER(SEARCH($Q$2:$Q$51, $A150)),0))=TRUE,"",IF(ISNUMBER(MATCH(TRUE,ISNUMBER(SEARCH($S$2:$S$199, $A150)),0))=TRUE,"","미국 확인 필요")))</f>
        <v/>
      </c>
      <c r="H150" s="18" t="str" cm="1">
        <f t="array" ref="H150">IFERROR(IF(F150="","",IF(ISNUMBER(MATCH(TRUE,ISNUMBER(SEARCH($Q$2:$Q$51, $F150)),0))=TRUE,"United States of America",INDEX($S$2:$S$199,MATCH(TRUE,ISNUMBER(SEARCH($S$2:$S$199, $F150)),0)))),"United States of America")</f>
        <v/>
      </c>
      <c r="I150" s="18" t="str" cm="1">
        <f t="array" ref="I150">IF(F150="","",IF(ISNUMBER(MATCH(TRUE,ISNUMBER(SEARCH($Q$2:$Q$51, $F150)),0))=TRUE,"",IF(ISNUMBER(MATCH(TRUE,ISNUMBER(SEARCH($S$2:$S$199, $F150)),0))=TRUE,"","미국 확인 필요")))</f>
        <v/>
      </c>
      <c r="S150" s="86" t="s">
        <v>551</v>
      </c>
      <c r="T150" s="214">
        <f t="shared" si="8"/>
        <v>0</v>
      </c>
      <c r="U150" s="214" t="str">
        <f>IF(T150=0,"",RANK(T150,T:T,0)+COUNTIF(T$1:T149,T150))</f>
        <v/>
      </c>
      <c r="V150" s="214">
        <f t="shared" si="9"/>
        <v>0</v>
      </c>
      <c r="W150" s="214" t="str">
        <f>IF(V150=0,"",RANK(V150,V:V,0)+COUNTIF(V$1:V149,V150))</f>
        <v/>
      </c>
    </row>
    <row r="151" spans="3:23">
      <c r="C151" s="18" t="str" cm="1">
        <f t="array" ref="C151">IFERROR(IF(A151="","",IF(ISNUMBER(MATCH(TRUE,ISNUMBER(SEARCH($Q$2:$Q$51, $A151)),0))=TRUE,"United States of America",INDEX($S$2:$S$199,MATCH(TRUE,ISNUMBER(SEARCH($S$2:$S$199, $A151)),0)))),"United States of America")</f>
        <v/>
      </c>
      <c r="D151" s="18" t="str" cm="1">
        <f t="array" ref="D151">IF(A151="","",IF(ISNUMBER(MATCH(TRUE,ISNUMBER(SEARCH($Q$2:$Q$51, $A151)),0))=TRUE,"",IF(ISNUMBER(MATCH(TRUE,ISNUMBER(SEARCH($S$2:$S$199, $A151)),0))=TRUE,"","미국 확인 필요")))</f>
        <v/>
      </c>
      <c r="H151" s="18" t="str" cm="1">
        <f t="array" ref="H151">IFERROR(IF(F151="","",IF(ISNUMBER(MATCH(TRUE,ISNUMBER(SEARCH($Q$2:$Q$51, $F151)),0))=TRUE,"United States of America",INDEX($S$2:$S$199,MATCH(TRUE,ISNUMBER(SEARCH($S$2:$S$199, $F151)),0)))),"United States of America")</f>
        <v/>
      </c>
      <c r="I151" s="18" t="str" cm="1">
        <f t="array" ref="I151">IF(F151="","",IF(ISNUMBER(MATCH(TRUE,ISNUMBER(SEARCH($Q$2:$Q$51, $F151)),0))=TRUE,"",IF(ISNUMBER(MATCH(TRUE,ISNUMBER(SEARCH($S$2:$S$199, $F151)),0))=TRUE,"","미국 확인 필요")))</f>
        <v/>
      </c>
      <c r="S151" s="86" t="s">
        <v>552</v>
      </c>
      <c r="T151" s="214">
        <f t="shared" si="8"/>
        <v>0</v>
      </c>
      <c r="U151" s="214" t="str">
        <f>IF(T151=0,"",RANK(T151,T:T,0)+COUNTIF(T$1:T150,T151))</f>
        <v/>
      </c>
      <c r="V151" s="214">
        <f t="shared" si="9"/>
        <v>0</v>
      </c>
      <c r="W151" s="214" t="str">
        <f>IF(V151=0,"",RANK(V151,V:V,0)+COUNTIF(V$1:V150,V151))</f>
        <v/>
      </c>
    </row>
    <row r="152" spans="3:23">
      <c r="C152" s="18" t="str" cm="1">
        <f t="array" ref="C152">IFERROR(IF(A152="","",IF(ISNUMBER(MATCH(TRUE,ISNUMBER(SEARCH($Q$2:$Q$51, $A152)),0))=TRUE,"United States of America",INDEX($S$2:$S$199,MATCH(TRUE,ISNUMBER(SEARCH($S$2:$S$199, $A152)),0)))),"United States of America")</f>
        <v/>
      </c>
      <c r="D152" s="18" t="str" cm="1">
        <f t="array" ref="D152">IF(A152="","",IF(ISNUMBER(MATCH(TRUE,ISNUMBER(SEARCH($Q$2:$Q$51, $A152)),0))=TRUE,"",IF(ISNUMBER(MATCH(TRUE,ISNUMBER(SEARCH($S$2:$S$199, $A152)),0))=TRUE,"","미국 확인 필요")))</f>
        <v/>
      </c>
      <c r="H152" s="18" t="str" cm="1">
        <f t="array" ref="H152">IFERROR(IF(F152="","",IF(ISNUMBER(MATCH(TRUE,ISNUMBER(SEARCH($Q$2:$Q$51, $F152)),0))=TRUE,"United States of America",INDEX($S$2:$S$199,MATCH(TRUE,ISNUMBER(SEARCH($S$2:$S$199, $F152)),0)))),"United States of America")</f>
        <v/>
      </c>
      <c r="I152" s="18" t="str" cm="1">
        <f t="array" ref="I152">IF(F152="","",IF(ISNUMBER(MATCH(TRUE,ISNUMBER(SEARCH($Q$2:$Q$51, $F152)),0))=TRUE,"",IF(ISNUMBER(MATCH(TRUE,ISNUMBER(SEARCH($S$2:$S$199, $F152)),0))=TRUE,"","미국 확인 필요")))</f>
        <v/>
      </c>
      <c r="S152" s="86" t="s">
        <v>553</v>
      </c>
      <c r="T152" s="214">
        <f t="shared" si="8"/>
        <v>0</v>
      </c>
      <c r="U152" s="214" t="str">
        <f>IF(T152=0,"",RANK(T152,T:T,0)+COUNTIF(T$1:T151,T152))</f>
        <v/>
      </c>
      <c r="V152" s="214">
        <f t="shared" si="9"/>
        <v>0</v>
      </c>
      <c r="W152" s="214" t="str">
        <f>IF(V152=0,"",RANK(V152,V:V,0)+COUNTIF(V$1:V151,V152))</f>
        <v/>
      </c>
    </row>
    <row r="153" spans="3:23">
      <c r="C153" s="18" t="str" cm="1">
        <f t="array" ref="C153">IFERROR(IF(A153="","",IF(ISNUMBER(MATCH(TRUE,ISNUMBER(SEARCH($Q$2:$Q$51, $A153)),0))=TRUE,"United States of America",INDEX($S$2:$S$199,MATCH(TRUE,ISNUMBER(SEARCH($S$2:$S$199, $A153)),0)))),"United States of America")</f>
        <v/>
      </c>
      <c r="D153" s="18" t="str" cm="1">
        <f t="array" ref="D153">IF(A153="","",IF(ISNUMBER(MATCH(TRUE,ISNUMBER(SEARCH($Q$2:$Q$51, $A153)),0))=TRUE,"",IF(ISNUMBER(MATCH(TRUE,ISNUMBER(SEARCH($S$2:$S$199, $A153)),0))=TRUE,"","미국 확인 필요")))</f>
        <v/>
      </c>
      <c r="H153" s="18" t="str" cm="1">
        <f t="array" ref="H153">IFERROR(IF(F153="","",IF(ISNUMBER(MATCH(TRUE,ISNUMBER(SEARCH($Q$2:$Q$51, $F153)),0))=TRUE,"United States of America",INDEX($S$2:$S$199,MATCH(TRUE,ISNUMBER(SEARCH($S$2:$S$199, $F153)),0)))),"United States of America")</f>
        <v/>
      </c>
      <c r="I153" s="18" t="str" cm="1">
        <f t="array" ref="I153">IF(F153="","",IF(ISNUMBER(MATCH(TRUE,ISNUMBER(SEARCH($Q$2:$Q$51, $F153)),0))=TRUE,"",IF(ISNUMBER(MATCH(TRUE,ISNUMBER(SEARCH($S$2:$S$199, $F153)),0))=TRUE,"","미국 확인 필요")))</f>
        <v/>
      </c>
      <c r="S153" s="86" t="s">
        <v>554</v>
      </c>
      <c r="T153" s="214">
        <f t="shared" si="8"/>
        <v>0</v>
      </c>
      <c r="U153" s="214" t="str">
        <f>IF(T153=0,"",RANK(T153,T:T,0)+COUNTIF(T$1:T152,T153))</f>
        <v/>
      </c>
      <c r="V153" s="214">
        <f t="shared" si="9"/>
        <v>0</v>
      </c>
      <c r="W153" s="214" t="str">
        <f>IF(V153=0,"",RANK(V153,V:V,0)+COUNTIF(V$1:V152,V153))</f>
        <v/>
      </c>
    </row>
    <row r="154" spans="3:23">
      <c r="C154" s="18" t="str" cm="1">
        <f t="array" ref="C154">IFERROR(IF(A154="","",IF(ISNUMBER(MATCH(TRUE,ISNUMBER(SEARCH($Q$2:$Q$51, $A154)),0))=TRUE,"United States of America",INDEX($S$2:$S$199,MATCH(TRUE,ISNUMBER(SEARCH($S$2:$S$199, $A154)),0)))),"United States of America")</f>
        <v/>
      </c>
      <c r="D154" s="18" t="str" cm="1">
        <f t="array" ref="D154">IF(A154="","",IF(ISNUMBER(MATCH(TRUE,ISNUMBER(SEARCH($Q$2:$Q$51, $A154)),0))=TRUE,"",IF(ISNUMBER(MATCH(TRUE,ISNUMBER(SEARCH($S$2:$S$199, $A154)),0))=TRUE,"","미국 확인 필요")))</f>
        <v/>
      </c>
      <c r="H154" s="18" t="str" cm="1">
        <f t="array" ref="H154">IFERROR(IF(F154="","",IF(ISNUMBER(MATCH(TRUE,ISNUMBER(SEARCH($Q$2:$Q$51, $F154)),0))=TRUE,"United States of America",INDEX($S$2:$S$199,MATCH(TRUE,ISNUMBER(SEARCH($S$2:$S$199, $F154)),0)))),"United States of America")</f>
        <v/>
      </c>
      <c r="I154" s="18" t="str" cm="1">
        <f t="array" ref="I154">IF(F154="","",IF(ISNUMBER(MATCH(TRUE,ISNUMBER(SEARCH($Q$2:$Q$51, $F154)),0))=TRUE,"",IF(ISNUMBER(MATCH(TRUE,ISNUMBER(SEARCH($S$2:$S$199, $F154)),0))=TRUE,"","미국 확인 필요")))</f>
        <v/>
      </c>
      <c r="S154" s="86" t="s">
        <v>555</v>
      </c>
      <c r="T154" s="214">
        <f t="shared" si="8"/>
        <v>0</v>
      </c>
      <c r="U154" s="214" t="str">
        <f>IF(T154=0,"",RANK(T154,T:T,0)+COUNTIF(T$1:T153,T154))</f>
        <v/>
      </c>
      <c r="V154" s="214">
        <f t="shared" si="9"/>
        <v>0</v>
      </c>
      <c r="W154" s="214" t="str">
        <f>IF(V154=0,"",RANK(V154,V:V,0)+COUNTIF(V$1:V153,V154))</f>
        <v/>
      </c>
    </row>
    <row r="155" spans="3:23">
      <c r="C155" s="18" t="str" cm="1">
        <f t="array" ref="C155">IFERROR(IF(A155="","",IF(ISNUMBER(MATCH(TRUE,ISNUMBER(SEARCH($Q$2:$Q$51, $A155)),0))=TRUE,"United States of America",INDEX($S$2:$S$199,MATCH(TRUE,ISNUMBER(SEARCH($S$2:$S$199, $A155)),0)))),"United States of America")</f>
        <v/>
      </c>
      <c r="D155" s="18" t="str" cm="1">
        <f t="array" ref="D155">IF(A155="","",IF(ISNUMBER(MATCH(TRUE,ISNUMBER(SEARCH($Q$2:$Q$51, $A155)),0))=TRUE,"",IF(ISNUMBER(MATCH(TRUE,ISNUMBER(SEARCH($S$2:$S$199, $A155)),0))=TRUE,"","미국 확인 필요")))</f>
        <v/>
      </c>
      <c r="H155" s="18" t="str" cm="1">
        <f t="array" ref="H155">IFERROR(IF(F155="","",IF(ISNUMBER(MATCH(TRUE,ISNUMBER(SEARCH($Q$2:$Q$51, $F155)),0))=TRUE,"United States of America",INDEX($S$2:$S$199,MATCH(TRUE,ISNUMBER(SEARCH($S$2:$S$199, $F155)),0)))),"United States of America")</f>
        <v/>
      </c>
      <c r="I155" s="18" t="str" cm="1">
        <f t="array" ref="I155">IF(F155="","",IF(ISNUMBER(MATCH(TRUE,ISNUMBER(SEARCH($Q$2:$Q$51, $F155)),0))=TRUE,"",IF(ISNUMBER(MATCH(TRUE,ISNUMBER(SEARCH($S$2:$S$199, $F155)),0))=TRUE,"","미국 확인 필요")))</f>
        <v/>
      </c>
      <c r="S155" s="86" t="s">
        <v>556</v>
      </c>
      <c r="T155" s="214">
        <f t="shared" si="8"/>
        <v>0</v>
      </c>
      <c r="U155" s="214" t="str">
        <f>IF(T155=0,"",RANK(T155,T:T,0)+COUNTIF(T$1:T154,T155))</f>
        <v/>
      </c>
      <c r="V155" s="214">
        <f t="shared" si="9"/>
        <v>0</v>
      </c>
      <c r="W155" s="214" t="str">
        <f>IF(V155=0,"",RANK(V155,V:V,0)+COUNTIF(V$1:V154,V155))</f>
        <v/>
      </c>
    </row>
    <row r="156" spans="3:23">
      <c r="C156" s="18" t="str" cm="1">
        <f t="array" ref="C156">IFERROR(IF(A156="","",IF(ISNUMBER(MATCH(TRUE,ISNUMBER(SEARCH($Q$2:$Q$51, $A156)),0))=TRUE,"United States of America",INDEX($S$2:$S$199,MATCH(TRUE,ISNUMBER(SEARCH($S$2:$S$199, $A156)),0)))),"United States of America")</f>
        <v/>
      </c>
      <c r="D156" s="18" t="str" cm="1">
        <f t="array" ref="D156">IF(A156="","",IF(ISNUMBER(MATCH(TRUE,ISNUMBER(SEARCH($Q$2:$Q$51, $A156)),0))=TRUE,"",IF(ISNUMBER(MATCH(TRUE,ISNUMBER(SEARCH($S$2:$S$199, $A156)),0))=TRUE,"","미국 확인 필요")))</f>
        <v/>
      </c>
      <c r="H156" s="18" t="str" cm="1">
        <f t="array" ref="H156">IFERROR(IF(F156="","",IF(ISNUMBER(MATCH(TRUE,ISNUMBER(SEARCH($Q$2:$Q$51, $F156)),0))=TRUE,"United States of America",INDEX($S$2:$S$199,MATCH(TRUE,ISNUMBER(SEARCH($S$2:$S$199, $F156)),0)))),"United States of America")</f>
        <v/>
      </c>
      <c r="I156" s="18" t="str" cm="1">
        <f t="array" ref="I156">IF(F156="","",IF(ISNUMBER(MATCH(TRUE,ISNUMBER(SEARCH($Q$2:$Q$51, $F156)),0))=TRUE,"",IF(ISNUMBER(MATCH(TRUE,ISNUMBER(SEARCH($S$2:$S$199, $F156)),0))=TRUE,"","미국 확인 필요")))</f>
        <v/>
      </c>
      <c r="S156" s="86" t="s">
        <v>557</v>
      </c>
      <c r="T156" s="214">
        <f t="shared" si="8"/>
        <v>0</v>
      </c>
      <c r="U156" s="214" t="str">
        <f>IF(T156=0,"",RANK(T156,T:T,0)+COUNTIF(T$1:T155,T156))</f>
        <v/>
      </c>
      <c r="V156" s="214">
        <f t="shared" si="9"/>
        <v>0</v>
      </c>
      <c r="W156" s="214" t="str">
        <f>IF(V156=0,"",RANK(V156,V:V,0)+COUNTIF(V$1:V155,V156))</f>
        <v/>
      </c>
    </row>
    <row r="157" spans="3:23">
      <c r="C157" s="18" t="str" cm="1">
        <f t="array" ref="C157">IFERROR(IF(A157="","",IF(ISNUMBER(MATCH(TRUE,ISNUMBER(SEARCH($Q$2:$Q$51, $A157)),0))=TRUE,"United States of America",INDEX($S$2:$S$199,MATCH(TRUE,ISNUMBER(SEARCH($S$2:$S$199, $A157)),0)))),"United States of America")</f>
        <v/>
      </c>
      <c r="D157" s="18" t="str" cm="1">
        <f t="array" ref="D157">IF(A157="","",IF(ISNUMBER(MATCH(TRUE,ISNUMBER(SEARCH($Q$2:$Q$51, $A157)),0))=TRUE,"",IF(ISNUMBER(MATCH(TRUE,ISNUMBER(SEARCH($S$2:$S$199, $A157)),0))=TRUE,"","미국 확인 필요")))</f>
        <v/>
      </c>
      <c r="H157" s="18" t="str" cm="1">
        <f t="array" ref="H157">IFERROR(IF(F157="","",IF(ISNUMBER(MATCH(TRUE,ISNUMBER(SEARCH($Q$2:$Q$51, $F157)),0))=TRUE,"United States of America",INDEX($S$2:$S$199,MATCH(TRUE,ISNUMBER(SEARCH($S$2:$S$199, $F157)),0)))),"United States of America")</f>
        <v/>
      </c>
      <c r="I157" s="18" t="str" cm="1">
        <f t="array" ref="I157">IF(F157="","",IF(ISNUMBER(MATCH(TRUE,ISNUMBER(SEARCH($Q$2:$Q$51, $F157)),0))=TRUE,"",IF(ISNUMBER(MATCH(TRUE,ISNUMBER(SEARCH($S$2:$S$199, $F157)),0))=TRUE,"","미국 확인 필요")))</f>
        <v/>
      </c>
      <c r="S157" s="86" t="s">
        <v>558</v>
      </c>
      <c r="T157" s="214">
        <f t="shared" si="8"/>
        <v>0</v>
      </c>
      <c r="U157" s="214" t="str">
        <f>IF(T157=0,"",RANK(T157,T:T,0)+COUNTIF(T$1:T156,T157))</f>
        <v/>
      </c>
      <c r="V157" s="214">
        <f t="shared" si="9"/>
        <v>0</v>
      </c>
      <c r="W157" s="214" t="str">
        <f>IF(V157=0,"",RANK(V157,V:V,0)+COUNTIF(V$1:V156,V157))</f>
        <v/>
      </c>
    </row>
    <row r="158" spans="3:23">
      <c r="C158" s="18" t="str" cm="1">
        <f t="array" ref="C158">IFERROR(IF(A158="","",IF(ISNUMBER(MATCH(TRUE,ISNUMBER(SEARCH($Q$2:$Q$51, $A158)),0))=TRUE,"United States of America",INDEX($S$2:$S$199,MATCH(TRUE,ISNUMBER(SEARCH($S$2:$S$199, $A158)),0)))),"United States of America")</f>
        <v/>
      </c>
      <c r="D158" s="18" t="str" cm="1">
        <f t="array" ref="D158">IF(A158="","",IF(ISNUMBER(MATCH(TRUE,ISNUMBER(SEARCH($Q$2:$Q$51, $A158)),0))=TRUE,"",IF(ISNUMBER(MATCH(TRUE,ISNUMBER(SEARCH($S$2:$S$199, $A158)),0))=TRUE,"","미국 확인 필요")))</f>
        <v/>
      </c>
      <c r="H158" s="18" t="str" cm="1">
        <f t="array" ref="H158">IFERROR(IF(F158="","",IF(ISNUMBER(MATCH(TRUE,ISNUMBER(SEARCH($Q$2:$Q$51, $F158)),0))=TRUE,"United States of America",INDEX($S$2:$S$199,MATCH(TRUE,ISNUMBER(SEARCH($S$2:$S$199, $F158)),0)))),"United States of America")</f>
        <v/>
      </c>
      <c r="I158" s="18" t="str" cm="1">
        <f t="array" ref="I158">IF(F158="","",IF(ISNUMBER(MATCH(TRUE,ISNUMBER(SEARCH($Q$2:$Q$51, $F158)),0))=TRUE,"",IF(ISNUMBER(MATCH(TRUE,ISNUMBER(SEARCH($S$2:$S$199, $F158)),0))=TRUE,"","미국 확인 필요")))</f>
        <v/>
      </c>
      <c r="S158" s="86" t="s">
        <v>559</v>
      </c>
      <c r="T158" s="214">
        <f t="shared" si="8"/>
        <v>0</v>
      </c>
      <c r="U158" s="214" t="str">
        <f>IF(T158=0,"",RANK(T158,T:T,0)+COUNTIF(T$1:T157,T158))</f>
        <v/>
      </c>
      <c r="V158" s="214">
        <f t="shared" si="9"/>
        <v>0</v>
      </c>
      <c r="W158" s="214" t="str">
        <f>IF(V158=0,"",RANK(V158,V:V,0)+COUNTIF(V$1:V157,V158))</f>
        <v/>
      </c>
    </row>
    <row r="159" spans="3:23">
      <c r="C159" s="18" t="str" cm="1">
        <f t="array" ref="C159">IFERROR(IF(A159="","",IF(ISNUMBER(MATCH(TRUE,ISNUMBER(SEARCH($Q$2:$Q$51, $A159)),0))=TRUE,"United States of America",INDEX($S$2:$S$199,MATCH(TRUE,ISNUMBER(SEARCH($S$2:$S$199, $A159)),0)))),"United States of America")</f>
        <v/>
      </c>
      <c r="D159" s="18" t="str" cm="1">
        <f t="array" ref="D159">IF(A159="","",IF(ISNUMBER(MATCH(TRUE,ISNUMBER(SEARCH($Q$2:$Q$51, $A159)),0))=TRUE,"",IF(ISNUMBER(MATCH(TRUE,ISNUMBER(SEARCH($S$2:$S$199, $A159)),0))=TRUE,"","미국 확인 필요")))</f>
        <v/>
      </c>
      <c r="H159" s="18" t="str" cm="1">
        <f t="array" ref="H159">IFERROR(IF(F159="","",IF(ISNUMBER(MATCH(TRUE,ISNUMBER(SEARCH($Q$2:$Q$51, $F159)),0))=TRUE,"United States of America",INDEX($S$2:$S$199,MATCH(TRUE,ISNUMBER(SEARCH($S$2:$S$199, $F159)),0)))),"United States of America")</f>
        <v/>
      </c>
      <c r="I159" s="18" t="str" cm="1">
        <f t="array" ref="I159">IF(F159="","",IF(ISNUMBER(MATCH(TRUE,ISNUMBER(SEARCH($Q$2:$Q$51, $F159)),0))=TRUE,"",IF(ISNUMBER(MATCH(TRUE,ISNUMBER(SEARCH($S$2:$S$199, $F159)),0))=TRUE,"","미국 확인 필요")))</f>
        <v/>
      </c>
      <c r="S159" s="86" t="s">
        <v>560</v>
      </c>
      <c r="T159" s="214">
        <f t="shared" si="8"/>
        <v>0</v>
      </c>
      <c r="U159" s="214" t="str">
        <f>IF(T159=0,"",RANK(T159,T:T,0)+COUNTIF(T$1:T158,T159))</f>
        <v/>
      </c>
      <c r="V159" s="214">
        <f t="shared" si="9"/>
        <v>0</v>
      </c>
      <c r="W159" s="214" t="str">
        <f>IF(V159=0,"",RANK(V159,V:V,0)+COUNTIF(V$1:V158,V159))</f>
        <v/>
      </c>
    </row>
    <row r="160" spans="3:23">
      <c r="C160" s="18" t="str" cm="1">
        <f t="array" ref="C160">IFERROR(IF(A160="","",IF(ISNUMBER(MATCH(TRUE,ISNUMBER(SEARCH($Q$2:$Q$51, $A160)),0))=TRUE,"United States of America",INDEX($S$2:$S$199,MATCH(TRUE,ISNUMBER(SEARCH($S$2:$S$199, $A160)),0)))),"United States of America")</f>
        <v/>
      </c>
      <c r="D160" s="18" t="str" cm="1">
        <f t="array" ref="D160">IF(A160="","",IF(ISNUMBER(MATCH(TRUE,ISNUMBER(SEARCH($Q$2:$Q$51, $A160)),0))=TRUE,"",IF(ISNUMBER(MATCH(TRUE,ISNUMBER(SEARCH($S$2:$S$199, $A160)),0))=TRUE,"","미국 확인 필요")))</f>
        <v/>
      </c>
      <c r="H160" s="18" t="str" cm="1">
        <f t="array" ref="H160">IFERROR(IF(F160="","",IF(ISNUMBER(MATCH(TRUE,ISNUMBER(SEARCH($Q$2:$Q$51, $F160)),0))=TRUE,"United States of America",INDEX($S$2:$S$199,MATCH(TRUE,ISNUMBER(SEARCH($S$2:$S$199, $F160)),0)))),"United States of America")</f>
        <v/>
      </c>
      <c r="I160" s="18" t="str" cm="1">
        <f t="array" ref="I160">IF(F160="","",IF(ISNUMBER(MATCH(TRUE,ISNUMBER(SEARCH($Q$2:$Q$51, $F160)),0))=TRUE,"",IF(ISNUMBER(MATCH(TRUE,ISNUMBER(SEARCH($S$2:$S$199, $F160)),0))=TRUE,"","미국 확인 필요")))</f>
        <v/>
      </c>
      <c r="S160" s="86" t="s">
        <v>561</v>
      </c>
      <c r="T160" s="214">
        <f t="shared" si="8"/>
        <v>0</v>
      </c>
      <c r="U160" s="214" t="str">
        <f>IF(T160=0,"",RANK(T160,T:T,0)+COUNTIF(T$1:T159,T160))</f>
        <v/>
      </c>
      <c r="V160" s="214">
        <f t="shared" si="9"/>
        <v>0</v>
      </c>
      <c r="W160" s="214" t="str">
        <f>IF(V160=0,"",RANK(V160,V:V,0)+COUNTIF(V$1:V159,V160))</f>
        <v/>
      </c>
    </row>
    <row r="161" spans="3:23">
      <c r="C161" s="18" t="str" cm="1">
        <f t="array" ref="C161">IFERROR(IF(A161="","",IF(ISNUMBER(MATCH(TRUE,ISNUMBER(SEARCH($Q$2:$Q$51, $A161)),0))=TRUE,"United States of America",INDEX($S$2:$S$199,MATCH(TRUE,ISNUMBER(SEARCH($S$2:$S$199, $A161)),0)))),"United States of America")</f>
        <v/>
      </c>
      <c r="D161" s="18" t="str" cm="1">
        <f t="array" ref="D161">IF(A161="","",IF(ISNUMBER(MATCH(TRUE,ISNUMBER(SEARCH($Q$2:$Q$51, $A161)),0))=TRUE,"",IF(ISNUMBER(MATCH(TRUE,ISNUMBER(SEARCH($S$2:$S$199, $A161)),0))=TRUE,"","미국 확인 필요")))</f>
        <v/>
      </c>
      <c r="H161" s="18" t="str" cm="1">
        <f t="array" ref="H161">IFERROR(IF(F161="","",IF(ISNUMBER(MATCH(TRUE,ISNUMBER(SEARCH($Q$2:$Q$51, $F161)),0))=TRUE,"United States of America",INDEX($S$2:$S$199,MATCH(TRUE,ISNUMBER(SEARCH($S$2:$S$199, $F161)),0)))),"United States of America")</f>
        <v/>
      </c>
      <c r="I161" s="18" t="str" cm="1">
        <f t="array" ref="I161">IF(F161="","",IF(ISNUMBER(MATCH(TRUE,ISNUMBER(SEARCH($Q$2:$Q$51, $F161)),0))=TRUE,"",IF(ISNUMBER(MATCH(TRUE,ISNUMBER(SEARCH($S$2:$S$199, $F161)),0))=TRUE,"","미국 확인 필요")))</f>
        <v/>
      </c>
      <c r="S161" s="86" t="s">
        <v>562</v>
      </c>
      <c r="T161" s="214">
        <f t="shared" si="8"/>
        <v>0</v>
      </c>
      <c r="U161" s="214" t="str">
        <f>IF(T161=0,"",RANK(T161,T:T,0)+COUNTIF(T$1:T160,T161))</f>
        <v/>
      </c>
      <c r="V161" s="214">
        <f t="shared" si="9"/>
        <v>0</v>
      </c>
      <c r="W161" s="214" t="str">
        <f>IF(V161=0,"",RANK(V161,V:V,0)+COUNTIF(V$1:V160,V161))</f>
        <v/>
      </c>
    </row>
    <row r="162" spans="3:23">
      <c r="C162" s="18" t="str" cm="1">
        <f t="array" ref="C162">IFERROR(IF(A162="","",IF(ISNUMBER(MATCH(TRUE,ISNUMBER(SEARCH($Q$2:$Q$51, $A162)),0))=TRUE,"United States of America",INDEX($S$2:$S$199,MATCH(TRUE,ISNUMBER(SEARCH($S$2:$S$199, $A162)),0)))),"United States of America")</f>
        <v/>
      </c>
      <c r="D162" s="18" t="str" cm="1">
        <f t="array" ref="D162">IF(A162="","",IF(ISNUMBER(MATCH(TRUE,ISNUMBER(SEARCH($Q$2:$Q$51, $A162)),0))=TRUE,"",IF(ISNUMBER(MATCH(TRUE,ISNUMBER(SEARCH($S$2:$S$199, $A162)),0))=TRUE,"","미국 확인 필요")))</f>
        <v/>
      </c>
      <c r="H162" s="18" t="str" cm="1">
        <f t="array" ref="H162">IFERROR(IF(F162="","",IF(ISNUMBER(MATCH(TRUE,ISNUMBER(SEARCH($Q$2:$Q$51, $F162)),0))=TRUE,"United States of America",INDEX($S$2:$S$199,MATCH(TRUE,ISNUMBER(SEARCH($S$2:$S$199, $F162)),0)))),"United States of America")</f>
        <v/>
      </c>
      <c r="I162" s="18" t="str" cm="1">
        <f t="array" ref="I162">IF(F162="","",IF(ISNUMBER(MATCH(TRUE,ISNUMBER(SEARCH($Q$2:$Q$51, $F162)),0))=TRUE,"",IF(ISNUMBER(MATCH(TRUE,ISNUMBER(SEARCH($S$2:$S$199, $F162)),0))=TRUE,"","미국 확인 필요")))</f>
        <v/>
      </c>
      <c r="S162" s="86" t="s">
        <v>563</v>
      </c>
      <c r="T162" s="214">
        <f t="shared" si="8"/>
        <v>0</v>
      </c>
      <c r="U162" s="214" t="str">
        <f>IF(T162=0,"",RANK(T162,T:T,0)+COUNTIF(T$1:T161,T162))</f>
        <v/>
      </c>
      <c r="V162" s="214">
        <f t="shared" si="9"/>
        <v>0</v>
      </c>
      <c r="W162" s="214" t="str">
        <f>IF(V162=0,"",RANK(V162,V:V,0)+COUNTIF(V$1:V161,V162))</f>
        <v/>
      </c>
    </row>
    <row r="163" spans="3:23">
      <c r="C163" s="18" t="str" cm="1">
        <f t="array" ref="C163">IFERROR(IF(A163="","",IF(ISNUMBER(MATCH(TRUE,ISNUMBER(SEARCH($Q$2:$Q$51, $A163)),0))=TRUE,"United States of America",INDEX($S$2:$S$199,MATCH(TRUE,ISNUMBER(SEARCH($S$2:$S$199, $A163)),0)))),"United States of America")</f>
        <v/>
      </c>
      <c r="D163" s="18" t="str" cm="1">
        <f t="array" ref="D163">IF(A163="","",IF(ISNUMBER(MATCH(TRUE,ISNUMBER(SEARCH($Q$2:$Q$51, $A163)),0))=TRUE,"",IF(ISNUMBER(MATCH(TRUE,ISNUMBER(SEARCH($S$2:$S$199, $A163)),0))=TRUE,"","미국 확인 필요")))</f>
        <v/>
      </c>
      <c r="H163" s="18" t="str" cm="1">
        <f t="array" ref="H163">IFERROR(IF(F163="","",IF(ISNUMBER(MATCH(TRUE,ISNUMBER(SEARCH($Q$2:$Q$51, $F163)),0))=TRUE,"United States of America",INDEX($S$2:$S$199,MATCH(TRUE,ISNUMBER(SEARCH($S$2:$S$199, $F163)),0)))),"United States of America")</f>
        <v/>
      </c>
      <c r="I163" s="18" t="str" cm="1">
        <f t="array" ref="I163">IF(F163="","",IF(ISNUMBER(MATCH(TRUE,ISNUMBER(SEARCH($Q$2:$Q$51, $F163)),0))=TRUE,"",IF(ISNUMBER(MATCH(TRUE,ISNUMBER(SEARCH($S$2:$S$199, $F163)),0))=TRUE,"","미국 확인 필요")))</f>
        <v/>
      </c>
      <c r="S163" s="86" t="s">
        <v>564</v>
      </c>
      <c r="T163" s="214">
        <f t="shared" si="8"/>
        <v>0</v>
      </c>
      <c r="U163" s="214" t="str">
        <f>IF(T163=0,"",RANK(T163,T:T,0)+COUNTIF(T$1:T162,T163))</f>
        <v/>
      </c>
      <c r="V163" s="214">
        <f t="shared" si="9"/>
        <v>0</v>
      </c>
      <c r="W163" s="214" t="str">
        <f>IF(V163=0,"",RANK(V163,V:V,0)+COUNTIF(V$1:V162,V163))</f>
        <v/>
      </c>
    </row>
    <row r="164" spans="3:23">
      <c r="C164" s="18" t="str" cm="1">
        <f t="array" ref="C164">IFERROR(IF(A164="","",IF(ISNUMBER(MATCH(TRUE,ISNUMBER(SEARCH($Q$2:$Q$51, $A164)),0))=TRUE,"United States of America",INDEX($S$2:$S$199,MATCH(TRUE,ISNUMBER(SEARCH($S$2:$S$199, $A164)),0)))),"United States of America")</f>
        <v/>
      </c>
      <c r="D164" s="18" t="str" cm="1">
        <f t="array" ref="D164">IF(A164="","",IF(ISNUMBER(MATCH(TRUE,ISNUMBER(SEARCH($Q$2:$Q$51, $A164)),0))=TRUE,"",IF(ISNUMBER(MATCH(TRUE,ISNUMBER(SEARCH($S$2:$S$199, $A164)),0))=TRUE,"","미국 확인 필요")))</f>
        <v/>
      </c>
      <c r="H164" s="18" t="str" cm="1">
        <f t="array" ref="H164">IFERROR(IF(F164="","",IF(ISNUMBER(MATCH(TRUE,ISNUMBER(SEARCH($Q$2:$Q$51, $F164)),0))=TRUE,"United States of America",INDEX($S$2:$S$199,MATCH(TRUE,ISNUMBER(SEARCH($S$2:$S$199, $F164)),0)))),"United States of America")</f>
        <v/>
      </c>
      <c r="I164" s="18" t="str" cm="1">
        <f t="array" ref="I164">IF(F164="","",IF(ISNUMBER(MATCH(TRUE,ISNUMBER(SEARCH($Q$2:$Q$51, $F164)),0))=TRUE,"",IF(ISNUMBER(MATCH(TRUE,ISNUMBER(SEARCH($S$2:$S$199, $F164)),0))=TRUE,"","미국 확인 필요")))</f>
        <v/>
      </c>
      <c r="S164" s="86" t="s">
        <v>565</v>
      </c>
      <c r="T164" s="214">
        <f t="shared" si="8"/>
        <v>0</v>
      </c>
      <c r="U164" s="214" t="str">
        <f>IF(T164=0,"",RANK(T164,T:T,0)+COUNTIF(T$1:T163,T164))</f>
        <v/>
      </c>
      <c r="V164" s="214">
        <f t="shared" si="9"/>
        <v>0</v>
      </c>
      <c r="W164" s="214" t="str">
        <f>IF(V164=0,"",RANK(V164,V:V,0)+COUNTIF(V$1:V163,V164))</f>
        <v/>
      </c>
    </row>
    <row r="165" spans="3:23">
      <c r="C165" s="18" t="str" cm="1">
        <f t="array" ref="C165">IFERROR(IF(A165="","",IF(ISNUMBER(MATCH(TRUE,ISNUMBER(SEARCH($Q$2:$Q$51, $A165)),0))=TRUE,"United States of America",INDEX($S$2:$S$199,MATCH(TRUE,ISNUMBER(SEARCH($S$2:$S$199, $A165)),0)))),"United States of America")</f>
        <v/>
      </c>
      <c r="D165" s="18" t="str" cm="1">
        <f t="array" ref="D165">IF(A165="","",IF(ISNUMBER(MATCH(TRUE,ISNUMBER(SEARCH($Q$2:$Q$51, $A165)),0))=TRUE,"",IF(ISNUMBER(MATCH(TRUE,ISNUMBER(SEARCH($S$2:$S$199, $A165)),0))=TRUE,"","미국 확인 필요")))</f>
        <v/>
      </c>
      <c r="H165" s="18" t="str" cm="1">
        <f t="array" ref="H165">IFERROR(IF(F165="","",IF(ISNUMBER(MATCH(TRUE,ISNUMBER(SEARCH($Q$2:$Q$51, $F165)),0))=TRUE,"United States of America",INDEX($S$2:$S$199,MATCH(TRUE,ISNUMBER(SEARCH($S$2:$S$199, $F165)),0)))),"United States of America")</f>
        <v/>
      </c>
      <c r="I165" s="18" t="str" cm="1">
        <f t="array" ref="I165">IF(F165="","",IF(ISNUMBER(MATCH(TRUE,ISNUMBER(SEARCH($Q$2:$Q$51, $F165)),0))=TRUE,"",IF(ISNUMBER(MATCH(TRUE,ISNUMBER(SEARCH($S$2:$S$199, $F165)),0))=TRUE,"","미국 확인 필요")))</f>
        <v/>
      </c>
      <c r="S165" s="86" t="s">
        <v>566</v>
      </c>
      <c r="T165" s="214">
        <f t="shared" si="8"/>
        <v>0</v>
      </c>
      <c r="U165" s="214" t="str">
        <f>IF(T165=0,"",RANK(T165,T:T,0)+COUNTIF(T$1:T164,T165))</f>
        <v/>
      </c>
      <c r="V165" s="214">
        <f t="shared" si="9"/>
        <v>0</v>
      </c>
      <c r="W165" s="214" t="str">
        <f>IF(V165=0,"",RANK(V165,V:V,0)+COUNTIF(V$1:V164,V165))</f>
        <v/>
      </c>
    </row>
    <row r="166" spans="3:23">
      <c r="C166" s="18" t="str" cm="1">
        <f t="array" ref="C166">IFERROR(IF(A166="","",IF(ISNUMBER(MATCH(TRUE,ISNUMBER(SEARCH($Q$2:$Q$51, $A166)),0))=TRUE,"United States of America",INDEX($S$2:$S$199,MATCH(TRUE,ISNUMBER(SEARCH($S$2:$S$199, $A166)),0)))),"United States of America")</f>
        <v/>
      </c>
      <c r="D166" s="18" t="str" cm="1">
        <f t="array" ref="D166">IF(A166="","",IF(ISNUMBER(MATCH(TRUE,ISNUMBER(SEARCH($Q$2:$Q$51, $A166)),0))=TRUE,"",IF(ISNUMBER(MATCH(TRUE,ISNUMBER(SEARCH($S$2:$S$199, $A166)),0))=TRUE,"","미국 확인 필요")))</f>
        <v/>
      </c>
      <c r="H166" s="18" t="str" cm="1">
        <f t="array" ref="H166">IFERROR(IF(F166="","",IF(ISNUMBER(MATCH(TRUE,ISNUMBER(SEARCH($Q$2:$Q$51, $F166)),0))=TRUE,"United States of America",INDEX($S$2:$S$199,MATCH(TRUE,ISNUMBER(SEARCH($S$2:$S$199, $F166)),0)))),"United States of America")</f>
        <v/>
      </c>
      <c r="I166" s="18" t="str" cm="1">
        <f t="array" ref="I166">IF(F166="","",IF(ISNUMBER(MATCH(TRUE,ISNUMBER(SEARCH($Q$2:$Q$51, $F166)),0))=TRUE,"",IF(ISNUMBER(MATCH(TRUE,ISNUMBER(SEARCH($S$2:$S$199, $F166)),0))=TRUE,"","미국 확인 필요")))</f>
        <v/>
      </c>
      <c r="S166" s="86" t="s">
        <v>567</v>
      </c>
      <c r="T166" s="214">
        <f t="shared" si="8"/>
        <v>0</v>
      </c>
      <c r="U166" s="214" t="str">
        <f>IF(T166=0,"",RANK(T166,T:T,0)+COUNTIF(T$1:T165,T166))</f>
        <v/>
      </c>
      <c r="V166" s="214">
        <f t="shared" si="9"/>
        <v>0</v>
      </c>
      <c r="W166" s="214" t="str">
        <f>IF(V166=0,"",RANK(V166,V:V,0)+COUNTIF(V$1:V165,V166))</f>
        <v/>
      </c>
    </row>
    <row r="167" spans="3:23">
      <c r="C167" s="18" t="str" cm="1">
        <f t="array" ref="C167">IFERROR(IF(A167="","",IF(ISNUMBER(MATCH(TRUE,ISNUMBER(SEARCH($Q$2:$Q$51, $A167)),0))=TRUE,"United States of America",INDEX($S$2:$S$199,MATCH(TRUE,ISNUMBER(SEARCH($S$2:$S$199, $A167)),0)))),"United States of America")</f>
        <v/>
      </c>
      <c r="D167" s="18" t="str" cm="1">
        <f t="array" ref="D167">IF(A167="","",IF(ISNUMBER(MATCH(TRUE,ISNUMBER(SEARCH($Q$2:$Q$51, $A167)),0))=TRUE,"",IF(ISNUMBER(MATCH(TRUE,ISNUMBER(SEARCH($S$2:$S$199, $A167)),0))=TRUE,"","미국 확인 필요")))</f>
        <v/>
      </c>
      <c r="H167" s="18" t="str" cm="1">
        <f t="array" ref="H167">IFERROR(IF(F167="","",IF(ISNUMBER(MATCH(TRUE,ISNUMBER(SEARCH($Q$2:$Q$51, $F167)),0))=TRUE,"United States of America",INDEX($S$2:$S$199,MATCH(TRUE,ISNUMBER(SEARCH($S$2:$S$199, $F167)),0)))),"United States of America")</f>
        <v/>
      </c>
      <c r="I167" s="18" t="str" cm="1">
        <f t="array" ref="I167">IF(F167="","",IF(ISNUMBER(MATCH(TRUE,ISNUMBER(SEARCH($Q$2:$Q$51, $F167)),0))=TRUE,"",IF(ISNUMBER(MATCH(TRUE,ISNUMBER(SEARCH($S$2:$S$199, $F167)),0))=TRUE,"","미국 확인 필요")))</f>
        <v/>
      </c>
      <c r="S167" s="86" t="s">
        <v>568</v>
      </c>
      <c r="T167" s="214">
        <f t="shared" si="8"/>
        <v>0</v>
      </c>
      <c r="U167" s="214" t="str">
        <f>IF(T167=0,"",RANK(T167,T:T,0)+COUNTIF(T$1:T166,T167))</f>
        <v/>
      </c>
      <c r="V167" s="214">
        <f t="shared" si="9"/>
        <v>0</v>
      </c>
      <c r="W167" s="214" t="str">
        <f>IF(V167=0,"",RANK(V167,V:V,0)+COUNTIF(V$1:V166,V167))</f>
        <v/>
      </c>
    </row>
    <row r="168" spans="3:23">
      <c r="C168" s="18" t="str" cm="1">
        <f t="array" ref="C168">IFERROR(IF(A168="","",IF(ISNUMBER(MATCH(TRUE,ISNUMBER(SEARCH($Q$2:$Q$51, $A168)),0))=TRUE,"United States of America",INDEX($S$2:$S$199,MATCH(TRUE,ISNUMBER(SEARCH($S$2:$S$199, $A168)),0)))),"United States of America")</f>
        <v/>
      </c>
      <c r="D168" s="18" t="str" cm="1">
        <f t="array" ref="D168">IF(A168="","",IF(ISNUMBER(MATCH(TRUE,ISNUMBER(SEARCH($Q$2:$Q$51, $A168)),0))=TRUE,"",IF(ISNUMBER(MATCH(TRUE,ISNUMBER(SEARCH($S$2:$S$199, $A168)),0))=TRUE,"","미국 확인 필요")))</f>
        <v/>
      </c>
      <c r="H168" s="18" t="str" cm="1">
        <f t="array" ref="H168">IFERROR(IF(F168="","",IF(ISNUMBER(MATCH(TRUE,ISNUMBER(SEARCH($Q$2:$Q$51, $F168)),0))=TRUE,"United States of America",INDEX($S$2:$S$199,MATCH(TRUE,ISNUMBER(SEARCH($S$2:$S$199, $F168)),0)))),"United States of America")</f>
        <v/>
      </c>
      <c r="I168" s="18" t="str" cm="1">
        <f t="array" ref="I168">IF(F168="","",IF(ISNUMBER(MATCH(TRUE,ISNUMBER(SEARCH($Q$2:$Q$51, $F168)),0))=TRUE,"",IF(ISNUMBER(MATCH(TRUE,ISNUMBER(SEARCH($S$2:$S$199, $F168)),0))=TRUE,"","미국 확인 필요")))</f>
        <v/>
      </c>
      <c r="S168" s="86" t="s">
        <v>569</v>
      </c>
      <c r="T168" s="214">
        <f t="shared" si="8"/>
        <v>0</v>
      </c>
      <c r="U168" s="214" t="str">
        <f>IF(T168=0,"",RANK(T168,T:T,0)+COUNTIF(T$1:T167,T168))</f>
        <v/>
      </c>
      <c r="V168" s="214">
        <f t="shared" si="9"/>
        <v>0</v>
      </c>
      <c r="W168" s="214" t="str">
        <f>IF(V168=0,"",RANK(V168,V:V,0)+COUNTIF(V$1:V167,V168))</f>
        <v/>
      </c>
    </row>
    <row r="169" spans="3:23">
      <c r="C169" s="18" t="str" cm="1">
        <f t="array" ref="C169">IFERROR(IF(A169="","",IF(ISNUMBER(MATCH(TRUE,ISNUMBER(SEARCH($Q$2:$Q$51, $A169)),0))=TRUE,"United States of America",INDEX($S$2:$S$199,MATCH(TRUE,ISNUMBER(SEARCH($S$2:$S$199, $A169)),0)))),"United States of America")</f>
        <v/>
      </c>
      <c r="D169" s="18" t="str" cm="1">
        <f t="array" ref="D169">IF(A169="","",IF(ISNUMBER(MATCH(TRUE,ISNUMBER(SEARCH($Q$2:$Q$51, $A169)),0))=TRUE,"",IF(ISNUMBER(MATCH(TRUE,ISNUMBER(SEARCH($S$2:$S$199, $A169)),0))=TRUE,"","미국 확인 필요")))</f>
        <v/>
      </c>
      <c r="H169" s="18" t="str" cm="1">
        <f t="array" ref="H169">IFERROR(IF(F169="","",IF(ISNUMBER(MATCH(TRUE,ISNUMBER(SEARCH($Q$2:$Q$51, $F169)),0))=TRUE,"United States of America",INDEX($S$2:$S$199,MATCH(TRUE,ISNUMBER(SEARCH($S$2:$S$199, $F169)),0)))),"United States of America")</f>
        <v/>
      </c>
      <c r="I169" s="18" t="str" cm="1">
        <f t="array" ref="I169">IF(F169="","",IF(ISNUMBER(MATCH(TRUE,ISNUMBER(SEARCH($Q$2:$Q$51, $F169)),0))=TRUE,"",IF(ISNUMBER(MATCH(TRUE,ISNUMBER(SEARCH($S$2:$S$199, $F169)),0))=TRUE,"","미국 확인 필요")))</f>
        <v/>
      </c>
      <c r="S169" s="86" t="s">
        <v>570</v>
      </c>
      <c r="T169" s="214">
        <f t="shared" si="8"/>
        <v>0</v>
      </c>
      <c r="U169" s="214" t="str">
        <f>IF(T169=0,"",RANK(T169,T:T,0)+COUNTIF(T$1:T168,T169))</f>
        <v/>
      </c>
      <c r="V169" s="214">
        <f t="shared" si="9"/>
        <v>0</v>
      </c>
      <c r="W169" s="214" t="str">
        <f>IF(V169=0,"",RANK(V169,V:V,0)+COUNTIF(V$1:V168,V169))</f>
        <v/>
      </c>
    </row>
    <row r="170" spans="3:23">
      <c r="C170" s="18" t="str" cm="1">
        <f t="array" ref="C170">IFERROR(IF(A170="","",IF(ISNUMBER(MATCH(TRUE,ISNUMBER(SEARCH($Q$2:$Q$51, $A170)),0))=TRUE,"United States of America",INDEX($S$2:$S$199,MATCH(TRUE,ISNUMBER(SEARCH($S$2:$S$199, $A170)),0)))),"United States of America")</f>
        <v/>
      </c>
      <c r="D170" s="18" t="str" cm="1">
        <f t="array" ref="D170">IF(A170="","",IF(ISNUMBER(MATCH(TRUE,ISNUMBER(SEARCH($Q$2:$Q$51, $A170)),0))=TRUE,"",IF(ISNUMBER(MATCH(TRUE,ISNUMBER(SEARCH($S$2:$S$199, $A170)),0))=TRUE,"","미국 확인 필요")))</f>
        <v/>
      </c>
      <c r="H170" s="18" t="str" cm="1">
        <f t="array" ref="H170">IFERROR(IF(F170="","",IF(ISNUMBER(MATCH(TRUE,ISNUMBER(SEARCH($Q$2:$Q$51, $F170)),0))=TRUE,"United States of America",INDEX($S$2:$S$199,MATCH(TRUE,ISNUMBER(SEARCH($S$2:$S$199, $F170)),0)))),"United States of America")</f>
        <v/>
      </c>
      <c r="I170" s="18" t="str" cm="1">
        <f t="array" ref="I170">IF(F170="","",IF(ISNUMBER(MATCH(TRUE,ISNUMBER(SEARCH($Q$2:$Q$51, $F170)),0))=TRUE,"",IF(ISNUMBER(MATCH(TRUE,ISNUMBER(SEARCH($S$2:$S$199, $F170)),0))=TRUE,"","미국 확인 필요")))</f>
        <v/>
      </c>
      <c r="S170" s="86" t="s">
        <v>571</v>
      </c>
      <c r="T170" s="214">
        <f t="shared" si="8"/>
        <v>0</v>
      </c>
      <c r="U170" s="214" t="str">
        <f>IF(T170=0,"",RANK(T170,T:T,0)+COUNTIF(T$1:T169,T170))</f>
        <v/>
      </c>
      <c r="V170" s="214">
        <f t="shared" si="9"/>
        <v>0</v>
      </c>
      <c r="W170" s="214" t="str">
        <f>IF(V170=0,"",RANK(V170,V:V,0)+COUNTIF(V$1:V169,V170))</f>
        <v/>
      </c>
    </row>
    <row r="171" spans="3:23">
      <c r="C171" s="18" t="str" cm="1">
        <f t="array" ref="C171">IFERROR(IF(A171="","",IF(ISNUMBER(MATCH(TRUE,ISNUMBER(SEARCH($Q$2:$Q$51, $A171)),0))=TRUE,"United States of America",INDEX($S$2:$S$199,MATCH(TRUE,ISNUMBER(SEARCH($S$2:$S$199, $A171)),0)))),"United States of America")</f>
        <v/>
      </c>
      <c r="D171" s="18" t="str" cm="1">
        <f t="array" ref="D171">IF(A171="","",IF(ISNUMBER(MATCH(TRUE,ISNUMBER(SEARCH($Q$2:$Q$51, $A171)),0))=TRUE,"",IF(ISNUMBER(MATCH(TRUE,ISNUMBER(SEARCH($S$2:$S$199, $A171)),0))=TRUE,"","미국 확인 필요")))</f>
        <v/>
      </c>
      <c r="H171" s="18" t="str" cm="1">
        <f t="array" ref="H171">IFERROR(IF(F171="","",IF(ISNUMBER(MATCH(TRUE,ISNUMBER(SEARCH($Q$2:$Q$51, $F171)),0))=TRUE,"United States of America",INDEX($S$2:$S$199,MATCH(TRUE,ISNUMBER(SEARCH($S$2:$S$199, $F171)),0)))),"United States of America")</f>
        <v/>
      </c>
      <c r="I171" s="18" t="str" cm="1">
        <f t="array" ref="I171">IF(F171="","",IF(ISNUMBER(MATCH(TRUE,ISNUMBER(SEARCH($Q$2:$Q$51, $F171)),0))=TRUE,"",IF(ISNUMBER(MATCH(TRUE,ISNUMBER(SEARCH($S$2:$S$199, $F171)),0))=TRUE,"","미국 확인 필요")))</f>
        <v/>
      </c>
      <c r="S171" s="86" t="s">
        <v>572</v>
      </c>
      <c r="T171" s="214">
        <f t="shared" si="8"/>
        <v>0</v>
      </c>
      <c r="U171" s="214" t="str">
        <f>IF(T171=0,"",RANK(T171,T:T,0)+COUNTIF(T$1:T170,T171))</f>
        <v/>
      </c>
      <c r="V171" s="214">
        <f t="shared" si="9"/>
        <v>0</v>
      </c>
      <c r="W171" s="214" t="str">
        <f>IF(V171=0,"",RANK(V171,V:V,0)+COUNTIF(V$1:V170,V171))</f>
        <v/>
      </c>
    </row>
    <row r="172" spans="3:23">
      <c r="C172" s="18" t="str" cm="1">
        <f t="array" ref="C172">IFERROR(IF(A172="","",IF(ISNUMBER(MATCH(TRUE,ISNUMBER(SEARCH($Q$2:$Q$51, $A172)),0))=TRUE,"United States of America",INDEX($S$2:$S$199,MATCH(TRUE,ISNUMBER(SEARCH($S$2:$S$199, $A172)),0)))),"United States of America")</f>
        <v/>
      </c>
      <c r="D172" s="18" t="str" cm="1">
        <f t="array" ref="D172">IF(A172="","",IF(ISNUMBER(MATCH(TRUE,ISNUMBER(SEARCH($Q$2:$Q$51, $A172)),0))=TRUE,"",IF(ISNUMBER(MATCH(TRUE,ISNUMBER(SEARCH($S$2:$S$199, $A172)),0))=TRUE,"","미국 확인 필요")))</f>
        <v/>
      </c>
      <c r="H172" s="18" t="str" cm="1">
        <f t="array" ref="H172">IFERROR(IF(F172="","",IF(ISNUMBER(MATCH(TRUE,ISNUMBER(SEARCH($Q$2:$Q$51, $F172)),0))=TRUE,"United States of America",INDEX($S$2:$S$199,MATCH(TRUE,ISNUMBER(SEARCH($S$2:$S$199, $F172)),0)))),"United States of America")</f>
        <v/>
      </c>
      <c r="I172" s="18" t="str" cm="1">
        <f t="array" ref="I172">IF(F172="","",IF(ISNUMBER(MATCH(TRUE,ISNUMBER(SEARCH($Q$2:$Q$51, $F172)),0))=TRUE,"",IF(ISNUMBER(MATCH(TRUE,ISNUMBER(SEARCH($S$2:$S$199, $F172)),0))=TRUE,"","미국 확인 필요")))</f>
        <v/>
      </c>
      <c r="S172" s="86" t="s">
        <v>573</v>
      </c>
      <c r="T172" s="214">
        <f t="shared" si="8"/>
        <v>0</v>
      </c>
      <c r="U172" s="214" t="str">
        <f>IF(T172=0,"",RANK(T172,T:T,0)+COUNTIF(T$1:T171,T172))</f>
        <v/>
      </c>
      <c r="V172" s="214">
        <f t="shared" si="9"/>
        <v>0</v>
      </c>
      <c r="W172" s="214" t="str">
        <f>IF(V172=0,"",RANK(V172,V:V,0)+COUNTIF(V$1:V171,V172))</f>
        <v/>
      </c>
    </row>
    <row r="173" spans="3:23">
      <c r="C173" s="18" t="str" cm="1">
        <f t="array" ref="C173">IFERROR(IF(A173="","",IF(ISNUMBER(MATCH(TRUE,ISNUMBER(SEARCH($Q$2:$Q$51, $A173)),0))=TRUE,"United States of America",INDEX($S$2:$S$199,MATCH(TRUE,ISNUMBER(SEARCH($S$2:$S$199, $A173)),0)))),"United States of America")</f>
        <v/>
      </c>
      <c r="D173" s="18" t="str" cm="1">
        <f t="array" ref="D173">IF(A173="","",IF(ISNUMBER(MATCH(TRUE,ISNUMBER(SEARCH($Q$2:$Q$51, $A173)),0))=TRUE,"",IF(ISNUMBER(MATCH(TRUE,ISNUMBER(SEARCH($S$2:$S$199, $A173)),0))=TRUE,"","미국 확인 필요")))</f>
        <v/>
      </c>
      <c r="H173" s="18" t="str" cm="1">
        <f t="array" ref="H173">IFERROR(IF(F173="","",IF(ISNUMBER(MATCH(TRUE,ISNUMBER(SEARCH($Q$2:$Q$51, $F173)),0))=TRUE,"United States of America",INDEX($S$2:$S$199,MATCH(TRUE,ISNUMBER(SEARCH($S$2:$S$199, $F173)),0)))),"United States of America")</f>
        <v/>
      </c>
      <c r="I173" s="18" t="str" cm="1">
        <f t="array" ref="I173">IF(F173="","",IF(ISNUMBER(MATCH(TRUE,ISNUMBER(SEARCH($Q$2:$Q$51, $F173)),0))=TRUE,"",IF(ISNUMBER(MATCH(TRUE,ISNUMBER(SEARCH($S$2:$S$199, $F173)),0))=TRUE,"","미국 확인 필요")))</f>
        <v/>
      </c>
      <c r="S173" s="86" t="s">
        <v>574</v>
      </c>
      <c r="T173" s="214">
        <f t="shared" si="8"/>
        <v>0</v>
      </c>
      <c r="U173" s="214" t="str">
        <f>IF(T173=0,"",RANK(T173,T:T,0)+COUNTIF(T$1:T172,T173))</f>
        <v/>
      </c>
      <c r="V173" s="214">
        <f t="shared" si="9"/>
        <v>0</v>
      </c>
      <c r="W173" s="214" t="str">
        <f>IF(V173=0,"",RANK(V173,V:V,0)+COUNTIF(V$1:V172,V173))</f>
        <v/>
      </c>
    </row>
    <row r="174" spans="3:23">
      <c r="C174" s="18" t="str" cm="1">
        <f t="array" ref="C174">IFERROR(IF(A174="","",IF(ISNUMBER(MATCH(TRUE,ISNUMBER(SEARCH($Q$2:$Q$51, $A174)),0))=TRUE,"United States of America",INDEX($S$2:$S$199,MATCH(TRUE,ISNUMBER(SEARCH($S$2:$S$199, $A174)),0)))),"United States of America")</f>
        <v/>
      </c>
      <c r="D174" s="18" t="str" cm="1">
        <f t="array" ref="D174">IF(A174="","",IF(ISNUMBER(MATCH(TRUE,ISNUMBER(SEARCH($Q$2:$Q$51, $A174)),0))=TRUE,"",IF(ISNUMBER(MATCH(TRUE,ISNUMBER(SEARCH($S$2:$S$199, $A174)),0))=TRUE,"","미국 확인 필요")))</f>
        <v/>
      </c>
      <c r="H174" s="18" t="str" cm="1">
        <f t="array" ref="H174">IFERROR(IF(F174="","",IF(ISNUMBER(MATCH(TRUE,ISNUMBER(SEARCH($Q$2:$Q$51, $F174)),0))=TRUE,"United States of America",INDEX($S$2:$S$199,MATCH(TRUE,ISNUMBER(SEARCH($S$2:$S$199, $F174)),0)))),"United States of America")</f>
        <v/>
      </c>
      <c r="I174" s="18" t="str" cm="1">
        <f t="array" ref="I174">IF(F174="","",IF(ISNUMBER(MATCH(TRUE,ISNUMBER(SEARCH($Q$2:$Q$51, $F174)),0))=TRUE,"",IF(ISNUMBER(MATCH(TRUE,ISNUMBER(SEARCH($S$2:$S$199, $F174)),0))=TRUE,"","미국 확인 필요")))</f>
        <v/>
      </c>
      <c r="S174" s="86" t="s">
        <v>575</v>
      </c>
      <c r="T174" s="214">
        <f t="shared" si="8"/>
        <v>0</v>
      </c>
      <c r="U174" s="214" t="str">
        <f>IF(T174=0,"",RANK(T174,T:T,0)+COUNTIF(T$1:T173,T174))</f>
        <v/>
      </c>
      <c r="V174" s="214">
        <f t="shared" si="9"/>
        <v>0</v>
      </c>
      <c r="W174" s="214" t="str">
        <f>IF(V174=0,"",RANK(V174,V:V,0)+COUNTIF(V$1:V173,V174))</f>
        <v/>
      </c>
    </row>
    <row r="175" spans="3:23">
      <c r="C175" s="18" t="str" cm="1">
        <f t="array" ref="C175">IFERROR(IF(A175="","",IF(ISNUMBER(MATCH(TRUE,ISNUMBER(SEARCH($Q$2:$Q$51, $A175)),0))=TRUE,"United States of America",INDEX($S$2:$S$199,MATCH(TRUE,ISNUMBER(SEARCH($S$2:$S$199, $A175)),0)))),"United States of America")</f>
        <v/>
      </c>
      <c r="D175" s="18" t="str" cm="1">
        <f t="array" ref="D175">IF(A175="","",IF(ISNUMBER(MATCH(TRUE,ISNUMBER(SEARCH($Q$2:$Q$51, $A175)),0))=TRUE,"",IF(ISNUMBER(MATCH(TRUE,ISNUMBER(SEARCH($S$2:$S$199, $A175)),0))=TRUE,"","미국 확인 필요")))</f>
        <v/>
      </c>
      <c r="H175" s="18" t="str" cm="1">
        <f t="array" ref="H175">IFERROR(IF(F175="","",IF(ISNUMBER(MATCH(TRUE,ISNUMBER(SEARCH($Q$2:$Q$51, $F175)),0))=TRUE,"United States of America",INDEX($S$2:$S$199,MATCH(TRUE,ISNUMBER(SEARCH($S$2:$S$199, $F175)),0)))),"United States of America")</f>
        <v/>
      </c>
      <c r="I175" s="18" t="str" cm="1">
        <f t="array" ref="I175">IF(F175="","",IF(ISNUMBER(MATCH(TRUE,ISNUMBER(SEARCH($Q$2:$Q$51, $F175)),0))=TRUE,"",IF(ISNUMBER(MATCH(TRUE,ISNUMBER(SEARCH($S$2:$S$199, $F175)),0))=TRUE,"","미국 확인 필요")))</f>
        <v/>
      </c>
      <c r="S175" s="86" t="s">
        <v>576</v>
      </c>
      <c r="T175" s="214">
        <f t="shared" si="8"/>
        <v>0</v>
      </c>
      <c r="U175" s="214" t="str">
        <f>IF(T175=0,"",RANK(T175,T:T,0)+COUNTIF(T$1:T174,T175))</f>
        <v/>
      </c>
      <c r="V175" s="214">
        <f t="shared" si="9"/>
        <v>0</v>
      </c>
      <c r="W175" s="214" t="str">
        <f>IF(V175=0,"",RANK(V175,V:V,0)+COUNTIF(V$1:V174,V175))</f>
        <v/>
      </c>
    </row>
    <row r="176" spans="3:23">
      <c r="C176" s="18" t="str" cm="1">
        <f t="array" ref="C176">IFERROR(IF(A176="","",IF(ISNUMBER(MATCH(TRUE,ISNUMBER(SEARCH($Q$2:$Q$51, $A176)),0))=TRUE,"United States of America",INDEX($S$2:$S$199,MATCH(TRUE,ISNUMBER(SEARCH($S$2:$S$199, $A176)),0)))),"United States of America")</f>
        <v/>
      </c>
      <c r="D176" s="18" t="str" cm="1">
        <f t="array" ref="D176">IF(A176="","",IF(ISNUMBER(MATCH(TRUE,ISNUMBER(SEARCH($Q$2:$Q$51, $A176)),0))=TRUE,"",IF(ISNUMBER(MATCH(TRUE,ISNUMBER(SEARCH($S$2:$S$199, $A176)),0))=TRUE,"","미국 확인 필요")))</f>
        <v/>
      </c>
      <c r="H176" s="18" t="str" cm="1">
        <f t="array" ref="H176">IFERROR(IF(F176="","",IF(ISNUMBER(MATCH(TRUE,ISNUMBER(SEARCH($Q$2:$Q$51, $F176)),0))=TRUE,"United States of America",INDEX($S$2:$S$199,MATCH(TRUE,ISNUMBER(SEARCH($S$2:$S$199, $F176)),0)))),"United States of America")</f>
        <v/>
      </c>
      <c r="I176" s="18" t="str" cm="1">
        <f t="array" ref="I176">IF(F176="","",IF(ISNUMBER(MATCH(TRUE,ISNUMBER(SEARCH($Q$2:$Q$51, $F176)),0))=TRUE,"",IF(ISNUMBER(MATCH(TRUE,ISNUMBER(SEARCH($S$2:$S$199, $F176)),0))=TRUE,"","미국 확인 필요")))</f>
        <v/>
      </c>
      <c r="S176" s="86" t="s">
        <v>577</v>
      </c>
      <c r="T176" s="214">
        <f t="shared" si="8"/>
        <v>0</v>
      </c>
      <c r="U176" s="214" t="str">
        <f>IF(T176=0,"",RANK(T176,T:T,0)+COUNTIF(T$1:T175,T176))</f>
        <v/>
      </c>
      <c r="V176" s="214">
        <f t="shared" si="9"/>
        <v>0</v>
      </c>
      <c r="W176" s="214" t="str">
        <f>IF(V176=0,"",RANK(V176,V:V,0)+COUNTIF(V$1:V175,V176))</f>
        <v/>
      </c>
    </row>
    <row r="177" spans="3:23">
      <c r="C177" s="18" t="str" cm="1">
        <f t="array" ref="C177">IFERROR(IF(A177="","",IF(ISNUMBER(MATCH(TRUE,ISNUMBER(SEARCH($Q$2:$Q$51, $A177)),0))=TRUE,"United States of America",INDEX($S$2:$S$199,MATCH(TRUE,ISNUMBER(SEARCH($S$2:$S$199, $A177)),0)))),"United States of America")</f>
        <v/>
      </c>
      <c r="D177" s="18" t="str" cm="1">
        <f t="array" ref="D177">IF(A177="","",IF(ISNUMBER(MATCH(TRUE,ISNUMBER(SEARCH($Q$2:$Q$51, $A177)),0))=TRUE,"",IF(ISNUMBER(MATCH(TRUE,ISNUMBER(SEARCH($S$2:$S$199, $A177)),0))=TRUE,"","미국 확인 필요")))</f>
        <v/>
      </c>
      <c r="H177" s="18" t="str" cm="1">
        <f t="array" ref="H177">IFERROR(IF(F177="","",IF(ISNUMBER(MATCH(TRUE,ISNUMBER(SEARCH($Q$2:$Q$51, $F177)),0))=TRUE,"United States of America",INDEX($S$2:$S$199,MATCH(TRUE,ISNUMBER(SEARCH($S$2:$S$199, $F177)),0)))),"United States of America")</f>
        <v/>
      </c>
      <c r="I177" s="18" t="str" cm="1">
        <f t="array" ref="I177">IF(F177="","",IF(ISNUMBER(MATCH(TRUE,ISNUMBER(SEARCH($Q$2:$Q$51, $F177)),0))=TRUE,"",IF(ISNUMBER(MATCH(TRUE,ISNUMBER(SEARCH($S$2:$S$199, $F177)),0))=TRUE,"","미국 확인 필요")))</f>
        <v/>
      </c>
      <c r="S177" s="86" t="s">
        <v>578</v>
      </c>
      <c r="T177" s="214">
        <f t="shared" si="8"/>
        <v>0</v>
      </c>
      <c r="U177" s="214" t="str">
        <f>IF(T177=0,"",RANK(T177,T:T,0)+COUNTIF(T$1:T176,T177))</f>
        <v/>
      </c>
      <c r="V177" s="214">
        <f t="shared" si="9"/>
        <v>0</v>
      </c>
      <c r="W177" s="214" t="str">
        <f>IF(V177=0,"",RANK(V177,V:V,0)+COUNTIF(V$1:V176,V177))</f>
        <v/>
      </c>
    </row>
    <row r="178" spans="3:23">
      <c r="C178" s="18" t="str" cm="1">
        <f t="array" ref="C178">IFERROR(IF(A178="","",IF(ISNUMBER(MATCH(TRUE,ISNUMBER(SEARCH($Q$2:$Q$51, $A178)),0))=TRUE,"United States of America",INDEX($S$2:$S$199,MATCH(TRUE,ISNUMBER(SEARCH($S$2:$S$199, $A178)),0)))),"United States of America")</f>
        <v/>
      </c>
      <c r="D178" s="18" t="str" cm="1">
        <f t="array" ref="D178">IF(A178="","",IF(ISNUMBER(MATCH(TRUE,ISNUMBER(SEARCH($Q$2:$Q$51, $A178)),0))=TRUE,"",IF(ISNUMBER(MATCH(TRUE,ISNUMBER(SEARCH($S$2:$S$199, $A178)),0))=TRUE,"","미국 확인 필요")))</f>
        <v/>
      </c>
      <c r="H178" s="18" t="str" cm="1">
        <f t="array" ref="H178">IFERROR(IF(F178="","",IF(ISNUMBER(MATCH(TRUE,ISNUMBER(SEARCH($Q$2:$Q$51, $F178)),0))=TRUE,"United States of America",INDEX($S$2:$S$199,MATCH(TRUE,ISNUMBER(SEARCH($S$2:$S$199, $F178)),0)))),"United States of America")</f>
        <v/>
      </c>
      <c r="I178" s="18" t="str" cm="1">
        <f t="array" ref="I178">IF(F178="","",IF(ISNUMBER(MATCH(TRUE,ISNUMBER(SEARCH($Q$2:$Q$51, $F178)),0))=TRUE,"",IF(ISNUMBER(MATCH(TRUE,ISNUMBER(SEARCH($S$2:$S$199, $F178)),0))=TRUE,"","미국 확인 필요")))</f>
        <v/>
      </c>
      <c r="S178" s="86" t="s">
        <v>579</v>
      </c>
      <c r="T178" s="214">
        <f t="shared" si="8"/>
        <v>0</v>
      </c>
      <c r="U178" s="214" t="str">
        <f>IF(T178=0,"",RANK(T178,T:T,0)+COUNTIF(T$1:T177,T178))</f>
        <v/>
      </c>
      <c r="V178" s="214">
        <f t="shared" si="9"/>
        <v>0</v>
      </c>
      <c r="W178" s="214" t="str">
        <f>IF(V178=0,"",RANK(V178,V:V,0)+COUNTIF(V$1:V177,V178))</f>
        <v/>
      </c>
    </row>
    <row r="179" spans="3:23">
      <c r="C179" s="18" t="str" cm="1">
        <f t="array" ref="C179">IFERROR(IF(A179="","",IF(ISNUMBER(MATCH(TRUE,ISNUMBER(SEARCH($Q$2:$Q$51, $A179)),0))=TRUE,"United States of America",INDEX($S$2:$S$199,MATCH(TRUE,ISNUMBER(SEARCH($S$2:$S$199, $A179)),0)))),"United States of America")</f>
        <v/>
      </c>
      <c r="D179" s="18" t="str" cm="1">
        <f t="array" ref="D179">IF(A179="","",IF(ISNUMBER(MATCH(TRUE,ISNUMBER(SEARCH($Q$2:$Q$51, $A179)),0))=TRUE,"",IF(ISNUMBER(MATCH(TRUE,ISNUMBER(SEARCH($S$2:$S$199, $A179)),0))=TRUE,"","미국 확인 필요")))</f>
        <v/>
      </c>
      <c r="H179" s="18" t="str" cm="1">
        <f t="array" ref="H179">IFERROR(IF(F179="","",IF(ISNUMBER(MATCH(TRUE,ISNUMBER(SEARCH($Q$2:$Q$51, $F179)),0))=TRUE,"United States of America",INDEX($S$2:$S$199,MATCH(TRUE,ISNUMBER(SEARCH($S$2:$S$199, $F179)),0)))),"United States of America")</f>
        <v/>
      </c>
      <c r="I179" s="18" t="str" cm="1">
        <f t="array" ref="I179">IF(F179="","",IF(ISNUMBER(MATCH(TRUE,ISNUMBER(SEARCH($Q$2:$Q$51, $F179)),0))=TRUE,"",IF(ISNUMBER(MATCH(TRUE,ISNUMBER(SEARCH($S$2:$S$199, $F179)),0))=TRUE,"","미국 확인 필요")))</f>
        <v/>
      </c>
      <c r="S179" s="86" t="s">
        <v>580</v>
      </c>
      <c r="T179" s="214">
        <f t="shared" si="8"/>
        <v>0</v>
      </c>
      <c r="U179" s="214" t="str">
        <f>IF(T179=0,"",RANK(T179,T:T,0)+COUNTIF(T$1:T178,T179))</f>
        <v/>
      </c>
      <c r="V179" s="214">
        <f t="shared" si="9"/>
        <v>0</v>
      </c>
      <c r="W179" s="214" t="str">
        <f>IF(V179=0,"",RANK(V179,V:V,0)+COUNTIF(V$1:V178,V179))</f>
        <v/>
      </c>
    </row>
    <row r="180" spans="3:23">
      <c r="C180" s="18" t="str" cm="1">
        <f t="array" ref="C180">IFERROR(IF(A180="","",IF(ISNUMBER(MATCH(TRUE,ISNUMBER(SEARCH($Q$2:$Q$51, $A180)),0))=TRUE,"United States of America",INDEX($S$2:$S$199,MATCH(TRUE,ISNUMBER(SEARCH($S$2:$S$199, $A180)),0)))),"United States of America")</f>
        <v/>
      </c>
      <c r="D180" s="18" t="str" cm="1">
        <f t="array" ref="D180">IF(A180="","",IF(ISNUMBER(MATCH(TRUE,ISNUMBER(SEARCH($Q$2:$Q$51, $A180)),0))=TRUE,"",IF(ISNUMBER(MATCH(TRUE,ISNUMBER(SEARCH($S$2:$S$199, $A180)),0))=TRUE,"","미국 확인 필요")))</f>
        <v/>
      </c>
      <c r="S180" s="86" t="s">
        <v>581</v>
      </c>
      <c r="T180" s="214">
        <f t="shared" si="8"/>
        <v>0</v>
      </c>
      <c r="U180" s="214" t="str">
        <f>IF(T180=0,"",RANK(T180,T:T,0)+COUNTIF(T$1:T179,T180))</f>
        <v/>
      </c>
      <c r="V180" s="214">
        <f t="shared" si="9"/>
        <v>0</v>
      </c>
      <c r="W180" s="214" t="str">
        <f>IF(V180=0,"",RANK(V180,V:V,0)+COUNTIF(V$1:V179,V180))</f>
        <v/>
      </c>
    </row>
    <row r="181" spans="3:23">
      <c r="C181" s="18" t="str" cm="1">
        <f t="array" ref="C181">IFERROR(IF(A181="","",IF(ISNUMBER(MATCH(TRUE,ISNUMBER(SEARCH($Q$2:$Q$51, $A181)),0))=TRUE,"United States of America",INDEX($S$2:$S$199,MATCH(TRUE,ISNUMBER(SEARCH($S$2:$S$199, $A181)),0)))),"United States of America")</f>
        <v/>
      </c>
      <c r="D181" s="18" t="str" cm="1">
        <f t="array" ref="D181">IF(A181="","",IF(ISNUMBER(MATCH(TRUE,ISNUMBER(SEARCH($Q$2:$Q$51, $A181)),0))=TRUE,"",IF(ISNUMBER(MATCH(TRUE,ISNUMBER(SEARCH($S$2:$S$199, $A181)),0))=TRUE,"","미국 확인 필요")))</f>
        <v/>
      </c>
      <c r="S181" s="86" t="s">
        <v>582</v>
      </c>
      <c r="T181" s="214">
        <f t="shared" si="8"/>
        <v>0</v>
      </c>
      <c r="U181" s="214" t="str">
        <f>IF(T181=0,"",RANK(T181,T:T,0)+COUNTIF(T$1:T180,T181))</f>
        <v/>
      </c>
      <c r="V181" s="214">
        <f t="shared" si="9"/>
        <v>0</v>
      </c>
      <c r="W181" s="214" t="str">
        <f>IF(V181=0,"",RANK(V181,V:V,0)+COUNTIF(V$1:V180,V181))</f>
        <v/>
      </c>
    </row>
    <row r="182" spans="3:23">
      <c r="C182" s="18" t="str" cm="1">
        <f t="array" ref="C182">IFERROR(IF(A182="","",IF(ISNUMBER(MATCH(TRUE,ISNUMBER(SEARCH($Q$2:$Q$51, $A182)),0))=TRUE,"United States of America",INDEX($S$2:$S$199,MATCH(TRUE,ISNUMBER(SEARCH($S$2:$S$199, $A182)),0)))),"United States of America")</f>
        <v/>
      </c>
      <c r="D182" s="18" t="str" cm="1">
        <f t="array" ref="D182">IF(A182="","",IF(ISNUMBER(MATCH(TRUE,ISNUMBER(SEARCH($Q$2:$Q$51, $A182)),0))=TRUE,"",IF(ISNUMBER(MATCH(TRUE,ISNUMBER(SEARCH($S$2:$S$199, $A182)),0))=TRUE,"","미국 확인 필요")))</f>
        <v/>
      </c>
      <c r="S182" s="86" t="s">
        <v>583</v>
      </c>
      <c r="T182" s="214">
        <f t="shared" si="8"/>
        <v>0</v>
      </c>
      <c r="U182" s="214" t="str">
        <f>IF(T182=0,"",RANK(T182,T:T,0)+COUNTIF(T$1:T181,T182))</f>
        <v/>
      </c>
      <c r="V182" s="214">
        <f t="shared" si="9"/>
        <v>0</v>
      </c>
      <c r="W182" s="214" t="str">
        <f>IF(V182=0,"",RANK(V182,V:V,0)+COUNTIF(V$1:V181,V182))</f>
        <v/>
      </c>
    </row>
    <row r="183" spans="3:23">
      <c r="C183" s="18" t="str" cm="1">
        <f t="array" ref="C183">IFERROR(IF(A183="","",IF(ISNUMBER(MATCH(TRUE,ISNUMBER(SEARCH($Q$2:$Q$51, $A183)),0))=TRUE,"United States of America",INDEX($S$2:$S$199,MATCH(TRUE,ISNUMBER(SEARCH($S$2:$S$199, $A183)),0)))),"United States of America")</f>
        <v/>
      </c>
      <c r="D183" s="18" t="str" cm="1">
        <f t="array" ref="D183">IF(A183="","",IF(ISNUMBER(MATCH(TRUE,ISNUMBER(SEARCH($Q$2:$Q$51, $A183)),0))=TRUE,"",IF(ISNUMBER(MATCH(TRUE,ISNUMBER(SEARCH($S$2:$S$199, $A183)),0))=TRUE,"","미국 확인 필요")))</f>
        <v/>
      </c>
      <c r="S183" s="86" t="s">
        <v>584</v>
      </c>
      <c r="T183" s="214">
        <f t="shared" si="8"/>
        <v>0</v>
      </c>
      <c r="U183" s="214" t="str">
        <f>IF(T183=0,"",RANK(T183,T:T,0)+COUNTIF(T$1:T182,T183))</f>
        <v/>
      </c>
      <c r="V183" s="214">
        <f t="shared" si="9"/>
        <v>0</v>
      </c>
      <c r="W183" s="214" t="str">
        <f>IF(V183=0,"",RANK(V183,V:V,0)+COUNTIF(V$1:V182,V183))</f>
        <v/>
      </c>
    </row>
    <row r="184" spans="3:23">
      <c r="C184" s="18" t="str" cm="1">
        <f t="array" ref="C184">IFERROR(IF(A184="","",IF(ISNUMBER(MATCH(TRUE,ISNUMBER(SEARCH($Q$2:$Q$51, $A184)),0))=TRUE,"United States of America",INDEX($S$2:$S$199,MATCH(TRUE,ISNUMBER(SEARCH($S$2:$S$199, $A184)),0)))),"United States of America")</f>
        <v/>
      </c>
      <c r="D184" s="18" t="str" cm="1">
        <f t="array" ref="D184">IF(A184="","",IF(ISNUMBER(MATCH(TRUE,ISNUMBER(SEARCH($Q$2:$Q$51, $A184)),0))=TRUE,"",IF(ISNUMBER(MATCH(TRUE,ISNUMBER(SEARCH($S$2:$S$199, $A184)),0))=TRUE,"","미국 확인 필요")))</f>
        <v/>
      </c>
      <c r="S184" s="86" t="s">
        <v>585</v>
      </c>
      <c r="T184" s="214">
        <f t="shared" si="8"/>
        <v>0</v>
      </c>
      <c r="U184" s="214" t="str">
        <f>IF(T184=0,"",RANK(T184,T:T,0)+COUNTIF(T$1:T183,T184))</f>
        <v/>
      </c>
      <c r="V184" s="214">
        <f t="shared" si="9"/>
        <v>0</v>
      </c>
      <c r="W184" s="214" t="str">
        <f>IF(V184=0,"",RANK(V184,V:V,0)+COUNTIF(V$1:V183,V184))</f>
        <v/>
      </c>
    </row>
    <row r="185" spans="3:23">
      <c r="C185" s="18" t="str" cm="1">
        <f t="array" ref="C185">IFERROR(IF(A185="","",IF(ISNUMBER(MATCH(TRUE,ISNUMBER(SEARCH($Q$2:$Q$51, $A185)),0))=TRUE,"United States of America",INDEX($S$2:$S$199,MATCH(TRUE,ISNUMBER(SEARCH($S$2:$S$199, $A185)),0)))),"United States of America")</f>
        <v/>
      </c>
      <c r="D185" s="18" t="str" cm="1">
        <f t="array" ref="D185">IF(A185="","",IF(ISNUMBER(MATCH(TRUE,ISNUMBER(SEARCH($Q$2:$Q$51, $A185)),0))=TRUE,"",IF(ISNUMBER(MATCH(TRUE,ISNUMBER(SEARCH($S$2:$S$199, $A185)),0))=TRUE,"","미국 확인 필요")))</f>
        <v/>
      </c>
      <c r="S185" s="86" t="s">
        <v>586</v>
      </c>
      <c r="T185" s="214">
        <f t="shared" si="8"/>
        <v>0</v>
      </c>
      <c r="U185" s="214" t="str">
        <f>IF(T185=0,"",RANK(T185,T:T,0)+COUNTIF(T$1:T184,T185))</f>
        <v/>
      </c>
      <c r="V185" s="214">
        <f t="shared" si="9"/>
        <v>0</v>
      </c>
      <c r="W185" s="214" t="str">
        <f>IF(V185=0,"",RANK(V185,V:V,0)+COUNTIF(V$1:V184,V185))</f>
        <v/>
      </c>
    </row>
    <row r="186" spans="3:23">
      <c r="C186" s="18" t="str" cm="1">
        <f t="array" ref="C186">IFERROR(IF(A186="","",IF(ISNUMBER(MATCH(TRUE,ISNUMBER(SEARCH($Q$2:$Q$51, $A186)),0))=TRUE,"United States of America",INDEX($S$2:$S$199,MATCH(TRUE,ISNUMBER(SEARCH($S$2:$S$199, $A186)),0)))),"United States of America")</f>
        <v/>
      </c>
      <c r="D186" s="18" t="str" cm="1">
        <f t="array" ref="D186">IF(A186="","",IF(ISNUMBER(MATCH(TRUE,ISNUMBER(SEARCH($Q$2:$Q$51, $A186)),0))=TRUE,"",IF(ISNUMBER(MATCH(TRUE,ISNUMBER(SEARCH($S$2:$S$199, $A186)),0))=TRUE,"","미국 확인 필요")))</f>
        <v/>
      </c>
      <c r="S186" s="86" t="s">
        <v>587</v>
      </c>
      <c r="T186" s="214">
        <f t="shared" si="8"/>
        <v>0</v>
      </c>
      <c r="U186" s="214" t="str">
        <f>IF(T186=0,"",RANK(T186,T:T,0)+COUNTIF(T$1:T185,T186))</f>
        <v/>
      </c>
      <c r="V186" s="214">
        <f t="shared" si="9"/>
        <v>0</v>
      </c>
      <c r="W186" s="214" t="str">
        <f>IF(V186=0,"",RANK(V186,V:V,0)+COUNTIF(V$1:V185,V186))</f>
        <v/>
      </c>
    </row>
    <row r="187" spans="3:23">
      <c r="C187" s="18" t="str" cm="1">
        <f t="array" ref="C187">IFERROR(IF(A187="","",IF(ISNUMBER(MATCH(TRUE,ISNUMBER(SEARCH($Q$2:$Q$51, $A187)),0))=TRUE,"United States of America",INDEX($S$2:$S$199,MATCH(TRUE,ISNUMBER(SEARCH($S$2:$S$199, $A187)),0)))),"United States of America")</f>
        <v/>
      </c>
      <c r="D187" s="18" t="str" cm="1">
        <f t="array" ref="D187">IF(A187="","",IF(ISNUMBER(MATCH(TRUE,ISNUMBER(SEARCH($Q$2:$Q$51, $A187)),0))=TRUE,"",IF(ISNUMBER(MATCH(TRUE,ISNUMBER(SEARCH($S$2:$S$199, $A187)),0))=TRUE,"","미국 확인 필요")))</f>
        <v/>
      </c>
      <c r="S187" s="86" t="s">
        <v>588</v>
      </c>
      <c r="T187" s="214">
        <f t="shared" si="8"/>
        <v>0</v>
      </c>
      <c r="U187" s="214" t="str">
        <f>IF(T187=0,"",RANK(T187,T:T,0)+COUNTIF(T$1:T186,T187))</f>
        <v/>
      </c>
      <c r="V187" s="214">
        <f t="shared" si="9"/>
        <v>0</v>
      </c>
      <c r="W187" s="214" t="str">
        <f>IF(V187=0,"",RANK(V187,V:V,0)+COUNTIF(V$1:V186,V187))</f>
        <v/>
      </c>
    </row>
    <row r="188" spans="3:23">
      <c r="C188" s="18" t="str" cm="1">
        <f t="array" ref="C188">IFERROR(IF(A188="","",IF(ISNUMBER(MATCH(TRUE,ISNUMBER(SEARCH($Q$2:$Q$51, $A188)),0))=TRUE,"United States of America",INDEX($S$2:$S$199,MATCH(TRUE,ISNUMBER(SEARCH($S$2:$S$199, $A188)),0)))),"United States of America")</f>
        <v/>
      </c>
      <c r="D188" s="18" t="str" cm="1">
        <f t="array" ref="D188">IF(A188="","",IF(ISNUMBER(MATCH(TRUE,ISNUMBER(SEARCH($Q$2:$Q$51, $A188)),0))=TRUE,"",IF(ISNUMBER(MATCH(TRUE,ISNUMBER(SEARCH($S$2:$S$199, $A188)),0))=TRUE,"","미국 확인 필요")))</f>
        <v/>
      </c>
      <c r="S188" s="86" t="s">
        <v>589</v>
      </c>
      <c r="T188" s="214">
        <f t="shared" si="8"/>
        <v>0</v>
      </c>
      <c r="U188" s="214" t="str">
        <f>IF(T188=0,"",RANK(T188,T:T,0)+COUNTIF(T$1:T187,T188))</f>
        <v/>
      </c>
      <c r="V188" s="214">
        <f t="shared" si="9"/>
        <v>0</v>
      </c>
      <c r="W188" s="214" t="str">
        <f>IF(V188=0,"",RANK(V188,V:V,0)+COUNTIF(V$1:V187,V188))</f>
        <v/>
      </c>
    </row>
    <row r="189" spans="3:23">
      <c r="C189" s="18" t="str" cm="1">
        <f t="array" ref="C189">IFERROR(IF(A189="","",IF(ISNUMBER(MATCH(TRUE,ISNUMBER(SEARCH($Q$2:$Q$51, $A189)),0))=TRUE,"United States of America",INDEX($S$2:$S$199,MATCH(TRUE,ISNUMBER(SEARCH($S$2:$S$199, $A189)),0)))),"United States of America")</f>
        <v/>
      </c>
      <c r="D189" s="18" t="str" cm="1">
        <f t="array" ref="D189">IF(A189="","",IF(ISNUMBER(MATCH(TRUE,ISNUMBER(SEARCH($Q$2:$Q$51, $A189)),0))=TRUE,"",IF(ISNUMBER(MATCH(TRUE,ISNUMBER(SEARCH($S$2:$S$199, $A189)),0))=TRUE,"","미국 확인 필요")))</f>
        <v/>
      </c>
      <c r="S189" s="86" t="s">
        <v>590</v>
      </c>
      <c r="T189" s="214">
        <f t="shared" si="8"/>
        <v>0</v>
      </c>
      <c r="U189" s="214" t="str">
        <f>IF(T189=0,"",RANK(T189,T:T,0)+COUNTIF(T$1:T188,T189))</f>
        <v/>
      </c>
      <c r="V189" s="214">
        <f t="shared" si="9"/>
        <v>0</v>
      </c>
      <c r="W189" s="214" t="str">
        <f>IF(V189=0,"",RANK(V189,V:V,0)+COUNTIF(V$1:V188,V189))</f>
        <v/>
      </c>
    </row>
    <row r="190" spans="3:23">
      <c r="C190" s="18" t="str" cm="1">
        <f t="array" ref="C190">IFERROR(IF(A190="","",IF(ISNUMBER(MATCH(TRUE,ISNUMBER(SEARCH($Q$2:$Q$51, $A190)),0))=TRUE,"United States of America",INDEX($S$2:$S$199,MATCH(TRUE,ISNUMBER(SEARCH($S$2:$S$199, $A190)),0)))),"United States of America")</f>
        <v/>
      </c>
      <c r="D190" s="18" t="str" cm="1">
        <f t="array" ref="D190">IF(A190="","",IF(ISNUMBER(MATCH(TRUE,ISNUMBER(SEARCH($Q$2:$Q$51, $A190)),0))=TRUE,"",IF(ISNUMBER(MATCH(TRUE,ISNUMBER(SEARCH($S$2:$S$199, $A190)),0))=TRUE,"","미국 확인 필요")))</f>
        <v/>
      </c>
      <c r="S190" s="86" t="s">
        <v>591</v>
      </c>
      <c r="T190" s="214">
        <f t="shared" si="8"/>
        <v>0</v>
      </c>
      <c r="U190" s="214" t="str">
        <f>IF(T190=0,"",RANK(T190,T:T,0)+COUNTIF(T$1:T189,T190))</f>
        <v/>
      </c>
      <c r="V190" s="214">
        <f t="shared" si="9"/>
        <v>0</v>
      </c>
      <c r="W190" s="214" t="str">
        <f>IF(V190=0,"",RANK(V190,V:V,0)+COUNTIF(V$1:V189,V190))</f>
        <v/>
      </c>
    </row>
    <row r="191" spans="3:23">
      <c r="C191" s="18" t="str" cm="1">
        <f t="array" ref="C191">IFERROR(IF(A191="","",IF(ISNUMBER(MATCH(TRUE,ISNUMBER(SEARCH($Q$2:$Q$51, $A191)),0))=TRUE,"United States of America",INDEX($S$2:$S$199,MATCH(TRUE,ISNUMBER(SEARCH($S$2:$S$199, $A191)),0)))),"United States of America")</f>
        <v/>
      </c>
      <c r="D191" s="18" t="str" cm="1">
        <f t="array" ref="D191">IF(A191="","",IF(ISNUMBER(MATCH(TRUE,ISNUMBER(SEARCH($Q$2:$Q$51, $A191)),0))=TRUE,"",IF(ISNUMBER(MATCH(TRUE,ISNUMBER(SEARCH($S$2:$S$199, $A191)),0))=TRUE,"","미국 확인 필요")))</f>
        <v/>
      </c>
      <c r="S191" s="86" t="s">
        <v>592</v>
      </c>
      <c r="T191" s="214">
        <f t="shared" si="8"/>
        <v>0</v>
      </c>
      <c r="U191" s="214" t="str">
        <f>IF(T191=0,"",RANK(T191,T:T,0)+COUNTIF(T$1:T190,T191))</f>
        <v/>
      </c>
      <c r="V191" s="214">
        <f t="shared" si="9"/>
        <v>0</v>
      </c>
      <c r="W191" s="214" t="str">
        <f>IF(V191=0,"",RANK(V191,V:V,0)+COUNTIF(V$1:V190,V191))</f>
        <v/>
      </c>
    </row>
    <row r="192" spans="3:23">
      <c r="C192" s="18" t="str" cm="1">
        <f t="array" ref="C192">IFERROR(IF(A192="","",IF(ISNUMBER(MATCH(TRUE,ISNUMBER(SEARCH($Q$2:$Q$51, $A192)),0))=TRUE,"United States of America",INDEX($S$2:$S$199,MATCH(TRUE,ISNUMBER(SEARCH($S$2:$S$199, $A192)),0)))),"United States of America")</f>
        <v/>
      </c>
      <c r="D192" s="18" t="str" cm="1">
        <f t="array" ref="D192">IF(A192="","",IF(ISNUMBER(MATCH(TRUE,ISNUMBER(SEARCH($Q$2:$Q$51, $A192)),0))=TRUE,"",IF(ISNUMBER(MATCH(TRUE,ISNUMBER(SEARCH($S$2:$S$199, $A192)),0))=TRUE,"","미국 확인 필요")))</f>
        <v/>
      </c>
      <c r="S192" s="86" t="s">
        <v>593</v>
      </c>
      <c r="T192" s="214">
        <f t="shared" si="8"/>
        <v>3548</v>
      </c>
      <c r="U192" s="214">
        <f>IF(T192=0,"",RANK(T192,T:T,0)+COUNTIF(T$1:T191,T192))</f>
        <v>1</v>
      </c>
      <c r="V192" s="214">
        <f t="shared" si="9"/>
        <v>11565</v>
      </c>
      <c r="W192" s="214">
        <f>IF(V192=0,"",RANK(V192,V:V,0)+COUNTIF(V$1:V191,V192))</f>
        <v>3</v>
      </c>
    </row>
    <row r="193" spans="3:23">
      <c r="C193" s="18" t="str" cm="1">
        <f t="array" ref="C193">IFERROR(IF(A193="","",IF(ISNUMBER(MATCH(TRUE,ISNUMBER(SEARCH($Q$2:$Q$51, $A193)),0))=TRUE,"United States of America",INDEX($S$2:$S$199,MATCH(TRUE,ISNUMBER(SEARCH($S$2:$S$199, $A193)),0)))),"United States of America")</f>
        <v/>
      </c>
      <c r="D193" s="18" t="str" cm="1">
        <f t="array" ref="D193">IF(A193="","",IF(ISNUMBER(MATCH(TRUE,ISNUMBER(SEARCH($Q$2:$Q$51, $A193)),0))=TRUE,"",IF(ISNUMBER(MATCH(TRUE,ISNUMBER(SEARCH($S$2:$S$199, $A193)),0))=TRUE,"","미국 확인 필요")))</f>
        <v/>
      </c>
      <c r="S193" s="86" t="s">
        <v>594</v>
      </c>
      <c r="T193" s="214">
        <f t="shared" si="8"/>
        <v>0</v>
      </c>
      <c r="U193" s="214" t="str">
        <f>IF(T193=0,"",RANK(T193,T:T,0)+COUNTIF(T$1:T192,T193))</f>
        <v/>
      </c>
      <c r="V193" s="214">
        <f t="shared" si="9"/>
        <v>0</v>
      </c>
      <c r="W193" s="214" t="str">
        <f>IF(V193=0,"",RANK(V193,V:V,0)+COUNTIF(V$1:V192,V193))</f>
        <v/>
      </c>
    </row>
    <row r="194" spans="3:23">
      <c r="C194" s="18" t="str" cm="1">
        <f t="array" ref="C194">IFERROR(IF(A194="","",IF(ISNUMBER(MATCH(TRUE,ISNUMBER(SEARCH($Q$2:$Q$51, $A194)),0))=TRUE,"United States of America",INDEX($S$2:$S$199,MATCH(TRUE,ISNUMBER(SEARCH($S$2:$S$199, $A194)),0)))),"United States of America")</f>
        <v/>
      </c>
      <c r="D194" s="18" t="str" cm="1">
        <f t="array" ref="D194">IF(A194="","",IF(ISNUMBER(MATCH(TRUE,ISNUMBER(SEARCH($Q$2:$Q$51, $A194)),0))=TRUE,"",IF(ISNUMBER(MATCH(TRUE,ISNUMBER(SEARCH($S$2:$S$199, $A194)),0))=TRUE,"","미국 확인 필요")))</f>
        <v/>
      </c>
      <c r="S194" s="86" t="s">
        <v>595</v>
      </c>
      <c r="T194" s="214">
        <f t="shared" ref="T194:T206" si="10">SUMIF(C:C,S194,B:B)</f>
        <v>0</v>
      </c>
      <c r="U194" s="214" t="str">
        <f>IF(T194=0,"",RANK(T194,T:T,0)+COUNTIF(T$1:T193,T194))</f>
        <v/>
      </c>
      <c r="V194" s="214">
        <f t="shared" ref="V194:V206" si="11">SUMIF(H:H,S194,G:G)</f>
        <v>0</v>
      </c>
      <c r="W194" s="214" t="str">
        <f>IF(V194=0,"",RANK(V194,V:V,0)+COUNTIF(V$1:V193,V194))</f>
        <v/>
      </c>
    </row>
    <row r="195" spans="3:23">
      <c r="C195" s="18" t="str" cm="1">
        <f t="array" ref="C195">IFERROR(IF(A195="","",IF(ISNUMBER(MATCH(TRUE,ISNUMBER(SEARCH($Q$2:$Q$51, $A195)),0))=TRUE,"United States of America",INDEX($S$2:$S$199,MATCH(TRUE,ISNUMBER(SEARCH($S$2:$S$199, $A195)),0)))),"United States of America")</f>
        <v/>
      </c>
      <c r="D195" s="18" t="str" cm="1">
        <f t="array" ref="D195">IF(A195="","",IF(ISNUMBER(MATCH(TRUE,ISNUMBER(SEARCH($Q$2:$Q$51, $A195)),0))=TRUE,"",IF(ISNUMBER(MATCH(TRUE,ISNUMBER(SEARCH($S$2:$S$199, $A195)),0))=TRUE,"","미국 확인 필요")))</f>
        <v/>
      </c>
      <c r="S195" s="86" t="s">
        <v>596</v>
      </c>
      <c r="T195" s="214">
        <f t="shared" si="10"/>
        <v>0</v>
      </c>
      <c r="U195" s="214" t="str">
        <f>IF(T195=0,"",RANK(T195,T:T,0)+COUNTIF(T$1:T194,T195))</f>
        <v/>
      </c>
      <c r="V195" s="214">
        <f t="shared" si="11"/>
        <v>0</v>
      </c>
      <c r="W195" s="214" t="str">
        <f>IF(V195=0,"",RANK(V195,V:V,0)+COUNTIF(V$1:V194,V195))</f>
        <v/>
      </c>
    </row>
    <row r="196" spans="3:23">
      <c r="C196" s="18" t="str" cm="1">
        <f t="array" ref="C196">IFERROR(IF(A196="","",IF(ISNUMBER(MATCH(TRUE,ISNUMBER(SEARCH($Q$2:$Q$51, $A196)),0))=TRUE,"United States of America",INDEX($S$2:$S$199,MATCH(TRUE,ISNUMBER(SEARCH($S$2:$S$199, $A196)),0)))),"United States of America")</f>
        <v/>
      </c>
      <c r="D196" s="18" t="str" cm="1">
        <f t="array" ref="D196">IF(A196="","",IF(ISNUMBER(MATCH(TRUE,ISNUMBER(SEARCH($Q$2:$Q$51, $A196)),0))=TRUE,"",IF(ISNUMBER(MATCH(TRUE,ISNUMBER(SEARCH($S$2:$S$199, $A196)),0))=TRUE,"","미국 확인 필요")))</f>
        <v/>
      </c>
      <c r="S196" s="86" t="s">
        <v>597</v>
      </c>
      <c r="T196" s="214">
        <f t="shared" si="10"/>
        <v>0</v>
      </c>
      <c r="U196" s="214" t="str">
        <f>IF(T196=0,"",RANK(T196,T:T,0)+COUNTIF(T$1:T195,T196))</f>
        <v/>
      </c>
      <c r="V196" s="214">
        <f t="shared" si="11"/>
        <v>0</v>
      </c>
      <c r="W196" s="214" t="str">
        <f>IF(V196=0,"",RANK(V196,V:V,0)+COUNTIF(V$1:V195,V196))</f>
        <v/>
      </c>
    </row>
    <row r="197" spans="3:23">
      <c r="C197" s="18" t="str" cm="1">
        <f t="array" ref="C197">IFERROR(IF(A197="","",IF(ISNUMBER(MATCH(TRUE,ISNUMBER(SEARCH($Q$2:$Q$51, $A197)),0))=TRUE,"United States of America",INDEX($S$2:$S$199,MATCH(TRUE,ISNUMBER(SEARCH($S$2:$S$199, $A197)),0)))),"United States of America")</f>
        <v/>
      </c>
      <c r="D197" s="18" t="str" cm="1">
        <f t="array" ref="D197">IF(A197="","",IF(ISNUMBER(MATCH(TRUE,ISNUMBER(SEARCH($Q$2:$Q$51, $A197)),0))=TRUE,"",IF(ISNUMBER(MATCH(TRUE,ISNUMBER(SEARCH($S$2:$S$199, $A197)),0))=TRUE,"","미국 확인 필요")))</f>
        <v/>
      </c>
      <c r="S197" s="86" t="s">
        <v>598</v>
      </c>
      <c r="T197" s="214">
        <f t="shared" si="10"/>
        <v>0</v>
      </c>
      <c r="U197" s="214" t="str">
        <f>IF(T197=0,"",RANK(T197,T:T,0)+COUNTIF(T$1:T196,T197))</f>
        <v/>
      </c>
      <c r="V197" s="214">
        <f t="shared" si="11"/>
        <v>0</v>
      </c>
      <c r="W197" s="214" t="str">
        <f>IF(V197=0,"",RANK(V197,V:V,0)+COUNTIF(V$1:V196,V197))</f>
        <v/>
      </c>
    </row>
    <row r="198" spans="3:23">
      <c r="C198" s="18" t="str" cm="1">
        <f t="array" ref="C198">IFERROR(IF(A198="","",IF(ISNUMBER(MATCH(TRUE,ISNUMBER(SEARCH($Q$2:$Q$51, $A198)),0))=TRUE,"United States of America",INDEX($S$2:$S$199,MATCH(TRUE,ISNUMBER(SEARCH($S$2:$S$199, $A198)),0)))),"United States of America")</f>
        <v/>
      </c>
      <c r="D198" s="18" t="str" cm="1">
        <f t="array" ref="D198">IF(A198="","",IF(ISNUMBER(MATCH(TRUE,ISNUMBER(SEARCH($Q$2:$Q$51, $A198)),0))=TRUE,"",IF(ISNUMBER(MATCH(TRUE,ISNUMBER(SEARCH($S$2:$S$199, $A198)),0))=TRUE,"","미국 확인 필요")))</f>
        <v/>
      </c>
      <c r="S198" s="86" t="s">
        <v>599</v>
      </c>
      <c r="T198" s="214">
        <f t="shared" si="10"/>
        <v>0</v>
      </c>
      <c r="U198" s="214" t="str">
        <f>IF(T198=0,"",RANK(T198,T:T,0)+COUNTIF(T$1:T197,T198))</f>
        <v/>
      </c>
      <c r="V198" s="214">
        <f t="shared" si="11"/>
        <v>0</v>
      </c>
      <c r="W198" s="214" t="str">
        <f>IF(V198=0,"",RANK(V198,V:V,0)+COUNTIF(V$1:V197,V198))</f>
        <v/>
      </c>
    </row>
    <row r="199" spans="3:23">
      <c r="C199" s="18" t="str" cm="1">
        <f t="array" ref="C199">IFERROR(IF(A199="","",IF(ISNUMBER(MATCH(TRUE,ISNUMBER(SEARCH($Q$2:$Q$51, $A199)),0))=TRUE,"United States of America",INDEX($S$2:$S$199,MATCH(TRUE,ISNUMBER(SEARCH($S$2:$S$199, $A199)),0)))),"United States of America")</f>
        <v/>
      </c>
      <c r="D199" s="18" t="str" cm="1">
        <f t="array" ref="D199">IF(A199="","",IF(ISNUMBER(MATCH(TRUE,ISNUMBER(SEARCH($Q$2:$Q$51, $A199)),0))=TRUE,"",IF(ISNUMBER(MATCH(TRUE,ISNUMBER(SEARCH($S$2:$S$199, $A199)),0))=TRUE,"","미국 확인 필요")))</f>
        <v/>
      </c>
      <c r="S199" s="86" t="s">
        <v>600</v>
      </c>
      <c r="T199" s="214">
        <f t="shared" si="10"/>
        <v>0</v>
      </c>
      <c r="U199" s="214" t="str">
        <f>IF(T199=0,"",RANK(T199,T:T,0)+COUNTIF(T$1:T198,T199))</f>
        <v/>
      </c>
      <c r="V199" s="214">
        <f t="shared" si="11"/>
        <v>0</v>
      </c>
      <c r="W199" s="214" t="str">
        <f>IF(V199=0,"",RANK(V199,V:V,0)+COUNTIF(V$1:V198,V199))</f>
        <v/>
      </c>
    </row>
    <row r="200" spans="3:23">
      <c r="C200" s="18" t="str" cm="1">
        <f t="array" ref="C200">IFERROR(IF(A200="","",IF(ISNUMBER(MATCH(TRUE,ISNUMBER(SEARCH($Q$2:$Q$51, $A200)),0))=TRUE,"United States of America",INDEX($S$2:$S$199,MATCH(TRUE,ISNUMBER(SEARCH($S$2:$S$199, $A200)),0)))),"United States of America")</f>
        <v/>
      </c>
      <c r="D200" s="18" t="str" cm="1">
        <f t="array" ref="D200">IF(A200="","",IF(ISNUMBER(MATCH(TRUE,ISNUMBER(SEARCH($Q$2:$Q$51, $A200)),0))=TRUE,"",IF(ISNUMBER(MATCH(TRUE,ISNUMBER(SEARCH($S$2:$S$199, $A200)),0))=TRUE,"","미국 확인 필요")))</f>
        <v/>
      </c>
      <c r="S200" s="86"/>
      <c r="T200" s="214">
        <f t="shared" si="10"/>
        <v>0</v>
      </c>
      <c r="U200" s="214" t="str">
        <f>IF(T200=0,"",RANK(T200,T:T,0)+COUNTIF(T$1:T199,T200))</f>
        <v/>
      </c>
      <c r="V200" s="214">
        <f t="shared" si="11"/>
        <v>0</v>
      </c>
      <c r="W200" s="214" t="str">
        <f>IF(V200=0,"",RANK(V200,V:V,0)+COUNTIF(V$1:V199,V200))</f>
        <v/>
      </c>
    </row>
    <row r="201" spans="3:23">
      <c r="C201" s="18" t="str" cm="1">
        <f t="array" ref="C201">IFERROR(IF(A201="","",IF(ISNUMBER(MATCH(TRUE,ISNUMBER(SEARCH($Q$2:$Q$51, $A201)),0))=TRUE,"United States of America",INDEX($S$2:$S$199,MATCH(TRUE,ISNUMBER(SEARCH($S$2:$S$199, $A201)),0)))),"United States of America")</f>
        <v/>
      </c>
      <c r="D201" s="18" t="str" cm="1">
        <f t="array" ref="D201">IF(A201="","",IF(ISNUMBER(MATCH(TRUE,ISNUMBER(SEARCH($Q$2:$Q$51, $A201)),0))=TRUE,"",IF(ISNUMBER(MATCH(TRUE,ISNUMBER(SEARCH($S$2:$S$199, $A201)),0))=TRUE,"","미국 확인 필요")))</f>
        <v/>
      </c>
      <c r="S201" s="86"/>
      <c r="T201" s="214">
        <f t="shared" si="10"/>
        <v>0</v>
      </c>
      <c r="U201" s="214" t="str">
        <f>IF(T201=0,"",RANK(T201,T:T,0)+COUNTIF(T$1:T200,T201))</f>
        <v/>
      </c>
      <c r="V201" s="214">
        <f t="shared" si="11"/>
        <v>0</v>
      </c>
      <c r="W201" s="214" t="str">
        <f>IF(V201=0,"",RANK(V201,V:V,0)+COUNTIF(V$1:V200,V201))</f>
        <v/>
      </c>
    </row>
    <row r="202" spans="3:23">
      <c r="C202" s="18" t="str" cm="1">
        <f t="array" ref="C202">IFERROR(IF(A202="","",IF(ISNUMBER(MATCH(TRUE,ISNUMBER(SEARCH($Q$2:$Q$51, $A202)),0))=TRUE,"United States of America",INDEX($S$2:$S$199,MATCH(TRUE,ISNUMBER(SEARCH($S$2:$S$199, $A202)),0)))),"United States of America")</f>
        <v/>
      </c>
      <c r="D202" s="18" t="str" cm="1">
        <f t="array" ref="D202">IF(A202="","",IF(ISNUMBER(MATCH(TRUE,ISNUMBER(SEARCH($Q$2:$Q$51, $A202)),0))=TRUE,"",IF(ISNUMBER(MATCH(TRUE,ISNUMBER(SEARCH($S$2:$S$199, $A202)),0))=TRUE,"","미국 확인 필요")))</f>
        <v/>
      </c>
      <c r="S202" s="86"/>
      <c r="T202" s="214">
        <f t="shared" si="10"/>
        <v>0</v>
      </c>
      <c r="U202" s="214" t="str">
        <f>IF(T202=0,"",RANK(T202,T:T,0)+COUNTIF(T$1:T201,T202))</f>
        <v/>
      </c>
      <c r="V202" s="214">
        <f t="shared" si="11"/>
        <v>0</v>
      </c>
      <c r="W202" s="214" t="str">
        <f>IF(V202=0,"",RANK(V202,V:V,0)+COUNTIF(V$1:V201,V202))</f>
        <v/>
      </c>
    </row>
    <row r="203" spans="3:23">
      <c r="C203" s="18" t="str" cm="1">
        <f t="array" ref="C203">IFERROR(IF(A203="","",IF(ISNUMBER(MATCH(TRUE,ISNUMBER(SEARCH($Q$2:$Q$51, $A203)),0))=TRUE,"United States of America",INDEX($S$2:$S$199,MATCH(TRUE,ISNUMBER(SEARCH($S$2:$S$199, $A203)),0)))),"United States of America")</f>
        <v/>
      </c>
      <c r="D203" s="18" t="str" cm="1">
        <f t="array" ref="D203">IF(A203="","",IF(ISNUMBER(MATCH(TRUE,ISNUMBER(SEARCH($Q$2:$Q$51, $A203)),0))=TRUE,"",IF(ISNUMBER(MATCH(TRUE,ISNUMBER(SEARCH($S$2:$S$199, $A203)),0))=TRUE,"","미국 확인 필요")))</f>
        <v/>
      </c>
      <c r="S203" s="86"/>
      <c r="T203" s="214">
        <f t="shared" si="10"/>
        <v>0</v>
      </c>
      <c r="U203" s="214" t="str">
        <f>IF(T203=0,"",RANK(T203,T:T,0)+COUNTIF(T$1:T202,T203))</f>
        <v/>
      </c>
      <c r="V203" s="214">
        <f t="shared" si="11"/>
        <v>0</v>
      </c>
      <c r="W203" s="214" t="str">
        <f>IF(V203=0,"",RANK(V203,V:V,0)+COUNTIF(V$1:V202,V203))</f>
        <v/>
      </c>
    </row>
    <row r="204" spans="3:23">
      <c r="C204" s="18" t="str" cm="1">
        <f t="array" ref="C204">IFERROR(IF(A204="","",IF(ISNUMBER(MATCH(TRUE,ISNUMBER(SEARCH($Q$2:$Q$51, $A204)),0))=TRUE,"United States of America",INDEX($S$2:$S$199,MATCH(TRUE,ISNUMBER(SEARCH($S$2:$S$199, $A204)),0)))),"United States of America")</f>
        <v/>
      </c>
      <c r="D204" s="18" t="str" cm="1">
        <f t="array" ref="D204">IF(A204="","",IF(ISNUMBER(MATCH(TRUE,ISNUMBER(SEARCH($Q$2:$Q$51, $A204)),0))=TRUE,"",IF(ISNUMBER(MATCH(TRUE,ISNUMBER(SEARCH($S$2:$S$199, $A204)),0))=TRUE,"","미국 확인 필요")))</f>
        <v/>
      </c>
      <c r="S204" s="86"/>
      <c r="T204" s="214">
        <f t="shared" si="10"/>
        <v>0</v>
      </c>
      <c r="U204" s="214" t="str">
        <f>IF(T204=0,"",RANK(T204,T:T,0)+COUNTIF(T$1:T203,T204))</f>
        <v/>
      </c>
      <c r="V204" s="214">
        <f t="shared" si="11"/>
        <v>0</v>
      </c>
      <c r="W204" s="214" t="str">
        <f>IF(V204=0,"",RANK(V204,V:V,0)+COUNTIF(V$1:V203,V204))</f>
        <v/>
      </c>
    </row>
    <row r="205" spans="3:23">
      <c r="C205" s="18" t="str" cm="1">
        <f t="array" ref="C205">IFERROR(IF(A205="","",IF(ISNUMBER(MATCH(TRUE,ISNUMBER(SEARCH($Q$2:$Q$51, $A205)),0))=TRUE,"United States of America",INDEX($S$2:$S$199,MATCH(TRUE,ISNUMBER(SEARCH($S$2:$S$199, $A205)),0)))),"United States of America")</f>
        <v/>
      </c>
      <c r="D205" s="18" t="str" cm="1">
        <f t="array" ref="D205">IF(A205="","",IF(ISNUMBER(MATCH(TRUE,ISNUMBER(SEARCH($Q$2:$Q$51, $A205)),0))=TRUE,"",IF(ISNUMBER(MATCH(TRUE,ISNUMBER(SEARCH($S$2:$S$199, $A205)),0))=TRUE,"","미국 확인 필요")))</f>
        <v/>
      </c>
      <c r="S205" s="86"/>
      <c r="T205" s="214">
        <f t="shared" si="10"/>
        <v>0</v>
      </c>
      <c r="U205" s="214" t="str">
        <f>IF(T205=0,"",RANK(T205,T:T,0)+COUNTIF(T$1:T204,T205))</f>
        <v/>
      </c>
      <c r="V205" s="214">
        <f t="shared" si="11"/>
        <v>0</v>
      </c>
      <c r="W205" s="214" t="str">
        <f>IF(V205=0,"",RANK(V205,V:V,0)+COUNTIF(V$1:V204,V205))</f>
        <v/>
      </c>
    </row>
    <row r="206" spans="3:23">
      <c r="C206" s="18" t="str" cm="1">
        <f t="array" ref="C206">IFERROR(IF(A206="","",IF(ISNUMBER(MATCH(TRUE,ISNUMBER(SEARCH($Q$2:$Q$51, $A206)),0))=TRUE,"United States of America",INDEX($S$2:$S$199,MATCH(TRUE,ISNUMBER(SEARCH($S$2:$S$199, $A206)),0)))),"United States of America")</f>
        <v/>
      </c>
      <c r="D206" s="18" t="str" cm="1">
        <f t="array" ref="D206">IF(A206="","",IF(ISNUMBER(MATCH(TRUE,ISNUMBER(SEARCH($Q$2:$Q$51, $A206)),0))=TRUE,"",IF(ISNUMBER(MATCH(TRUE,ISNUMBER(SEARCH($S$2:$S$199, $A206)),0))=TRUE,"","미국 확인 필요")))</f>
        <v/>
      </c>
      <c r="S206" s="86"/>
      <c r="T206" s="214">
        <f t="shared" si="10"/>
        <v>0</v>
      </c>
      <c r="U206" s="214" t="str">
        <f>IF(T206=0,"",RANK(T206,T:T,0)+COUNTIF(T$1:T205,T206))</f>
        <v/>
      </c>
      <c r="V206" s="214">
        <f t="shared" si="11"/>
        <v>0</v>
      </c>
      <c r="W206" s="214" t="str">
        <f>IF(V206=0,"",RANK(V206,V:V,0)+COUNTIF(V$1:V205,V206))</f>
        <v/>
      </c>
    </row>
    <row r="207" spans="3:23">
      <c r="C207" s="18" t="str" cm="1">
        <f t="array" ref="C207">IFERROR(IF(A207="","",IF(ISNUMBER(MATCH(TRUE,ISNUMBER(SEARCH($Q$2:$Q$51, $A207)),0))=TRUE,"United States of America",INDEX($S$2:$S$199,MATCH(TRUE,ISNUMBER(SEARCH($S$2:$S$199, $A207)),0)))),"United States of America")</f>
        <v/>
      </c>
      <c r="D207" s="18" t="str" cm="1">
        <f t="array" ref="D207">IF(A207="","",IF(ISNUMBER(MATCH(TRUE,ISNUMBER(SEARCH($Q$2:$Q$51, $A207)),0))=TRUE,"",IF(ISNUMBER(MATCH(TRUE,ISNUMBER(SEARCH($S$2:$S$199, $A207)),0))=TRUE,"","미국 확인 필요")))</f>
        <v/>
      </c>
    </row>
    <row r="208" spans="3:23">
      <c r="C208" s="18" t="str" cm="1">
        <f t="array" ref="C208">IFERROR(IF(A208="","",IF(ISNUMBER(MATCH(TRUE,ISNUMBER(SEARCH($Q$2:$Q$51, $A208)),0))=TRUE,"United States of America",INDEX($S$2:$S$199,MATCH(TRUE,ISNUMBER(SEARCH($S$2:$S$199, $A208)),0)))),"United States of America")</f>
        <v/>
      </c>
      <c r="D208" s="18" t="str" cm="1">
        <f t="array" ref="D208">IF(A208="","",IF(ISNUMBER(MATCH(TRUE,ISNUMBER(SEARCH($Q$2:$Q$51, $A208)),0))=TRUE,"",IF(ISNUMBER(MATCH(TRUE,ISNUMBER(SEARCH($S$2:$S$199, $A208)),0))=TRUE,"","미국 확인 필요")))</f>
        <v/>
      </c>
    </row>
    <row r="209" spans="3:4">
      <c r="C209" s="18" t="str" cm="1">
        <f t="array" ref="C209">IFERROR(IF(A209="","",IF(ISNUMBER(MATCH(TRUE,ISNUMBER(SEARCH($Q$2:$Q$51, $A209)),0))=TRUE,"United States of America",INDEX($S$2:$S$199,MATCH(TRUE,ISNUMBER(SEARCH($S$2:$S$199, $A209)),0)))),"United States of America")</f>
        <v/>
      </c>
      <c r="D209" s="18" t="str" cm="1">
        <f t="array" ref="D209">IF(A209="","",IF(ISNUMBER(MATCH(TRUE,ISNUMBER(SEARCH($Q$2:$Q$51, $A209)),0))=TRUE,"",IF(ISNUMBER(MATCH(TRUE,ISNUMBER(SEARCH($S$2:$S$199, $A209)),0))=TRUE,"","미국 확인 필요")))</f>
        <v/>
      </c>
    </row>
    <row r="210" spans="3:4">
      <c r="C210" s="18" t="str" cm="1">
        <f t="array" ref="C210">IFERROR(IF(A210="","",IF(ISNUMBER(MATCH(TRUE,ISNUMBER(SEARCH($Q$2:$Q$51, $A210)),0))=TRUE,"United States of America",INDEX($S$2:$S$199,MATCH(TRUE,ISNUMBER(SEARCH($S$2:$S$199, $A210)),0)))),"United States of America")</f>
        <v/>
      </c>
      <c r="D210" s="18" t="str" cm="1">
        <f t="array" ref="D210">IF(A210="","",IF(ISNUMBER(MATCH(TRUE,ISNUMBER(SEARCH($Q$2:$Q$51, $A210)),0))=TRUE,"",IF(ISNUMBER(MATCH(TRUE,ISNUMBER(SEARCH($S$2:$S$199, $A210)),0))=TRUE,"","미국 확인 필요")))</f>
        <v/>
      </c>
    </row>
    <row r="211" spans="3:4">
      <c r="C211" s="18" t="str" cm="1">
        <f t="array" ref="C211">IFERROR(IF(A211="","",IF(ISNUMBER(MATCH(TRUE,ISNUMBER(SEARCH($Q$2:$Q$51, $A211)),0))=TRUE,"United States of America",INDEX($S$2:$S$199,MATCH(TRUE,ISNUMBER(SEARCH($S$2:$S$199, $A211)),0)))),"United States of America")</f>
        <v/>
      </c>
      <c r="D211" s="18" t="str" cm="1">
        <f t="array" ref="D211">IF(A211="","",IF(ISNUMBER(MATCH(TRUE,ISNUMBER(SEARCH($Q$2:$Q$51, $A211)),0))=TRUE,"",IF(ISNUMBER(MATCH(TRUE,ISNUMBER(SEARCH($S$2:$S$199, $A211)),0))=TRUE,"","미국 확인 필요")))</f>
        <v/>
      </c>
    </row>
    <row r="212" spans="3:4">
      <c r="C212" s="18" t="str" cm="1">
        <f t="array" ref="C212">IFERROR(IF(A212="","",IF(ISNUMBER(MATCH(TRUE,ISNUMBER(SEARCH($Q$2:$Q$51, $A212)),0))=TRUE,"United States of America",INDEX($S$2:$S$199,MATCH(TRUE,ISNUMBER(SEARCH($S$2:$S$199, $A212)),0)))),"United States of America")</f>
        <v/>
      </c>
      <c r="D212" s="18" t="str" cm="1">
        <f t="array" ref="D212">IF(A212="","",IF(ISNUMBER(MATCH(TRUE,ISNUMBER(SEARCH($Q$2:$Q$51, $A212)),0))=TRUE,"",IF(ISNUMBER(MATCH(TRUE,ISNUMBER(SEARCH($S$2:$S$199, $A212)),0))=TRUE,"","미국 확인 필요")))</f>
        <v/>
      </c>
    </row>
    <row r="213" spans="3:4">
      <c r="C213" s="18" t="str" cm="1">
        <f t="array" ref="C213">IFERROR(IF(A213="","",IF(ISNUMBER(MATCH(TRUE,ISNUMBER(SEARCH($Q$2:$Q$51, $A213)),0))=TRUE,"United States of America",INDEX($S$2:$S$199,MATCH(TRUE,ISNUMBER(SEARCH($S$2:$S$199, $A213)),0)))),"United States of America")</f>
        <v/>
      </c>
      <c r="D213" s="18" t="str" cm="1">
        <f t="array" ref="D213">IF(A213="","",IF(ISNUMBER(MATCH(TRUE,ISNUMBER(SEARCH($Q$2:$Q$51, $A213)),0))=TRUE,"",IF(ISNUMBER(MATCH(TRUE,ISNUMBER(SEARCH($S$2:$S$199, $A213)),0))=TRUE,"","미국 확인 필요")))</f>
        <v/>
      </c>
    </row>
    <row r="214" spans="3:4">
      <c r="C214" s="18" t="str" cm="1">
        <f t="array" ref="C214">IFERROR(IF(A214="","",IF(ISNUMBER(MATCH(TRUE,ISNUMBER(SEARCH($Q$2:$Q$51, $A214)),0))=TRUE,"United States of America",INDEX($S$2:$S$199,MATCH(TRUE,ISNUMBER(SEARCH($S$2:$S$199, $A214)),0)))),"United States of America")</f>
        <v/>
      </c>
      <c r="D214" s="18" t="str" cm="1">
        <f t="array" ref="D214">IF(A214="","",IF(ISNUMBER(MATCH(TRUE,ISNUMBER(SEARCH($Q$2:$Q$51, $A214)),0))=TRUE,"",IF(ISNUMBER(MATCH(TRUE,ISNUMBER(SEARCH($S$2:$S$199, $A214)),0))=TRUE,"","미국 확인 필요")))</f>
        <v/>
      </c>
    </row>
    <row r="215" spans="3:4">
      <c r="C215" s="18" t="str" cm="1">
        <f t="array" ref="C215">IFERROR(IF(A215="","",IF(ISNUMBER(MATCH(TRUE,ISNUMBER(SEARCH($Q$2:$Q$51, $A215)),0))=TRUE,"United States of America",INDEX($S$2:$S$199,MATCH(TRUE,ISNUMBER(SEARCH($S$2:$S$199, $A215)),0)))),"United States of America")</f>
        <v/>
      </c>
      <c r="D215" s="18" t="str" cm="1">
        <f t="array" ref="D215">IF(A215="","",IF(ISNUMBER(MATCH(TRUE,ISNUMBER(SEARCH($Q$2:$Q$51, $A215)),0))=TRUE,"",IF(ISNUMBER(MATCH(TRUE,ISNUMBER(SEARCH($S$2:$S$199, $A215)),0))=TRUE,"","미국 확인 필요")))</f>
        <v/>
      </c>
    </row>
    <row r="216" spans="3:4">
      <c r="C216" s="18" t="str" cm="1">
        <f t="array" ref="C216">IFERROR(IF(A216="","",IF(ISNUMBER(MATCH(TRUE,ISNUMBER(SEARCH($Q$2:$Q$51, $A216)),0))=TRUE,"United States of America",INDEX($S$2:$S$199,MATCH(TRUE,ISNUMBER(SEARCH($S$2:$S$199, $A216)),0)))),"United States of America")</f>
        <v/>
      </c>
      <c r="D216" s="18" t="str" cm="1">
        <f t="array" ref="D216">IF(A216="","",IF(ISNUMBER(MATCH(TRUE,ISNUMBER(SEARCH($Q$2:$Q$51, $A216)),0))=TRUE,"",IF(ISNUMBER(MATCH(TRUE,ISNUMBER(SEARCH($S$2:$S$199, $A216)),0))=TRUE,"","미국 확인 필요")))</f>
        <v/>
      </c>
    </row>
    <row r="217" spans="3:4">
      <c r="C217" s="18" t="str" cm="1">
        <f t="array" ref="C217">IFERROR(IF(A217="","",IF(ISNUMBER(MATCH(TRUE,ISNUMBER(SEARCH($Q$2:$Q$51, $A217)),0))=TRUE,"United States of America",INDEX($S$2:$S$199,MATCH(TRUE,ISNUMBER(SEARCH($S$2:$S$199, $A217)),0)))),"United States of America")</f>
        <v/>
      </c>
      <c r="D217" s="18" t="str" cm="1">
        <f t="array" ref="D217">IF(A217="","",IF(ISNUMBER(MATCH(TRUE,ISNUMBER(SEARCH($Q$2:$Q$51, $A217)),0))=TRUE,"",IF(ISNUMBER(MATCH(TRUE,ISNUMBER(SEARCH($S$2:$S$199, $A217)),0))=TRUE,"","미국 확인 필요")))</f>
        <v/>
      </c>
    </row>
    <row r="218" spans="3:4">
      <c r="C218" s="18" t="str" cm="1">
        <f t="array" ref="C218">IFERROR(IF(A218="","",IF(ISNUMBER(MATCH(TRUE,ISNUMBER(SEARCH($Q$2:$Q$51, $A218)),0))=TRUE,"United States of America",INDEX($S$2:$S$199,MATCH(TRUE,ISNUMBER(SEARCH($S$2:$S$199, $A218)),0)))),"United States of America")</f>
        <v/>
      </c>
      <c r="D218" s="18" t="str" cm="1">
        <f t="array" ref="D218">IF(A218="","",IF(ISNUMBER(MATCH(TRUE,ISNUMBER(SEARCH($Q$2:$Q$51, $A218)),0))=TRUE,"",IF(ISNUMBER(MATCH(TRUE,ISNUMBER(SEARCH($S$2:$S$199, $A218)),0))=TRUE,"","미국 확인 필요")))</f>
        <v/>
      </c>
    </row>
    <row r="219" spans="3:4">
      <c r="C219" s="18" t="str" cm="1">
        <f t="array" ref="C219">IFERROR(IF(A219="","",IF(ISNUMBER(MATCH(TRUE,ISNUMBER(SEARCH($Q$2:$Q$51, $A219)),0))=TRUE,"United States of America",INDEX($S$2:$S$199,MATCH(TRUE,ISNUMBER(SEARCH($S$2:$S$199, $A219)),0)))),"United States of America")</f>
        <v/>
      </c>
      <c r="D219" s="18" t="str" cm="1">
        <f t="array" ref="D219">IF(A219="","",IF(ISNUMBER(MATCH(TRUE,ISNUMBER(SEARCH($Q$2:$Q$51, $A219)),0))=TRUE,"",IF(ISNUMBER(MATCH(TRUE,ISNUMBER(SEARCH($S$2:$S$199, $A219)),0))=TRUE,"","미국 확인 필요")))</f>
        <v/>
      </c>
    </row>
    <row r="220" spans="3:4">
      <c r="C220" s="18" t="str" cm="1">
        <f t="array" ref="C220">IFERROR(IF(A220="","",IF(ISNUMBER(MATCH(TRUE,ISNUMBER(SEARCH($Q$2:$Q$51, $A220)),0))=TRUE,"United States of America",INDEX($S$2:$S$199,MATCH(TRUE,ISNUMBER(SEARCH($S$2:$S$199, $A220)),0)))),"United States of America")</f>
        <v/>
      </c>
      <c r="D220" s="18" t="str" cm="1">
        <f t="array" ref="D220">IF(A220="","",IF(ISNUMBER(MATCH(TRUE,ISNUMBER(SEARCH($Q$2:$Q$51, $A220)),0))=TRUE,"",IF(ISNUMBER(MATCH(TRUE,ISNUMBER(SEARCH($S$2:$S$199, $A220)),0))=TRUE,"","미국 확인 필요")))</f>
        <v/>
      </c>
    </row>
    <row r="221" spans="3:4">
      <c r="C221" s="18" t="str" cm="1">
        <f t="array" ref="C221">IFERROR(IF(A221="","",IF(ISNUMBER(MATCH(TRUE,ISNUMBER(SEARCH($Q$2:$Q$51, $A221)),0))=TRUE,"United States of America",INDEX($S$2:$S$199,MATCH(TRUE,ISNUMBER(SEARCH($S$2:$S$199, $A221)),0)))),"United States of America")</f>
        <v/>
      </c>
      <c r="D221" s="18" t="str" cm="1">
        <f t="array" ref="D221">IF(A221="","",IF(ISNUMBER(MATCH(TRUE,ISNUMBER(SEARCH($Q$2:$Q$51, $A221)),0))=TRUE,"",IF(ISNUMBER(MATCH(TRUE,ISNUMBER(SEARCH($S$2:$S$199, $A221)),0))=TRUE,"","미국 확인 필요")))</f>
        <v/>
      </c>
    </row>
    <row r="222" spans="3:4">
      <c r="C222" s="18" t="str" cm="1">
        <f t="array" ref="C222">IFERROR(IF(A222="","",IF(ISNUMBER(MATCH(TRUE,ISNUMBER(SEARCH($Q$2:$Q$51, $A222)),0))=TRUE,"United States of America",INDEX($S$2:$S$199,MATCH(TRUE,ISNUMBER(SEARCH($S$2:$S$199, $A222)),0)))),"United States of America")</f>
        <v/>
      </c>
      <c r="D222" s="18" t="str" cm="1">
        <f t="array" ref="D222">IF(A222="","",IF(ISNUMBER(MATCH(TRUE,ISNUMBER(SEARCH($Q$2:$Q$51, $A222)),0))=TRUE,"",IF(ISNUMBER(MATCH(TRUE,ISNUMBER(SEARCH($S$2:$S$199, $A222)),0))=TRUE,"","미국 확인 필요")))</f>
        <v/>
      </c>
    </row>
    <row r="223" spans="3:4">
      <c r="C223" s="18" t="str" cm="1">
        <f t="array" ref="C223">IFERROR(IF(A223="","",IF(ISNUMBER(MATCH(TRUE,ISNUMBER(SEARCH($Q$2:$Q$51, $A223)),0))=TRUE,"United States of America",INDEX($S$2:$S$199,MATCH(TRUE,ISNUMBER(SEARCH($S$2:$S$199, $A223)),0)))),"United States of America")</f>
        <v/>
      </c>
      <c r="D223" s="18" t="str" cm="1">
        <f t="array" ref="D223">IF(A223="","",IF(ISNUMBER(MATCH(TRUE,ISNUMBER(SEARCH($Q$2:$Q$51, $A223)),0))=TRUE,"",IF(ISNUMBER(MATCH(TRUE,ISNUMBER(SEARCH($S$2:$S$199, $A223)),0))=TRUE,"","미국 확인 필요")))</f>
        <v/>
      </c>
    </row>
    <row r="224" spans="3:4">
      <c r="C224" s="18" t="str" cm="1">
        <f t="array" ref="C224">IFERROR(IF(A224="","",IF(ISNUMBER(MATCH(TRUE,ISNUMBER(SEARCH($Q$2:$Q$51, $A224)),0))=TRUE,"United States of America",INDEX($S$2:$S$199,MATCH(TRUE,ISNUMBER(SEARCH($S$2:$S$199, $A224)),0)))),"United States of America")</f>
        <v/>
      </c>
      <c r="D224" s="18" t="str" cm="1">
        <f t="array" ref="D224">IF(A224="","",IF(ISNUMBER(MATCH(TRUE,ISNUMBER(SEARCH($Q$2:$Q$51, $A224)),0))=TRUE,"",IF(ISNUMBER(MATCH(TRUE,ISNUMBER(SEARCH($S$2:$S$199, $A224)),0))=TRUE,"","미국 확인 필요")))</f>
        <v/>
      </c>
    </row>
    <row r="225" spans="3:4">
      <c r="C225" s="18" t="str" cm="1">
        <f t="array" ref="C225">IFERROR(IF(A225="","",IF(ISNUMBER(MATCH(TRUE,ISNUMBER(SEARCH($Q$2:$Q$51, $A225)),0))=TRUE,"United States of America",INDEX($S$2:$S$199,MATCH(TRUE,ISNUMBER(SEARCH($S$2:$S$199, $A225)),0)))),"United States of America")</f>
        <v/>
      </c>
      <c r="D225" s="18" t="str" cm="1">
        <f t="array" ref="D225">IF(A225="","",IF(ISNUMBER(MATCH(TRUE,ISNUMBER(SEARCH($Q$2:$Q$51, $A225)),0))=TRUE,"",IF(ISNUMBER(MATCH(TRUE,ISNUMBER(SEARCH($S$2:$S$199, $A225)),0))=TRUE,"","미국 확인 필요")))</f>
        <v/>
      </c>
    </row>
    <row r="226" spans="3:4">
      <c r="C226" s="18" t="str" cm="1">
        <f t="array" ref="C226">IFERROR(IF(A226="","",IF(ISNUMBER(MATCH(TRUE,ISNUMBER(SEARCH($Q$2:$Q$51, $A226)),0))=TRUE,"United States of America",INDEX($S$2:$S$199,MATCH(TRUE,ISNUMBER(SEARCH($S$2:$S$199, $A226)),0)))),"United States of America")</f>
        <v/>
      </c>
      <c r="D226" s="18" t="str" cm="1">
        <f t="array" ref="D226">IF(A226="","",IF(ISNUMBER(MATCH(TRUE,ISNUMBER(SEARCH($Q$2:$Q$51, $A226)),0))=TRUE,"",IF(ISNUMBER(MATCH(TRUE,ISNUMBER(SEARCH($S$2:$S$199, $A226)),0))=TRUE,"","미국 확인 필요")))</f>
        <v/>
      </c>
    </row>
    <row r="227" spans="3:4">
      <c r="C227" s="18" t="str" cm="1">
        <f t="array" ref="C227">IFERROR(IF(A227="","",IF(ISNUMBER(MATCH(TRUE,ISNUMBER(SEARCH($Q$2:$Q$51, $A227)),0))=TRUE,"United States of America",INDEX($S$2:$S$199,MATCH(TRUE,ISNUMBER(SEARCH($S$2:$S$199, $A227)),0)))),"United States of America")</f>
        <v/>
      </c>
      <c r="D227" s="18" t="str" cm="1">
        <f t="array" ref="D227">IF(A227="","",IF(ISNUMBER(MATCH(TRUE,ISNUMBER(SEARCH($Q$2:$Q$51, $A227)),0))=TRUE,"",IF(ISNUMBER(MATCH(TRUE,ISNUMBER(SEARCH($S$2:$S$199, $A227)),0))=TRUE,"","미국 확인 필요")))</f>
        <v/>
      </c>
    </row>
    <row r="228" spans="3:4">
      <c r="C228" s="18" t="str" cm="1">
        <f t="array" ref="C228">IFERROR(IF(A228="","",IF(ISNUMBER(MATCH(TRUE,ISNUMBER(SEARCH($Q$2:$Q$51, $A228)),0))=TRUE,"United States of America",INDEX($S$2:$S$199,MATCH(TRUE,ISNUMBER(SEARCH($S$2:$S$199, $A228)),0)))),"United States of America")</f>
        <v/>
      </c>
      <c r="D228" s="18" t="str" cm="1">
        <f t="array" ref="D228">IF(A228="","",IF(ISNUMBER(MATCH(TRUE,ISNUMBER(SEARCH($Q$2:$Q$51, $A228)),0))=TRUE,"",IF(ISNUMBER(MATCH(TRUE,ISNUMBER(SEARCH($S$2:$S$199, $A228)),0))=TRUE,"","미국 확인 필요")))</f>
        <v/>
      </c>
    </row>
    <row r="229" spans="3:4">
      <c r="C229" s="18" t="str" cm="1">
        <f t="array" ref="C229">IFERROR(IF(A229="","",IF(ISNUMBER(MATCH(TRUE,ISNUMBER(SEARCH($Q$2:$Q$51, $A229)),0))=TRUE,"United States of America",INDEX($S$2:$S$199,MATCH(TRUE,ISNUMBER(SEARCH($S$2:$S$199, $A229)),0)))),"United States of America")</f>
        <v/>
      </c>
      <c r="D229" s="18" t="str" cm="1">
        <f t="array" ref="D229">IF(A229="","",IF(ISNUMBER(MATCH(TRUE,ISNUMBER(SEARCH($Q$2:$Q$51, $A229)),0))=TRUE,"",IF(ISNUMBER(MATCH(TRUE,ISNUMBER(SEARCH($S$2:$S$199, $A229)),0))=TRUE,"","미국 확인 필요")))</f>
        <v/>
      </c>
    </row>
    <row r="230" spans="3:4">
      <c r="C230" s="18" t="str" cm="1">
        <f t="array" ref="C230">IFERROR(IF(A230="","",IF(ISNUMBER(MATCH(TRUE,ISNUMBER(SEARCH($Q$2:$Q$51, $A230)),0))=TRUE,"United States of America",INDEX($S$2:$S$199,MATCH(TRUE,ISNUMBER(SEARCH($S$2:$S$199, $A230)),0)))),"United States of America")</f>
        <v/>
      </c>
      <c r="D230" s="18" t="str" cm="1">
        <f t="array" ref="D230">IF(A230="","",IF(ISNUMBER(MATCH(TRUE,ISNUMBER(SEARCH($Q$2:$Q$51, $A230)),0))=TRUE,"",IF(ISNUMBER(MATCH(TRUE,ISNUMBER(SEARCH($S$2:$S$199, $A230)),0))=TRUE,"","미국 확인 필요")))</f>
        <v/>
      </c>
    </row>
    <row r="231" spans="3:4">
      <c r="C231" s="18" t="str" cm="1">
        <f t="array" ref="C231">IFERROR(IF(A231="","",IF(ISNUMBER(MATCH(TRUE,ISNUMBER(SEARCH($Q$2:$Q$51, $A231)),0))=TRUE,"United States of America",INDEX($S$2:$S$199,MATCH(TRUE,ISNUMBER(SEARCH($S$2:$S$199, $A231)),0)))),"United States of America")</f>
        <v/>
      </c>
      <c r="D231" s="18" t="str" cm="1">
        <f t="array" ref="D231">IF(A231="","",IF(ISNUMBER(MATCH(TRUE,ISNUMBER(SEARCH($Q$2:$Q$51, $A231)),0))=TRUE,"",IF(ISNUMBER(MATCH(TRUE,ISNUMBER(SEARCH($S$2:$S$199, $A231)),0))=TRUE,"","미국 확인 필요")))</f>
        <v/>
      </c>
    </row>
    <row r="232" spans="3:4">
      <c r="C232" s="18" t="str" cm="1">
        <f t="array" ref="C232">IFERROR(IF(A232="","",IF(ISNUMBER(MATCH(TRUE,ISNUMBER(SEARCH($Q$2:$Q$51, $A232)),0))=TRUE,"United States of America",INDEX($S$2:$S$199,MATCH(TRUE,ISNUMBER(SEARCH($S$2:$S$199, $A232)),0)))),"United States of America")</f>
        <v/>
      </c>
      <c r="D232" s="18" t="str" cm="1">
        <f t="array" ref="D232">IF(A232="","",IF(ISNUMBER(MATCH(TRUE,ISNUMBER(SEARCH($Q$2:$Q$51, $A232)),0))=TRUE,"",IF(ISNUMBER(MATCH(TRUE,ISNUMBER(SEARCH($S$2:$S$199, $A232)),0))=TRUE,"","미국 확인 필요")))</f>
        <v/>
      </c>
    </row>
    <row r="233" spans="3:4">
      <c r="C233" s="18" t="str" cm="1">
        <f t="array" ref="C233">IFERROR(IF(A233="","",IF(ISNUMBER(MATCH(TRUE,ISNUMBER(SEARCH($Q$2:$Q$51, $A233)),0))=TRUE,"United States of America",INDEX($S$2:$S$199,MATCH(TRUE,ISNUMBER(SEARCH($S$2:$S$199, $A233)),0)))),"United States of America")</f>
        <v/>
      </c>
      <c r="D233" s="18" t="str" cm="1">
        <f t="array" ref="D233">IF(A233="","",IF(ISNUMBER(MATCH(TRUE,ISNUMBER(SEARCH($Q$2:$Q$51, $A233)),0))=TRUE,"",IF(ISNUMBER(MATCH(TRUE,ISNUMBER(SEARCH($S$2:$S$199, $A233)),0))=TRUE,"","미국 확인 필요")))</f>
        <v/>
      </c>
    </row>
    <row r="234" spans="3:4">
      <c r="C234" s="18" t="str" cm="1">
        <f t="array" ref="C234">IFERROR(IF(A234="","",IF(ISNUMBER(MATCH(TRUE,ISNUMBER(SEARCH($Q$2:$Q$51, $A234)),0))=TRUE,"United States of America",INDEX($S$2:$S$199,MATCH(TRUE,ISNUMBER(SEARCH($S$2:$S$199, $A234)),0)))),"United States of America")</f>
        <v/>
      </c>
      <c r="D234" s="18" t="str" cm="1">
        <f t="array" ref="D234">IF(A234="","",IF(ISNUMBER(MATCH(TRUE,ISNUMBER(SEARCH($Q$2:$Q$51, $A234)),0))=TRUE,"",IF(ISNUMBER(MATCH(TRUE,ISNUMBER(SEARCH($S$2:$S$199, $A234)),0))=TRUE,"","미국 확인 필요")))</f>
        <v/>
      </c>
    </row>
    <row r="235" spans="3:4">
      <c r="C235" s="18" t="str" cm="1">
        <f t="array" ref="C235">IFERROR(IF(A235="","",IF(ISNUMBER(MATCH(TRUE,ISNUMBER(SEARCH($Q$2:$Q$51, $A235)),0))=TRUE,"United States of America",INDEX($S$2:$S$199,MATCH(TRUE,ISNUMBER(SEARCH($S$2:$S$199, $A235)),0)))),"United States of America")</f>
        <v/>
      </c>
      <c r="D235" s="18" t="str" cm="1">
        <f t="array" ref="D235">IF(A235="","",IF(ISNUMBER(MATCH(TRUE,ISNUMBER(SEARCH($Q$2:$Q$51, $A235)),0))=TRUE,"",IF(ISNUMBER(MATCH(TRUE,ISNUMBER(SEARCH($S$2:$S$199, $A235)),0))=TRUE,"","미국 확인 필요")))</f>
        <v/>
      </c>
    </row>
    <row r="236" spans="3:4">
      <c r="C236" s="18" t="str" cm="1">
        <f t="array" ref="C236">IFERROR(IF(A236="","",IF(ISNUMBER(MATCH(TRUE,ISNUMBER(SEARCH($Q$2:$Q$51, $A236)),0))=TRUE,"United States of America",INDEX($S$2:$S$199,MATCH(TRUE,ISNUMBER(SEARCH($S$2:$S$199, $A236)),0)))),"United States of America")</f>
        <v/>
      </c>
      <c r="D236" s="18" t="str" cm="1">
        <f t="array" ref="D236">IF(A236="","",IF(ISNUMBER(MATCH(TRUE,ISNUMBER(SEARCH($Q$2:$Q$51, $A236)),0))=TRUE,"",IF(ISNUMBER(MATCH(TRUE,ISNUMBER(SEARCH($S$2:$S$199, $A236)),0))=TRUE,"","미국 확인 필요")))</f>
        <v/>
      </c>
    </row>
    <row r="237" spans="3:4">
      <c r="C237" s="18" t="str" cm="1">
        <f t="array" ref="C237">IFERROR(IF(A237="","",IF(ISNUMBER(MATCH(TRUE,ISNUMBER(SEARCH($Q$2:$Q$51, $A237)),0))=TRUE,"United States of America",INDEX($S$2:$S$199,MATCH(TRUE,ISNUMBER(SEARCH($S$2:$S$199, $A237)),0)))),"United States of America")</f>
        <v/>
      </c>
      <c r="D237" s="18" t="str" cm="1">
        <f t="array" ref="D237">IF(A237="","",IF(ISNUMBER(MATCH(TRUE,ISNUMBER(SEARCH($Q$2:$Q$51, $A237)),0))=TRUE,"",IF(ISNUMBER(MATCH(TRUE,ISNUMBER(SEARCH($S$2:$S$199, $A237)),0))=TRUE,"","미국 확인 필요")))</f>
        <v/>
      </c>
    </row>
    <row r="238" spans="3:4">
      <c r="C238" s="18" t="str" cm="1">
        <f t="array" ref="C238">IFERROR(IF(A238="","",IF(ISNUMBER(MATCH(TRUE,ISNUMBER(SEARCH($Q$2:$Q$51, $A238)),0))=TRUE,"United States of America",INDEX($S$2:$S$199,MATCH(TRUE,ISNUMBER(SEARCH($S$2:$S$199, $A238)),0)))),"United States of America")</f>
        <v/>
      </c>
      <c r="D238" s="18" t="str" cm="1">
        <f t="array" ref="D238">IF(A238="","",IF(ISNUMBER(MATCH(TRUE,ISNUMBER(SEARCH($Q$2:$Q$51, $A238)),0))=TRUE,"",IF(ISNUMBER(MATCH(TRUE,ISNUMBER(SEARCH($S$2:$S$199, $A238)),0))=TRUE,"","미국 확인 필요")))</f>
        <v/>
      </c>
    </row>
    <row r="239" spans="3:4">
      <c r="C239" s="18" t="str" cm="1">
        <f t="array" ref="C239">IFERROR(IF(A239="","",IF(ISNUMBER(MATCH(TRUE,ISNUMBER(SEARCH($Q$2:$Q$51, $A239)),0))=TRUE,"United States of America",INDEX($S$2:$S$199,MATCH(TRUE,ISNUMBER(SEARCH($S$2:$S$199, $A239)),0)))),"United States of America")</f>
        <v/>
      </c>
      <c r="D239" s="18" t="str" cm="1">
        <f t="array" ref="D239">IF(A239="","",IF(ISNUMBER(MATCH(TRUE,ISNUMBER(SEARCH($Q$2:$Q$51, $A239)),0))=TRUE,"",IF(ISNUMBER(MATCH(TRUE,ISNUMBER(SEARCH($S$2:$S$199, $A239)),0))=TRUE,"","미국 확인 필요")))</f>
        <v/>
      </c>
    </row>
    <row r="240" spans="3:4">
      <c r="C240" s="18" t="str" cm="1">
        <f t="array" ref="C240">IFERROR(IF(A240="","",IF(ISNUMBER(MATCH(TRUE,ISNUMBER(SEARCH($Q$2:$Q$51, $A240)),0))=TRUE,"United States of America",INDEX($S$2:$S$199,MATCH(TRUE,ISNUMBER(SEARCH($S$2:$S$199, $A240)),0)))),"United States of America")</f>
        <v/>
      </c>
      <c r="D240" s="18" t="str" cm="1">
        <f t="array" ref="D240">IF(A240="","",IF(ISNUMBER(MATCH(TRUE,ISNUMBER(SEARCH($Q$2:$Q$51, $A240)),0))=TRUE,"",IF(ISNUMBER(MATCH(TRUE,ISNUMBER(SEARCH($S$2:$S$199, $A240)),0))=TRUE,"","미국 확인 필요")))</f>
        <v/>
      </c>
    </row>
    <row r="241" spans="3:4">
      <c r="C241" s="18" t="str" cm="1">
        <f t="array" ref="C241">IFERROR(IF(A241="","",IF(ISNUMBER(MATCH(TRUE,ISNUMBER(SEARCH($Q$2:$Q$51, $A241)),0))=TRUE,"United States of America",INDEX($S$2:$S$199,MATCH(TRUE,ISNUMBER(SEARCH($S$2:$S$199, $A241)),0)))),"United States of America")</f>
        <v/>
      </c>
      <c r="D241" s="18" t="str" cm="1">
        <f t="array" ref="D241">IF(A241="","",IF(ISNUMBER(MATCH(TRUE,ISNUMBER(SEARCH($Q$2:$Q$51, $A241)),0))=TRUE,"",IF(ISNUMBER(MATCH(TRUE,ISNUMBER(SEARCH($S$2:$S$199, $A241)),0))=TRUE,"","미국 확인 필요")))</f>
        <v/>
      </c>
    </row>
    <row r="242" spans="3:4">
      <c r="C242" s="18" t="str" cm="1">
        <f t="array" ref="C242">IFERROR(IF(A242="","",IF(ISNUMBER(MATCH(TRUE,ISNUMBER(SEARCH($Q$2:$Q$51, $A242)),0))=TRUE,"United States of America",INDEX($S$2:$S$199,MATCH(TRUE,ISNUMBER(SEARCH($S$2:$S$199, $A242)),0)))),"United States of America")</f>
        <v/>
      </c>
      <c r="D242" s="18" t="str" cm="1">
        <f t="array" ref="D242">IF(A242="","",IF(ISNUMBER(MATCH(TRUE,ISNUMBER(SEARCH($Q$2:$Q$51, $A242)),0))=TRUE,"",IF(ISNUMBER(MATCH(TRUE,ISNUMBER(SEARCH($S$2:$S$199, $A242)),0))=TRUE,"","미국 확인 필요")))</f>
        <v/>
      </c>
    </row>
    <row r="243" spans="3:4">
      <c r="C243" s="18" t="str" cm="1">
        <f t="array" ref="C243">IFERROR(IF(A243="","",IF(ISNUMBER(MATCH(TRUE,ISNUMBER(SEARCH($Q$2:$Q$51, $A243)),0))=TRUE,"United States of America",INDEX($S$2:$S$199,MATCH(TRUE,ISNUMBER(SEARCH($S$2:$S$199, $A243)),0)))),"United States of America")</f>
        <v/>
      </c>
      <c r="D243" s="18" t="str" cm="1">
        <f t="array" ref="D243">IF(A243="","",IF(ISNUMBER(MATCH(TRUE,ISNUMBER(SEARCH($Q$2:$Q$51, $A243)),0))=TRUE,"",IF(ISNUMBER(MATCH(TRUE,ISNUMBER(SEARCH($S$2:$S$199, $A243)),0))=TRUE,"","미국 확인 필요")))</f>
        <v/>
      </c>
    </row>
    <row r="244" spans="3:4">
      <c r="C244" s="18" t="str" cm="1">
        <f t="array" ref="C244">IFERROR(IF(A244="","",IF(ISNUMBER(MATCH(TRUE,ISNUMBER(SEARCH($Q$2:$Q$51, $A244)),0))=TRUE,"United States of America",INDEX($S$2:$S$199,MATCH(TRUE,ISNUMBER(SEARCH($S$2:$S$199, $A244)),0)))),"United States of America")</f>
        <v/>
      </c>
      <c r="D244" s="18" t="str" cm="1">
        <f t="array" ref="D244">IF(A244="","",IF(ISNUMBER(MATCH(TRUE,ISNUMBER(SEARCH($Q$2:$Q$51, $A244)),0))=TRUE,"",IF(ISNUMBER(MATCH(TRUE,ISNUMBER(SEARCH($S$2:$S$199, $A244)),0))=TRUE,"","미국 확인 필요")))</f>
        <v/>
      </c>
    </row>
    <row r="245" spans="3:4">
      <c r="C245" s="18" t="str" cm="1">
        <f t="array" ref="C245">IFERROR(IF(A245="","",IF(ISNUMBER(MATCH(TRUE,ISNUMBER(SEARCH($Q$2:$Q$51, $A245)),0))=TRUE,"United States of America",INDEX($S$2:$S$199,MATCH(TRUE,ISNUMBER(SEARCH($S$2:$S$199, $A245)),0)))),"United States of America")</f>
        <v/>
      </c>
      <c r="D245" s="18" t="str" cm="1">
        <f t="array" ref="D245">IF(A245="","",IF(ISNUMBER(MATCH(TRUE,ISNUMBER(SEARCH($Q$2:$Q$51, $A245)),0))=TRUE,"",IF(ISNUMBER(MATCH(TRUE,ISNUMBER(SEARCH($S$2:$S$199, $A245)),0))=TRUE,"","미국 확인 필요")))</f>
        <v/>
      </c>
    </row>
    <row r="246" spans="3:4">
      <c r="C246" s="18" t="str" cm="1">
        <f t="array" ref="C246">IFERROR(IF(A246="","",IF(ISNUMBER(MATCH(TRUE,ISNUMBER(SEARCH($Q$2:$Q$51, $A246)),0))=TRUE,"United States of America",INDEX($S$2:$S$199,MATCH(TRUE,ISNUMBER(SEARCH($S$2:$S$199, $A246)),0)))),"United States of America")</f>
        <v/>
      </c>
      <c r="D246" s="18" t="str" cm="1">
        <f t="array" ref="D246">IF(A246="","",IF(ISNUMBER(MATCH(TRUE,ISNUMBER(SEARCH($Q$2:$Q$51, $A246)),0))=TRUE,"",IF(ISNUMBER(MATCH(TRUE,ISNUMBER(SEARCH($S$2:$S$199, $A246)),0))=TRUE,"","미국 확인 필요")))</f>
        <v/>
      </c>
    </row>
    <row r="247" spans="3:4">
      <c r="C247" s="18" t="str" cm="1">
        <f t="array" ref="C247">IFERROR(IF(A247="","",IF(ISNUMBER(MATCH(TRUE,ISNUMBER(SEARCH($Q$2:$Q$51, $A247)),0))=TRUE,"United States of America",INDEX($S$2:$S$199,MATCH(TRUE,ISNUMBER(SEARCH($S$2:$S$199, $A247)),0)))),"United States of America")</f>
        <v/>
      </c>
      <c r="D247" s="18" t="str" cm="1">
        <f t="array" ref="D247">IF(A247="","",IF(ISNUMBER(MATCH(TRUE,ISNUMBER(SEARCH($Q$2:$Q$51, $A247)),0))=TRUE,"",IF(ISNUMBER(MATCH(TRUE,ISNUMBER(SEARCH($S$2:$S$199, $A247)),0))=TRUE,"","미국 확인 필요")))</f>
        <v/>
      </c>
    </row>
    <row r="248" spans="3:4">
      <c r="C248" s="18" t="str" cm="1">
        <f t="array" ref="C248">IFERROR(IF(A248="","",IF(ISNUMBER(MATCH(TRUE,ISNUMBER(SEARCH($Q$2:$Q$51, $A248)),0))=TRUE,"United States of America",INDEX($S$2:$S$199,MATCH(TRUE,ISNUMBER(SEARCH($S$2:$S$199, $A248)),0)))),"United States of America")</f>
        <v/>
      </c>
      <c r="D248" s="18" t="str" cm="1">
        <f t="array" ref="D248">IF(A248="","",IF(ISNUMBER(MATCH(TRUE,ISNUMBER(SEARCH($Q$2:$Q$51, $A248)),0))=TRUE,"",IF(ISNUMBER(MATCH(TRUE,ISNUMBER(SEARCH($S$2:$S$199, $A248)),0))=TRUE,"","미국 확인 필요")))</f>
        <v/>
      </c>
    </row>
    <row r="249" spans="3:4">
      <c r="C249" s="18" t="str" cm="1">
        <f t="array" ref="C249">IFERROR(IF(A249="","",IF(ISNUMBER(MATCH(TRUE,ISNUMBER(SEARCH($Q$2:$Q$51, $A249)),0))=TRUE,"United States of America",INDEX($S$2:$S$199,MATCH(TRUE,ISNUMBER(SEARCH($S$2:$S$199, $A249)),0)))),"United States of America")</f>
        <v/>
      </c>
      <c r="D249" s="18" t="str" cm="1">
        <f t="array" ref="D249">IF(A249="","",IF(ISNUMBER(MATCH(TRUE,ISNUMBER(SEARCH($Q$2:$Q$51, $A249)),0))=TRUE,"",IF(ISNUMBER(MATCH(TRUE,ISNUMBER(SEARCH($S$2:$S$199, $A249)),0))=TRUE,"","미국 확인 필요")))</f>
        <v/>
      </c>
    </row>
    <row r="250" spans="3:4">
      <c r="C250" s="18" t="str" cm="1">
        <f t="array" ref="C250">IFERROR(IF(A250="","",IF(ISNUMBER(MATCH(TRUE,ISNUMBER(SEARCH($Q$2:$Q$51, $A250)),0))=TRUE,"United States of America",INDEX($S$2:$S$199,MATCH(TRUE,ISNUMBER(SEARCH($S$2:$S$199, $A250)),0)))),"United States of America")</f>
        <v/>
      </c>
      <c r="D250" s="18" t="str" cm="1">
        <f t="array" ref="D250">IF(A250="","",IF(ISNUMBER(MATCH(TRUE,ISNUMBER(SEARCH($Q$2:$Q$51, $A250)),0))=TRUE,"",IF(ISNUMBER(MATCH(TRUE,ISNUMBER(SEARCH($S$2:$S$199, $A250)),0))=TRUE,"","미국 확인 필요")))</f>
        <v/>
      </c>
    </row>
    <row r="251" spans="3:4">
      <c r="C251" s="18" t="str" cm="1">
        <f t="array" ref="C251">IFERROR(IF(A251="","",IF(ISNUMBER(MATCH(TRUE,ISNUMBER(SEARCH($Q$2:$Q$51, $A251)),0))=TRUE,"United States of America",INDEX($S$2:$S$199,MATCH(TRUE,ISNUMBER(SEARCH($S$2:$S$199, $A251)),0)))),"United States of America")</f>
        <v/>
      </c>
      <c r="D251" s="18" t="str" cm="1">
        <f t="array" ref="D251">IF(A251="","",IF(ISNUMBER(MATCH(TRUE,ISNUMBER(SEARCH($Q$2:$Q$51, $A251)),0))=TRUE,"",IF(ISNUMBER(MATCH(TRUE,ISNUMBER(SEARCH($S$2:$S$199, $A251)),0))=TRUE,"","미국 확인 필요")))</f>
        <v/>
      </c>
    </row>
    <row r="252" spans="3:4">
      <c r="C252" s="18" t="str" cm="1">
        <f t="array" ref="C252">IFERROR(IF(A252="","",IF(ISNUMBER(MATCH(TRUE,ISNUMBER(SEARCH($Q$2:$Q$51, $A252)),0))=TRUE,"United States of America",INDEX($S$2:$S$199,MATCH(TRUE,ISNUMBER(SEARCH($S$2:$S$199, $A252)),0)))),"United States of America")</f>
        <v/>
      </c>
      <c r="D252" s="18" t="str" cm="1">
        <f t="array" ref="D252">IF(A252="","",IF(ISNUMBER(MATCH(TRUE,ISNUMBER(SEARCH($Q$2:$Q$51, $A252)),0))=TRUE,"",IF(ISNUMBER(MATCH(TRUE,ISNUMBER(SEARCH($S$2:$S$199, $A252)),0))=TRUE,"","미국 확인 필요")))</f>
        <v/>
      </c>
    </row>
    <row r="253" spans="3:4">
      <c r="C253" s="18" t="str" cm="1">
        <f t="array" ref="C253">IFERROR(IF(A253="","",IF(ISNUMBER(MATCH(TRUE,ISNUMBER(SEARCH($Q$2:$Q$51, $A253)),0))=TRUE,"United States of America",INDEX($S$2:$S$199,MATCH(TRUE,ISNUMBER(SEARCH($S$2:$S$199, $A253)),0)))),"United States of America")</f>
        <v/>
      </c>
      <c r="D253" s="18" t="str" cm="1">
        <f t="array" ref="D253">IF(A253="","",IF(ISNUMBER(MATCH(TRUE,ISNUMBER(SEARCH($Q$2:$Q$51, $A253)),0))=TRUE,"",IF(ISNUMBER(MATCH(TRUE,ISNUMBER(SEARCH($S$2:$S$199, $A253)),0))=TRUE,"","미국 확인 필요")))</f>
        <v/>
      </c>
    </row>
    <row r="254" spans="3:4">
      <c r="C254" s="18" t="str" cm="1">
        <f t="array" ref="C254">IFERROR(IF(A254="","",IF(ISNUMBER(MATCH(TRUE,ISNUMBER(SEARCH($Q$2:$Q$51, $A254)),0))=TRUE,"United States of America",INDEX($S$2:$S$199,MATCH(TRUE,ISNUMBER(SEARCH($S$2:$S$199, $A254)),0)))),"United States of America")</f>
        <v/>
      </c>
      <c r="D254" s="18" t="str" cm="1">
        <f t="array" ref="D254">IF(A254="","",IF(ISNUMBER(MATCH(TRUE,ISNUMBER(SEARCH($Q$2:$Q$51, $A254)),0))=TRUE,"",IF(ISNUMBER(MATCH(TRUE,ISNUMBER(SEARCH($S$2:$S$199, $A254)),0))=TRUE,"","미국 확인 필요")))</f>
        <v/>
      </c>
    </row>
    <row r="255" spans="3:4">
      <c r="C255" s="18" t="str" cm="1">
        <f t="array" ref="C255">IFERROR(IF(A255="","",IF(ISNUMBER(MATCH(TRUE,ISNUMBER(SEARCH($Q$2:$Q$51, $A255)),0))=TRUE,"United States of America",INDEX($S$2:$S$199,MATCH(TRUE,ISNUMBER(SEARCH($S$2:$S$199, $A255)),0)))),"United States of America")</f>
        <v/>
      </c>
      <c r="D255" s="18" t="str" cm="1">
        <f t="array" ref="D255">IF(A255="","",IF(ISNUMBER(MATCH(TRUE,ISNUMBER(SEARCH($Q$2:$Q$51, $A255)),0))=TRUE,"",IF(ISNUMBER(MATCH(TRUE,ISNUMBER(SEARCH($S$2:$S$199, $A255)),0))=TRUE,"","미국 확인 필요")))</f>
        <v/>
      </c>
    </row>
    <row r="256" spans="3:4">
      <c r="C256" s="18" t="str" cm="1">
        <f t="array" ref="C256">IFERROR(IF(A256="","",IF(ISNUMBER(MATCH(TRUE,ISNUMBER(SEARCH($Q$2:$Q$51, $A256)),0))=TRUE,"United States of America",INDEX($S$2:$S$199,MATCH(TRUE,ISNUMBER(SEARCH($S$2:$S$199, $A256)),0)))),"United States of America")</f>
        <v/>
      </c>
      <c r="D256" s="18" t="str" cm="1">
        <f t="array" ref="D256">IF(A256="","",IF(ISNUMBER(MATCH(TRUE,ISNUMBER(SEARCH($Q$2:$Q$51, $A256)),0))=TRUE,"",IF(ISNUMBER(MATCH(TRUE,ISNUMBER(SEARCH($S$2:$S$199, $A256)),0))=TRUE,"","미국 확인 필요")))</f>
        <v/>
      </c>
    </row>
    <row r="257" spans="3:4">
      <c r="C257" s="18" t="str" cm="1">
        <f t="array" ref="C257">IFERROR(IF(A257="","",IF(ISNUMBER(MATCH(TRUE,ISNUMBER(SEARCH($Q$2:$Q$51, $A257)),0))=TRUE,"United States of America",INDEX($S$2:$S$199,MATCH(TRUE,ISNUMBER(SEARCH($S$2:$S$199, $A257)),0)))),"United States of America")</f>
        <v/>
      </c>
      <c r="D257" s="18" t="str" cm="1">
        <f t="array" ref="D257">IF(A257="","",IF(ISNUMBER(MATCH(TRUE,ISNUMBER(SEARCH($Q$2:$Q$51, $A257)),0))=TRUE,"",IF(ISNUMBER(MATCH(TRUE,ISNUMBER(SEARCH($S$2:$S$199, $A257)),0))=TRUE,"","미국 확인 필요")))</f>
        <v/>
      </c>
    </row>
    <row r="258" spans="3:4">
      <c r="C258" s="18" t="str" cm="1">
        <f t="array" ref="C258">IFERROR(IF(A258="","",IF(ISNUMBER(MATCH(TRUE,ISNUMBER(SEARCH($Q$2:$Q$51, $A258)),0))=TRUE,"United States of America",INDEX($S$2:$S$199,MATCH(TRUE,ISNUMBER(SEARCH($S$2:$S$199, $A258)),0)))),"United States of America")</f>
        <v/>
      </c>
      <c r="D258" s="18" t="str" cm="1">
        <f t="array" ref="D258">IF(A258="","",IF(ISNUMBER(MATCH(TRUE,ISNUMBER(SEARCH($Q$2:$Q$51, $A258)),0))=TRUE,"",IF(ISNUMBER(MATCH(TRUE,ISNUMBER(SEARCH($S$2:$S$199, $A258)),0))=TRUE,"","미국 확인 필요")))</f>
        <v/>
      </c>
    </row>
    <row r="259" spans="3:4">
      <c r="C259" s="18" t="str" cm="1">
        <f t="array" ref="C259">IFERROR(IF(A259="","",IF(ISNUMBER(MATCH(TRUE,ISNUMBER(SEARCH($Q$2:$Q$51, $A259)),0))=TRUE,"United States of America",INDEX($S$2:$S$199,MATCH(TRUE,ISNUMBER(SEARCH($S$2:$S$199, $A259)),0)))),"United States of America")</f>
        <v/>
      </c>
      <c r="D259" s="18" t="str" cm="1">
        <f t="array" ref="D259">IF(A259="","",IF(ISNUMBER(MATCH(TRUE,ISNUMBER(SEARCH($Q$2:$Q$51, $A259)),0))=TRUE,"",IF(ISNUMBER(MATCH(TRUE,ISNUMBER(SEARCH($S$2:$S$199, $A259)),0))=TRUE,"","미국 확인 필요")))</f>
        <v/>
      </c>
    </row>
    <row r="260" spans="3:4">
      <c r="C260" s="18" t="str" cm="1">
        <f t="array" ref="C260">IFERROR(IF(A260="","",IF(ISNUMBER(MATCH(TRUE,ISNUMBER(SEARCH($Q$2:$Q$51, $A260)),0))=TRUE,"United States of America",INDEX($S$2:$S$199,MATCH(TRUE,ISNUMBER(SEARCH($S$2:$S$199, $A260)),0)))),"United States of America")</f>
        <v/>
      </c>
      <c r="D260" s="18" t="str" cm="1">
        <f t="array" ref="D260">IF(A260="","",IF(ISNUMBER(MATCH(TRUE,ISNUMBER(SEARCH($Q$2:$Q$51, $A260)),0))=TRUE,"",IF(ISNUMBER(MATCH(TRUE,ISNUMBER(SEARCH($S$2:$S$199, $A260)),0))=TRUE,"","미국 확인 필요")))</f>
        <v/>
      </c>
    </row>
    <row r="261" spans="3:4">
      <c r="C261" s="18" t="str" cm="1">
        <f t="array" ref="C261">IFERROR(IF(A261="","",IF(ISNUMBER(MATCH(TRUE,ISNUMBER(SEARCH($Q$2:$Q$51, $A261)),0))=TRUE,"United States of America",INDEX($S$2:$S$199,MATCH(TRUE,ISNUMBER(SEARCH($S$2:$S$199, $A261)),0)))),"United States of America")</f>
        <v/>
      </c>
      <c r="D261" s="18" t="str" cm="1">
        <f t="array" ref="D261">IF(A261="","",IF(ISNUMBER(MATCH(TRUE,ISNUMBER(SEARCH($Q$2:$Q$51, $A261)),0))=TRUE,"",IF(ISNUMBER(MATCH(TRUE,ISNUMBER(SEARCH($S$2:$S$199, $A261)),0))=TRUE,"","미국 확인 필요")))</f>
        <v/>
      </c>
    </row>
    <row r="262" spans="3:4">
      <c r="C262" s="18" t="str" cm="1">
        <f t="array" ref="C262">IFERROR(IF(A262="","",IF(ISNUMBER(MATCH(TRUE,ISNUMBER(SEARCH($Q$2:$Q$51, $A262)),0))=TRUE,"United States of America",INDEX($S$2:$S$199,MATCH(TRUE,ISNUMBER(SEARCH($S$2:$S$199, $A262)),0)))),"United States of America")</f>
        <v/>
      </c>
      <c r="D262" s="18" t="str" cm="1">
        <f t="array" ref="D262">IF(A262="","",IF(ISNUMBER(MATCH(TRUE,ISNUMBER(SEARCH($Q$2:$Q$51, $A262)),0))=TRUE,"",IF(ISNUMBER(MATCH(TRUE,ISNUMBER(SEARCH($S$2:$S$199, $A262)),0))=TRUE,"","미국 확인 필요")))</f>
        <v/>
      </c>
    </row>
    <row r="263" spans="3:4">
      <c r="C263" s="18" t="str" cm="1">
        <f t="array" ref="C263">IFERROR(IF(A263="","",IF(ISNUMBER(MATCH(TRUE,ISNUMBER(SEARCH($Q$2:$Q$51, $A263)),0))=TRUE,"United States of America",INDEX($S$2:$S$199,MATCH(TRUE,ISNUMBER(SEARCH($S$2:$S$199, $A263)),0)))),"United States of America")</f>
        <v/>
      </c>
      <c r="D263" s="18" t="str" cm="1">
        <f t="array" ref="D263">IF(A263="","",IF(ISNUMBER(MATCH(TRUE,ISNUMBER(SEARCH($Q$2:$Q$51, $A263)),0))=TRUE,"",IF(ISNUMBER(MATCH(TRUE,ISNUMBER(SEARCH($S$2:$S$199, $A263)),0))=TRUE,"","미국 확인 필요")))</f>
        <v/>
      </c>
    </row>
    <row r="264" spans="3:4">
      <c r="C264" s="18" t="str" cm="1">
        <f t="array" ref="C264">IFERROR(IF(A264="","",IF(ISNUMBER(MATCH(TRUE,ISNUMBER(SEARCH($Q$2:$Q$51, $A264)),0))=TRUE,"United States of America",INDEX($S$2:$S$199,MATCH(TRUE,ISNUMBER(SEARCH($S$2:$S$199, $A264)),0)))),"United States of America")</f>
        <v/>
      </c>
      <c r="D264" s="18" t="str" cm="1">
        <f t="array" ref="D264">IF(A264="","",IF(ISNUMBER(MATCH(TRUE,ISNUMBER(SEARCH($Q$2:$Q$51, $A264)),0))=TRUE,"",IF(ISNUMBER(MATCH(TRUE,ISNUMBER(SEARCH($S$2:$S$199, $A264)),0))=TRUE,"","미국 확인 필요")))</f>
        <v/>
      </c>
    </row>
    <row r="265" spans="3:4">
      <c r="C265" s="18" t="str" cm="1">
        <f t="array" ref="C265">IFERROR(IF(A265="","",IF(ISNUMBER(MATCH(TRUE,ISNUMBER(SEARCH($Q$2:$Q$51, $A265)),0))=TRUE,"United States of America",INDEX($S$2:$S$199,MATCH(TRUE,ISNUMBER(SEARCH($S$2:$S$199, $A265)),0)))),"United States of America")</f>
        <v/>
      </c>
      <c r="D265" s="18" t="str" cm="1">
        <f t="array" ref="D265">IF(A265="","",IF(ISNUMBER(MATCH(TRUE,ISNUMBER(SEARCH($Q$2:$Q$51, $A265)),0))=TRUE,"",IF(ISNUMBER(MATCH(TRUE,ISNUMBER(SEARCH($S$2:$S$199, $A265)),0))=TRUE,"","미국 확인 필요")))</f>
        <v/>
      </c>
    </row>
    <row r="266" spans="3:4">
      <c r="C266" s="18" t="str" cm="1">
        <f t="array" ref="C266">IFERROR(IF(A266="","",IF(ISNUMBER(MATCH(TRUE,ISNUMBER(SEARCH($Q$2:$Q$51, $A266)),0))=TRUE,"United States of America",INDEX($S$2:$S$199,MATCH(TRUE,ISNUMBER(SEARCH($S$2:$S$199, $A266)),0)))),"United States of America")</f>
        <v/>
      </c>
      <c r="D266" s="18" t="str" cm="1">
        <f t="array" ref="D266">IF(A266="","",IF(ISNUMBER(MATCH(TRUE,ISNUMBER(SEARCH($Q$2:$Q$51, $A266)),0))=TRUE,"",IF(ISNUMBER(MATCH(TRUE,ISNUMBER(SEARCH($S$2:$S$199, $A266)),0))=TRUE,"","미국 확인 필요")))</f>
        <v/>
      </c>
    </row>
    <row r="267" spans="3:4">
      <c r="C267" s="18" t="str" cm="1">
        <f t="array" ref="C267">IFERROR(IF(A267="","",IF(ISNUMBER(MATCH(TRUE,ISNUMBER(SEARCH($Q$2:$Q$51, $A267)),0))=TRUE,"United States of America",INDEX($S$2:$S$199,MATCH(TRUE,ISNUMBER(SEARCH($S$2:$S$199, $A267)),0)))),"United States of America")</f>
        <v/>
      </c>
      <c r="D267" s="18" t="str" cm="1">
        <f t="array" ref="D267">IF(A267="","",IF(ISNUMBER(MATCH(TRUE,ISNUMBER(SEARCH($Q$2:$Q$51, $A267)),0))=TRUE,"",IF(ISNUMBER(MATCH(TRUE,ISNUMBER(SEARCH($S$2:$S$199, $A267)),0))=TRUE,"","미국 확인 필요")))</f>
        <v/>
      </c>
    </row>
    <row r="268" spans="3:4">
      <c r="C268" s="18" t="str" cm="1">
        <f t="array" ref="C268">IFERROR(IF(A268="","",IF(ISNUMBER(MATCH(TRUE,ISNUMBER(SEARCH($Q$2:$Q$51, $A268)),0))=TRUE,"United States of America",INDEX($S$2:$S$199,MATCH(TRUE,ISNUMBER(SEARCH($S$2:$S$199, $A268)),0)))),"United States of America")</f>
        <v/>
      </c>
      <c r="D268" s="18" t="str" cm="1">
        <f t="array" ref="D268">IF(A268="","",IF(ISNUMBER(MATCH(TRUE,ISNUMBER(SEARCH($Q$2:$Q$51, $A268)),0))=TRUE,"",IF(ISNUMBER(MATCH(TRUE,ISNUMBER(SEARCH($S$2:$S$199, $A268)),0))=TRUE,"","미국 확인 필요")))</f>
        <v/>
      </c>
    </row>
    <row r="269" spans="3:4">
      <c r="C269" s="18" t="str" cm="1">
        <f t="array" ref="C269">IFERROR(IF(A269="","",IF(ISNUMBER(MATCH(TRUE,ISNUMBER(SEARCH($Q$2:$Q$51, $A269)),0))=TRUE,"United States of America",INDEX($S$2:$S$199,MATCH(TRUE,ISNUMBER(SEARCH($S$2:$S$199, $A269)),0)))),"United States of America")</f>
        <v/>
      </c>
      <c r="D269" s="18" t="str" cm="1">
        <f t="array" ref="D269">IF(A269="","",IF(ISNUMBER(MATCH(TRUE,ISNUMBER(SEARCH($Q$2:$Q$51, $A269)),0))=TRUE,"",IF(ISNUMBER(MATCH(TRUE,ISNUMBER(SEARCH($S$2:$S$199, $A269)),0))=TRUE,"","미국 확인 필요")))</f>
        <v/>
      </c>
    </row>
    <row r="270" spans="3:4">
      <c r="C270" s="18" t="str" cm="1">
        <f t="array" ref="C270">IFERROR(IF(A270="","",IF(ISNUMBER(MATCH(TRUE,ISNUMBER(SEARCH($Q$2:$Q$51, $A270)),0))=TRUE,"United States of America",INDEX($S$2:$S$199,MATCH(TRUE,ISNUMBER(SEARCH($S$2:$S$199, $A270)),0)))),"United States of America")</f>
        <v/>
      </c>
      <c r="D270" s="18" t="str" cm="1">
        <f t="array" ref="D270">IF(A270="","",IF(ISNUMBER(MATCH(TRUE,ISNUMBER(SEARCH($Q$2:$Q$51, $A270)),0))=TRUE,"",IF(ISNUMBER(MATCH(TRUE,ISNUMBER(SEARCH($S$2:$S$199, $A270)),0))=TRUE,"","미국 확인 필요")))</f>
        <v/>
      </c>
    </row>
    <row r="271" spans="3:4">
      <c r="C271" s="18" t="str" cm="1">
        <f t="array" ref="C271">IFERROR(IF(A271="","",IF(ISNUMBER(MATCH(TRUE,ISNUMBER(SEARCH($Q$2:$Q$51, $A271)),0))=TRUE,"United States of America",INDEX($S$2:$S$199,MATCH(TRUE,ISNUMBER(SEARCH($S$2:$S$199, $A271)),0)))),"United States of America")</f>
        <v/>
      </c>
      <c r="D271" s="18" t="str" cm="1">
        <f t="array" ref="D271">IF(A271="","",IF(ISNUMBER(MATCH(TRUE,ISNUMBER(SEARCH($Q$2:$Q$51, $A271)),0))=TRUE,"",IF(ISNUMBER(MATCH(TRUE,ISNUMBER(SEARCH($S$2:$S$199, $A271)),0))=TRUE,"","미국 확인 필요")))</f>
        <v/>
      </c>
    </row>
    <row r="272" spans="3:4">
      <c r="C272" s="18" t="str" cm="1">
        <f t="array" ref="C272">IFERROR(IF(A272="","",IF(ISNUMBER(MATCH(TRUE,ISNUMBER(SEARCH($Q$2:$Q$51, $A272)),0))=TRUE,"United States of America",INDEX($S$2:$S$199,MATCH(TRUE,ISNUMBER(SEARCH($S$2:$S$199, $A272)),0)))),"United States of America")</f>
        <v/>
      </c>
      <c r="D272" s="18" t="str" cm="1">
        <f t="array" ref="D272">IF(A272="","",IF(ISNUMBER(MATCH(TRUE,ISNUMBER(SEARCH($Q$2:$Q$51, $A272)),0))=TRUE,"",IF(ISNUMBER(MATCH(TRUE,ISNUMBER(SEARCH($S$2:$S$199, $A272)),0))=TRUE,"","미국 확인 필요")))</f>
        <v/>
      </c>
    </row>
    <row r="273" spans="3:4">
      <c r="C273" s="18" t="str" cm="1">
        <f t="array" ref="C273">IFERROR(IF(A273="","",IF(ISNUMBER(MATCH(TRUE,ISNUMBER(SEARCH($Q$2:$Q$51, $A273)),0))=TRUE,"United States of America",INDEX($S$2:$S$199,MATCH(TRUE,ISNUMBER(SEARCH($S$2:$S$199, $A273)),0)))),"United States of America")</f>
        <v/>
      </c>
      <c r="D273" s="18" t="str" cm="1">
        <f t="array" ref="D273">IF(A273="","",IF(ISNUMBER(MATCH(TRUE,ISNUMBER(SEARCH($Q$2:$Q$51, $A273)),0))=TRUE,"",IF(ISNUMBER(MATCH(TRUE,ISNUMBER(SEARCH($S$2:$S$199, $A273)),0))=TRUE,"","미국 확인 필요")))</f>
        <v/>
      </c>
    </row>
    <row r="274" spans="3:4">
      <c r="C274" s="18" t="str" cm="1">
        <f t="array" ref="C274">IFERROR(IF(A274="","",IF(ISNUMBER(MATCH(TRUE,ISNUMBER(SEARCH($Q$2:$Q$51, $A274)),0))=TRUE,"United States of America",INDEX($S$2:$S$199,MATCH(TRUE,ISNUMBER(SEARCH($S$2:$S$199, $A274)),0)))),"United States of America")</f>
        <v/>
      </c>
      <c r="D274" s="18" t="str" cm="1">
        <f t="array" ref="D274">IF(A274="","",IF(ISNUMBER(MATCH(TRUE,ISNUMBER(SEARCH($Q$2:$Q$51, $A274)),0))=TRUE,"",IF(ISNUMBER(MATCH(TRUE,ISNUMBER(SEARCH($S$2:$S$199, $A274)),0))=TRUE,"","미국 확인 필요")))</f>
        <v/>
      </c>
    </row>
    <row r="275" spans="3:4">
      <c r="C275" s="18" t="str" cm="1">
        <f t="array" ref="C275">IFERROR(IF(A275="","",IF(ISNUMBER(MATCH(TRUE,ISNUMBER(SEARCH($Q$2:$Q$51, $A275)),0))=TRUE,"United States of America",INDEX($S$2:$S$199,MATCH(TRUE,ISNUMBER(SEARCH($S$2:$S$199, $A275)),0)))),"United States of America")</f>
        <v/>
      </c>
      <c r="D275" s="18" t="str" cm="1">
        <f t="array" ref="D275">IF(A275="","",IF(ISNUMBER(MATCH(TRUE,ISNUMBER(SEARCH($Q$2:$Q$51, $A275)),0))=TRUE,"",IF(ISNUMBER(MATCH(TRUE,ISNUMBER(SEARCH($S$2:$S$199, $A275)),0))=TRUE,"","미국 확인 필요")))</f>
        <v/>
      </c>
    </row>
    <row r="276" spans="3:4">
      <c r="C276" s="18" t="str" cm="1">
        <f t="array" ref="C276">IFERROR(IF(A276="","",IF(ISNUMBER(MATCH(TRUE,ISNUMBER(SEARCH($Q$2:$Q$51, $A276)),0))=TRUE,"United States of America",INDEX($S$2:$S$199,MATCH(TRUE,ISNUMBER(SEARCH($S$2:$S$199, $A276)),0)))),"United States of America")</f>
        <v/>
      </c>
      <c r="D276" s="18" t="str" cm="1">
        <f t="array" ref="D276">IF(A276="","",IF(ISNUMBER(MATCH(TRUE,ISNUMBER(SEARCH($Q$2:$Q$51, $A276)),0))=TRUE,"",IF(ISNUMBER(MATCH(TRUE,ISNUMBER(SEARCH($S$2:$S$199, $A276)),0))=TRUE,"","미국 확인 필요")))</f>
        <v/>
      </c>
    </row>
    <row r="277" spans="3:4">
      <c r="C277" s="18" t="str" cm="1">
        <f t="array" ref="C277">IFERROR(IF(A277="","",IF(ISNUMBER(MATCH(TRUE,ISNUMBER(SEARCH($Q$2:$Q$51, $A277)),0))=TRUE,"United States of America",INDEX($S$2:$S$199,MATCH(TRUE,ISNUMBER(SEARCH($S$2:$S$199, $A277)),0)))),"United States of America")</f>
        <v/>
      </c>
      <c r="D277" s="18" t="str" cm="1">
        <f t="array" ref="D277">IF(A277="","",IF(ISNUMBER(MATCH(TRUE,ISNUMBER(SEARCH($Q$2:$Q$51, $A277)),0))=TRUE,"",IF(ISNUMBER(MATCH(TRUE,ISNUMBER(SEARCH($S$2:$S$199, $A277)),0))=TRUE,"","미국 확인 필요")))</f>
        <v/>
      </c>
    </row>
    <row r="278" spans="3:4">
      <c r="C278" s="18" t="str" cm="1">
        <f t="array" ref="C278">IFERROR(IF(A278="","",IF(ISNUMBER(MATCH(TRUE,ISNUMBER(SEARCH($Q$2:$Q$51, $A278)),0))=TRUE,"United States of America",INDEX($S$2:$S$199,MATCH(TRUE,ISNUMBER(SEARCH($S$2:$S$199, $A278)),0)))),"United States of America")</f>
        <v/>
      </c>
      <c r="D278" s="18" t="str" cm="1">
        <f t="array" ref="D278">IF(A278="","",IF(ISNUMBER(MATCH(TRUE,ISNUMBER(SEARCH($Q$2:$Q$51, $A278)),0))=TRUE,"",IF(ISNUMBER(MATCH(TRUE,ISNUMBER(SEARCH($S$2:$S$199, $A278)),0))=TRUE,"","미국 확인 필요")))</f>
        <v/>
      </c>
    </row>
    <row r="279" spans="3:4">
      <c r="C279" s="18" t="str" cm="1">
        <f t="array" ref="C279">IFERROR(IF(A279="","",IF(ISNUMBER(MATCH(TRUE,ISNUMBER(SEARCH($Q$2:$Q$51, $A279)),0))=TRUE,"United States of America",INDEX($S$2:$S$199,MATCH(TRUE,ISNUMBER(SEARCH($S$2:$S$199, $A279)),0)))),"United States of America")</f>
        <v/>
      </c>
      <c r="D279" s="18" t="str" cm="1">
        <f t="array" ref="D279">IF(A279="","",IF(ISNUMBER(MATCH(TRUE,ISNUMBER(SEARCH($Q$2:$Q$51, $A279)),0))=TRUE,"",IF(ISNUMBER(MATCH(TRUE,ISNUMBER(SEARCH($S$2:$S$199, $A279)),0))=TRUE,"","미국 확인 필요")))</f>
        <v/>
      </c>
    </row>
    <row r="280" spans="3:4">
      <c r="C280" s="18" t="str" cm="1">
        <f t="array" ref="C280">IFERROR(IF(A280="","",IF(ISNUMBER(MATCH(TRUE,ISNUMBER(SEARCH($Q$2:$Q$51, $A280)),0))=TRUE,"United States of America",INDEX($S$2:$S$199,MATCH(TRUE,ISNUMBER(SEARCH($S$2:$S$199, $A280)),0)))),"United States of America")</f>
        <v/>
      </c>
      <c r="D280" s="18" t="str" cm="1">
        <f t="array" ref="D280">IF(A280="","",IF(ISNUMBER(MATCH(TRUE,ISNUMBER(SEARCH($Q$2:$Q$51, $A280)),0))=TRUE,"",IF(ISNUMBER(MATCH(TRUE,ISNUMBER(SEARCH($S$2:$S$199, $A280)),0))=TRUE,"","미국 확인 필요")))</f>
        <v/>
      </c>
    </row>
    <row r="281" spans="3:4">
      <c r="C281" s="18" t="str" cm="1">
        <f t="array" ref="C281">IFERROR(IF(A281="","",IF(ISNUMBER(MATCH(TRUE,ISNUMBER(SEARCH($Q$2:$Q$51, $A281)),0))=TRUE,"United States of America",INDEX($S$2:$S$199,MATCH(TRUE,ISNUMBER(SEARCH($S$2:$S$199, $A281)),0)))),"United States of America")</f>
        <v/>
      </c>
      <c r="D281" s="18" t="str" cm="1">
        <f t="array" ref="D281">IF(A281="","",IF(ISNUMBER(MATCH(TRUE,ISNUMBER(SEARCH($Q$2:$Q$51, $A281)),0))=TRUE,"",IF(ISNUMBER(MATCH(TRUE,ISNUMBER(SEARCH($S$2:$S$199, $A281)),0))=TRUE,"","미국 확인 필요")))</f>
        <v/>
      </c>
    </row>
    <row r="282" spans="3:4">
      <c r="C282" s="18" t="str" cm="1">
        <f t="array" ref="C282">IFERROR(IF(A282="","",IF(ISNUMBER(MATCH(TRUE,ISNUMBER(SEARCH($Q$2:$Q$51, $A282)),0))=TRUE,"United States of America",INDEX($S$2:$S$199,MATCH(TRUE,ISNUMBER(SEARCH($S$2:$S$199, $A282)),0)))),"United States of America")</f>
        <v/>
      </c>
      <c r="D282" s="18" t="str" cm="1">
        <f t="array" ref="D282">IF(A282="","",IF(ISNUMBER(MATCH(TRUE,ISNUMBER(SEARCH($Q$2:$Q$51, $A282)),0))=TRUE,"",IF(ISNUMBER(MATCH(TRUE,ISNUMBER(SEARCH($S$2:$S$199, $A282)),0))=TRUE,"","미국 확인 필요")))</f>
        <v/>
      </c>
    </row>
    <row r="283" spans="3:4">
      <c r="C283" s="18" t="str" cm="1">
        <f t="array" ref="C283">IFERROR(IF(A283="","",IF(ISNUMBER(MATCH(TRUE,ISNUMBER(SEARCH($Q$2:$Q$51, $A283)),0))=TRUE,"United States of America",INDEX($S$2:$S$199,MATCH(TRUE,ISNUMBER(SEARCH($S$2:$S$199, $A283)),0)))),"United States of America")</f>
        <v/>
      </c>
      <c r="D283" s="18" t="str" cm="1">
        <f t="array" ref="D283">IF(A283="","",IF(ISNUMBER(MATCH(TRUE,ISNUMBER(SEARCH($Q$2:$Q$51, $A283)),0))=TRUE,"",IF(ISNUMBER(MATCH(TRUE,ISNUMBER(SEARCH($S$2:$S$199, $A283)),0))=TRUE,"","미국 확인 필요")))</f>
        <v/>
      </c>
    </row>
    <row r="284" spans="3:4">
      <c r="C284" s="18" t="str" cm="1">
        <f t="array" ref="C284">IFERROR(IF(A284="","",IF(ISNUMBER(MATCH(TRUE,ISNUMBER(SEARCH($Q$2:$Q$51, $A284)),0))=TRUE,"United States of America",INDEX($S$2:$S$199,MATCH(TRUE,ISNUMBER(SEARCH($S$2:$S$199, $A284)),0)))),"United States of America")</f>
        <v/>
      </c>
      <c r="D284" s="18" t="str" cm="1">
        <f t="array" ref="D284">IF(A284="","",IF(ISNUMBER(MATCH(TRUE,ISNUMBER(SEARCH($Q$2:$Q$51, $A284)),0))=TRUE,"",IF(ISNUMBER(MATCH(TRUE,ISNUMBER(SEARCH($S$2:$S$199, $A284)),0))=TRUE,"","미국 확인 필요")))</f>
        <v/>
      </c>
    </row>
    <row r="285" spans="3:4">
      <c r="C285" s="18" t="str" cm="1">
        <f t="array" ref="C285">IFERROR(IF(A285="","",IF(ISNUMBER(MATCH(TRUE,ISNUMBER(SEARCH($Q$2:$Q$51, $A285)),0))=TRUE,"United States of America",INDEX($S$2:$S$199,MATCH(TRUE,ISNUMBER(SEARCH($S$2:$S$199, $A285)),0)))),"United States of America")</f>
        <v/>
      </c>
      <c r="D285" s="18" t="str" cm="1">
        <f t="array" ref="D285">IF(A285="","",IF(ISNUMBER(MATCH(TRUE,ISNUMBER(SEARCH($Q$2:$Q$51, $A285)),0))=TRUE,"",IF(ISNUMBER(MATCH(TRUE,ISNUMBER(SEARCH($S$2:$S$199, $A285)),0))=TRUE,"","미국 확인 필요")))</f>
        <v/>
      </c>
    </row>
    <row r="286" spans="3:4">
      <c r="C286" s="18" t="str" cm="1">
        <f t="array" ref="C286">IFERROR(IF(A286="","",IF(ISNUMBER(MATCH(TRUE,ISNUMBER(SEARCH($Q$2:$Q$51, $A286)),0))=TRUE,"United States of America",INDEX($S$2:$S$199,MATCH(TRUE,ISNUMBER(SEARCH($S$2:$S$199, $A286)),0)))),"United States of America")</f>
        <v/>
      </c>
      <c r="D286" s="18" t="str" cm="1">
        <f t="array" ref="D286">IF(A286="","",IF(ISNUMBER(MATCH(TRUE,ISNUMBER(SEARCH($Q$2:$Q$51, $A286)),0))=TRUE,"",IF(ISNUMBER(MATCH(TRUE,ISNUMBER(SEARCH($S$2:$S$199, $A286)),0))=TRUE,"","미국 확인 필요")))</f>
        <v/>
      </c>
    </row>
    <row r="287" spans="3:4">
      <c r="C287" s="18" t="str" cm="1">
        <f t="array" ref="C287">IFERROR(IF(A287="","",IF(ISNUMBER(MATCH(TRUE,ISNUMBER(SEARCH($Q$2:$Q$51, $A287)),0))=TRUE,"United States of America",INDEX($S$2:$S$199,MATCH(TRUE,ISNUMBER(SEARCH($S$2:$S$199, $A287)),0)))),"United States of America")</f>
        <v/>
      </c>
      <c r="D287" s="18" t="str" cm="1">
        <f t="array" ref="D287">IF(A287="","",IF(ISNUMBER(MATCH(TRUE,ISNUMBER(SEARCH($Q$2:$Q$51, $A287)),0))=TRUE,"",IF(ISNUMBER(MATCH(TRUE,ISNUMBER(SEARCH($S$2:$S$199, $A287)),0))=TRUE,"","미국 확인 필요")))</f>
        <v/>
      </c>
    </row>
    <row r="288" spans="3:4">
      <c r="C288" s="18" t="str" cm="1">
        <f t="array" ref="C288">IFERROR(IF(A288="","",IF(ISNUMBER(MATCH(TRUE,ISNUMBER(SEARCH($Q$2:$Q$51, $A288)),0))=TRUE,"United States of America",INDEX($S$2:$S$199,MATCH(TRUE,ISNUMBER(SEARCH($S$2:$S$199, $A288)),0)))),"United States of America")</f>
        <v/>
      </c>
      <c r="D288" s="18" t="str" cm="1">
        <f t="array" ref="D288">IF(A288="","",IF(ISNUMBER(MATCH(TRUE,ISNUMBER(SEARCH($Q$2:$Q$51, $A288)),0))=TRUE,"",IF(ISNUMBER(MATCH(TRUE,ISNUMBER(SEARCH($S$2:$S$199, $A288)),0))=TRUE,"","미국 확인 필요")))</f>
        <v/>
      </c>
    </row>
    <row r="289" spans="3:4">
      <c r="C289" s="18" t="str" cm="1">
        <f t="array" ref="C289">IFERROR(IF(A289="","",IF(ISNUMBER(MATCH(TRUE,ISNUMBER(SEARCH($Q$2:$Q$51, $A289)),0))=TRUE,"United States of America",INDEX($S$2:$S$199,MATCH(TRUE,ISNUMBER(SEARCH($S$2:$S$199, $A289)),0)))),"United States of America")</f>
        <v/>
      </c>
      <c r="D289" s="18" t="str" cm="1">
        <f t="array" ref="D289">IF(A289="","",IF(ISNUMBER(MATCH(TRUE,ISNUMBER(SEARCH($Q$2:$Q$51, $A289)),0))=TRUE,"",IF(ISNUMBER(MATCH(TRUE,ISNUMBER(SEARCH($S$2:$S$199, $A289)),0))=TRUE,"","미국 확인 필요")))</f>
        <v/>
      </c>
    </row>
    <row r="290" spans="3:4">
      <c r="C290" s="18" t="str" cm="1">
        <f t="array" ref="C290">IFERROR(IF(A290="","",IF(ISNUMBER(MATCH(TRUE,ISNUMBER(SEARCH($Q$2:$Q$51, $A290)),0))=TRUE,"United States of America",INDEX($S$2:$S$199,MATCH(TRUE,ISNUMBER(SEARCH($S$2:$S$199, $A290)),0)))),"United States of America")</f>
        <v/>
      </c>
      <c r="D290" s="18" t="str" cm="1">
        <f t="array" ref="D290">IF(A290="","",IF(ISNUMBER(MATCH(TRUE,ISNUMBER(SEARCH($Q$2:$Q$51, $A290)),0))=TRUE,"",IF(ISNUMBER(MATCH(TRUE,ISNUMBER(SEARCH($S$2:$S$199, $A290)),0))=TRUE,"","미국 확인 필요")))</f>
        <v/>
      </c>
    </row>
    <row r="291" spans="3:4">
      <c r="C291" s="18" t="str" cm="1">
        <f t="array" ref="C291">IFERROR(IF(A291="","",IF(ISNUMBER(MATCH(TRUE,ISNUMBER(SEARCH($Q$2:$Q$51, $A291)),0))=TRUE,"United States of America",INDEX($S$2:$S$199,MATCH(TRUE,ISNUMBER(SEARCH($S$2:$S$199, $A291)),0)))),"United States of America")</f>
        <v/>
      </c>
      <c r="D291" s="18" t="str" cm="1">
        <f t="array" ref="D291">IF(A291="","",IF(ISNUMBER(MATCH(TRUE,ISNUMBER(SEARCH($Q$2:$Q$51, $A291)),0))=TRUE,"",IF(ISNUMBER(MATCH(TRUE,ISNUMBER(SEARCH($S$2:$S$199, $A291)),0))=TRUE,"","미국 확인 필요")))</f>
        <v/>
      </c>
    </row>
    <row r="292" spans="3:4">
      <c r="C292" s="18" t="str" cm="1">
        <f t="array" ref="C292">IFERROR(IF(A292="","",IF(ISNUMBER(MATCH(TRUE,ISNUMBER(SEARCH($Q$2:$Q$51, $A292)),0))=TRUE,"United States of America",INDEX($S$2:$S$199,MATCH(TRUE,ISNUMBER(SEARCH($S$2:$S$199, $A292)),0)))),"United States of America")</f>
        <v/>
      </c>
      <c r="D292" s="18" t="str" cm="1">
        <f t="array" ref="D292">IF(A292="","",IF(ISNUMBER(MATCH(TRUE,ISNUMBER(SEARCH($Q$2:$Q$51, $A292)),0))=TRUE,"",IF(ISNUMBER(MATCH(TRUE,ISNUMBER(SEARCH($S$2:$S$199, $A292)),0))=TRUE,"","미국 확인 필요")))</f>
        <v/>
      </c>
    </row>
    <row r="293" spans="3:4">
      <c r="C293" s="18" t="str" cm="1">
        <f t="array" ref="C293">IFERROR(IF(A293="","",IF(ISNUMBER(MATCH(TRUE,ISNUMBER(SEARCH($Q$2:$Q$51, $A293)),0))=TRUE,"United States of America",INDEX($S$2:$S$199,MATCH(TRUE,ISNUMBER(SEARCH($S$2:$S$199, $A293)),0)))),"United States of America")</f>
        <v/>
      </c>
      <c r="D293" s="18" t="str" cm="1">
        <f t="array" ref="D293">IF(A293="","",IF(ISNUMBER(MATCH(TRUE,ISNUMBER(SEARCH($Q$2:$Q$51, $A293)),0))=TRUE,"",IF(ISNUMBER(MATCH(TRUE,ISNUMBER(SEARCH($S$2:$S$199, $A293)),0))=TRUE,"","미국 확인 필요")))</f>
        <v/>
      </c>
    </row>
    <row r="294" spans="3:4">
      <c r="C294" s="18" t="str" cm="1">
        <f t="array" ref="C294">IFERROR(IF(A294="","",IF(ISNUMBER(MATCH(TRUE,ISNUMBER(SEARCH($Q$2:$Q$51, $A294)),0))=TRUE,"United States of America",INDEX($S$2:$S$199,MATCH(TRUE,ISNUMBER(SEARCH($S$2:$S$199, $A294)),0)))),"United States of America")</f>
        <v/>
      </c>
      <c r="D294" s="18" t="str" cm="1">
        <f t="array" ref="D294">IF(A294="","",IF(ISNUMBER(MATCH(TRUE,ISNUMBER(SEARCH($Q$2:$Q$51, $A294)),0))=TRUE,"",IF(ISNUMBER(MATCH(TRUE,ISNUMBER(SEARCH($S$2:$S$199, $A294)),0))=TRUE,"","미국 확인 필요")))</f>
        <v/>
      </c>
    </row>
    <row r="295" spans="3:4">
      <c r="C295" s="18" t="str" cm="1">
        <f t="array" ref="C295">IFERROR(IF(A295="","",IF(ISNUMBER(MATCH(TRUE,ISNUMBER(SEARCH($Q$2:$Q$51, $A295)),0))=TRUE,"United States of America",INDEX($S$2:$S$199,MATCH(TRUE,ISNUMBER(SEARCH($S$2:$S$199, $A295)),0)))),"United States of America")</f>
        <v/>
      </c>
      <c r="D295" s="18" t="str" cm="1">
        <f t="array" ref="D295">IF(A295="","",IF(ISNUMBER(MATCH(TRUE,ISNUMBER(SEARCH($Q$2:$Q$51, $A295)),0))=TRUE,"",IF(ISNUMBER(MATCH(TRUE,ISNUMBER(SEARCH($S$2:$S$199, $A295)),0))=TRUE,"","미국 확인 필요")))</f>
        <v/>
      </c>
    </row>
    <row r="296" spans="3:4">
      <c r="C296" s="18" t="str" cm="1">
        <f t="array" ref="C296">IFERROR(IF(A296="","",IF(ISNUMBER(MATCH(TRUE,ISNUMBER(SEARCH($Q$2:$Q$51, $A296)),0))=TRUE,"United States of America",INDEX($S$2:$S$199,MATCH(TRUE,ISNUMBER(SEARCH($S$2:$S$199, $A296)),0)))),"United States of America")</f>
        <v/>
      </c>
      <c r="D296" s="18" t="str" cm="1">
        <f t="array" ref="D296">IF(A296="","",IF(ISNUMBER(MATCH(TRUE,ISNUMBER(SEARCH($Q$2:$Q$51, $A296)),0))=TRUE,"",IF(ISNUMBER(MATCH(TRUE,ISNUMBER(SEARCH($S$2:$S$199, $A296)),0))=TRUE,"","미국 확인 필요")))</f>
        <v/>
      </c>
    </row>
    <row r="297" spans="3:4">
      <c r="C297" s="18" t="str" cm="1">
        <f t="array" ref="C297">IFERROR(IF(A297="","",IF(ISNUMBER(MATCH(TRUE,ISNUMBER(SEARCH($Q$2:$Q$51, $A297)),0))=TRUE,"United States of America",INDEX($S$2:$S$199,MATCH(TRUE,ISNUMBER(SEARCH($S$2:$S$199, $A297)),0)))),"United States of America")</f>
        <v/>
      </c>
      <c r="D297" s="18" t="str" cm="1">
        <f t="array" ref="D297">IF(A297="","",IF(ISNUMBER(MATCH(TRUE,ISNUMBER(SEARCH($Q$2:$Q$51, $A297)),0))=TRUE,"",IF(ISNUMBER(MATCH(TRUE,ISNUMBER(SEARCH($S$2:$S$199, $A297)),0))=TRUE,"","미국 확인 필요")))</f>
        <v/>
      </c>
    </row>
    <row r="298" spans="3:4">
      <c r="C298" s="18" t="str" cm="1">
        <f t="array" ref="C298">IFERROR(IF(A298="","",IF(ISNUMBER(MATCH(TRUE,ISNUMBER(SEARCH($Q$2:$Q$51, $A298)),0))=TRUE,"United States of America",INDEX($S$2:$S$199,MATCH(TRUE,ISNUMBER(SEARCH($S$2:$S$199, $A298)),0)))),"United States of America")</f>
        <v/>
      </c>
      <c r="D298" s="18" t="str" cm="1">
        <f t="array" ref="D298">IF(A298="","",IF(ISNUMBER(MATCH(TRUE,ISNUMBER(SEARCH($Q$2:$Q$51, $A298)),0))=TRUE,"",IF(ISNUMBER(MATCH(TRUE,ISNUMBER(SEARCH($S$2:$S$199, $A298)),0))=TRUE,"","미국 확인 필요")))</f>
        <v/>
      </c>
    </row>
    <row r="299" spans="3:4">
      <c r="C299" s="18" t="str" cm="1">
        <f t="array" ref="C299">IFERROR(IF(A299="","",IF(ISNUMBER(MATCH(TRUE,ISNUMBER(SEARCH($Q$2:$Q$51, $A299)),0))=TRUE,"United States of America",INDEX($S$2:$S$199,MATCH(TRUE,ISNUMBER(SEARCH($S$2:$S$199, $A299)),0)))),"United States of America")</f>
        <v/>
      </c>
      <c r="D299" s="18" t="str" cm="1">
        <f t="array" ref="D299">IF(A299="","",IF(ISNUMBER(MATCH(TRUE,ISNUMBER(SEARCH($Q$2:$Q$51, $A299)),0))=TRUE,"",IF(ISNUMBER(MATCH(TRUE,ISNUMBER(SEARCH($S$2:$S$199, $A299)),0))=TRUE,"","미국 확인 필요")))</f>
        <v/>
      </c>
    </row>
    <row r="300" spans="3:4">
      <c r="C300" s="18" t="str" cm="1">
        <f t="array" ref="C300">IFERROR(IF(A300="","",IF(ISNUMBER(MATCH(TRUE,ISNUMBER(SEARCH($Q$2:$Q$51, $A300)),0))=TRUE,"United States of America",INDEX($S$2:$S$199,MATCH(TRUE,ISNUMBER(SEARCH($S$2:$S$199, $A300)),0)))),"United States of America")</f>
        <v/>
      </c>
      <c r="D300" s="18" t="str" cm="1">
        <f t="array" ref="D300">IF(A300="","",IF(ISNUMBER(MATCH(TRUE,ISNUMBER(SEARCH($Q$2:$Q$51, $A300)),0))=TRUE,"",IF(ISNUMBER(MATCH(TRUE,ISNUMBER(SEARCH($S$2:$S$199, $A300)),0))=TRUE,"","미국 확인 필요")))</f>
        <v/>
      </c>
    </row>
    <row r="301" spans="3:4">
      <c r="C301" s="18" t="str" cm="1">
        <f t="array" ref="C301">IFERROR(IF(A301="","",IF(ISNUMBER(MATCH(TRUE,ISNUMBER(SEARCH($Q$2:$Q$51, $A301)),0))=TRUE,"United States of America",INDEX($S$2:$S$199,MATCH(TRUE,ISNUMBER(SEARCH($S$2:$S$199, $A301)),0)))),"United States of America")</f>
        <v/>
      </c>
      <c r="D301" s="18" t="str" cm="1">
        <f t="array" ref="D301">IF(A301="","",IF(ISNUMBER(MATCH(TRUE,ISNUMBER(SEARCH($Q$2:$Q$51, $A301)),0))=TRUE,"",IF(ISNUMBER(MATCH(TRUE,ISNUMBER(SEARCH($S$2:$S$199, $A301)),0))=TRUE,"","미국 확인 필요")))</f>
        <v/>
      </c>
    </row>
    <row r="302" spans="3:4">
      <c r="C302" s="18" t="str" cm="1">
        <f t="array" ref="C302">IFERROR(IF(A302="","",IF(ISNUMBER(MATCH(TRUE,ISNUMBER(SEARCH($Q$2:$Q$51, $A302)),0))=TRUE,"United States of America",INDEX($S$2:$S$199,MATCH(TRUE,ISNUMBER(SEARCH($S$2:$S$199, $A302)),0)))),"United States of America")</f>
        <v/>
      </c>
      <c r="D302" s="18" t="str" cm="1">
        <f t="array" ref="D302">IF(A302="","",IF(ISNUMBER(MATCH(TRUE,ISNUMBER(SEARCH($Q$2:$Q$51, $A302)),0))=TRUE,"",IF(ISNUMBER(MATCH(TRUE,ISNUMBER(SEARCH($S$2:$S$199, $A302)),0))=TRUE,"","미국 확인 필요")))</f>
        <v/>
      </c>
    </row>
    <row r="303" spans="3:4">
      <c r="C303" s="18" t="str" cm="1">
        <f t="array" ref="C303">IFERROR(IF(A303="","",IF(ISNUMBER(MATCH(TRUE,ISNUMBER(SEARCH($Q$2:$Q$51, $A303)),0))=TRUE,"United States of America",INDEX($S$2:$S$199,MATCH(TRUE,ISNUMBER(SEARCH($S$2:$S$199, $A303)),0)))),"United States of America")</f>
        <v/>
      </c>
      <c r="D303" s="18" t="str" cm="1">
        <f t="array" ref="D303">IF(A303="","",IF(ISNUMBER(MATCH(TRUE,ISNUMBER(SEARCH($Q$2:$Q$51, $A303)),0))=TRUE,"",IF(ISNUMBER(MATCH(TRUE,ISNUMBER(SEARCH($S$2:$S$199, $A303)),0))=TRUE,"","미국 확인 필요")))</f>
        <v/>
      </c>
    </row>
    <row r="304" spans="3:4">
      <c r="C304" s="18" t="str" cm="1">
        <f t="array" ref="C304">IFERROR(IF(A304="","",IF(ISNUMBER(MATCH(TRUE,ISNUMBER(SEARCH($Q$2:$Q$51, $A304)),0))=TRUE,"United States of America",INDEX($S$2:$S$199,MATCH(TRUE,ISNUMBER(SEARCH($S$2:$S$199, $A304)),0)))),"United States of America")</f>
        <v/>
      </c>
      <c r="D304" s="18" t="str" cm="1">
        <f t="array" ref="D304">IF(A304="","",IF(ISNUMBER(MATCH(TRUE,ISNUMBER(SEARCH($Q$2:$Q$51, $A304)),0))=TRUE,"",IF(ISNUMBER(MATCH(TRUE,ISNUMBER(SEARCH($S$2:$S$199, $A304)),0))=TRUE,"","미국 확인 필요")))</f>
        <v/>
      </c>
    </row>
    <row r="305" spans="3:4">
      <c r="C305" s="18" t="str" cm="1">
        <f t="array" ref="C305">IFERROR(IF(A305="","",IF(ISNUMBER(MATCH(TRUE,ISNUMBER(SEARCH($Q$2:$Q$51, $A305)),0))=TRUE,"United States of America",INDEX($S$2:$S$199,MATCH(TRUE,ISNUMBER(SEARCH($S$2:$S$199, $A305)),0)))),"United States of America")</f>
        <v/>
      </c>
      <c r="D305" s="18" t="str" cm="1">
        <f t="array" ref="D305">IF(A305="","",IF(ISNUMBER(MATCH(TRUE,ISNUMBER(SEARCH($Q$2:$Q$51, $A305)),0))=TRUE,"",IF(ISNUMBER(MATCH(TRUE,ISNUMBER(SEARCH($S$2:$S$199, $A305)),0))=TRUE,"","미국 확인 필요")))</f>
        <v/>
      </c>
    </row>
    <row r="306" spans="3:4">
      <c r="C306" s="18" t="str" cm="1">
        <f t="array" ref="C306">IFERROR(IF(A306="","",IF(ISNUMBER(MATCH(TRUE,ISNUMBER(SEARCH($Q$2:$Q$51, $A306)),0))=TRUE,"United States of America",INDEX($S$2:$S$199,MATCH(TRUE,ISNUMBER(SEARCH($S$2:$S$199, $A306)),0)))),"United States of America")</f>
        <v/>
      </c>
      <c r="D306" s="18" t="str" cm="1">
        <f t="array" ref="D306">IF(A306="","",IF(ISNUMBER(MATCH(TRUE,ISNUMBER(SEARCH($Q$2:$Q$51, $A306)),0))=TRUE,"",IF(ISNUMBER(MATCH(TRUE,ISNUMBER(SEARCH($S$2:$S$199, $A306)),0))=TRUE,"","미국 확인 필요")))</f>
        <v/>
      </c>
    </row>
    <row r="307" spans="3:4">
      <c r="C307" s="18" t="str" cm="1">
        <f t="array" ref="C307">IFERROR(IF(A307="","",IF(ISNUMBER(MATCH(TRUE,ISNUMBER(SEARCH($Q$2:$Q$51, $A307)),0))=TRUE,"United States of America",INDEX($S$2:$S$199,MATCH(TRUE,ISNUMBER(SEARCH($S$2:$S$199, $A307)),0)))),"United States of America")</f>
        <v/>
      </c>
      <c r="D307" s="18" t="str" cm="1">
        <f t="array" ref="D307">IF(A307="","",IF(ISNUMBER(MATCH(TRUE,ISNUMBER(SEARCH($Q$2:$Q$51, $A307)),0))=TRUE,"",IF(ISNUMBER(MATCH(TRUE,ISNUMBER(SEARCH($S$2:$S$199, $A307)),0))=TRUE,"","미국 확인 필요")))</f>
        <v/>
      </c>
    </row>
    <row r="308" spans="3:4">
      <c r="C308" s="18" t="str" cm="1">
        <f t="array" ref="C308">IFERROR(IF(A308="","",IF(ISNUMBER(MATCH(TRUE,ISNUMBER(SEARCH($Q$2:$Q$51, $A308)),0))=TRUE,"United States of America",INDEX($S$2:$S$199,MATCH(TRUE,ISNUMBER(SEARCH($S$2:$S$199, $A308)),0)))),"United States of America")</f>
        <v/>
      </c>
      <c r="D308" s="18" t="str" cm="1">
        <f t="array" ref="D308">IF(A308="","",IF(ISNUMBER(MATCH(TRUE,ISNUMBER(SEARCH($Q$2:$Q$51, $A308)),0))=TRUE,"",IF(ISNUMBER(MATCH(TRUE,ISNUMBER(SEARCH($S$2:$S$199, $A308)),0))=TRUE,"","미국 확인 필요")))</f>
        <v/>
      </c>
    </row>
    <row r="309" spans="3:4">
      <c r="C309" s="18" t="str" cm="1">
        <f t="array" ref="C309">IFERROR(IF(A309="","",IF(ISNUMBER(MATCH(TRUE,ISNUMBER(SEARCH($Q$2:$Q$51, $A309)),0))=TRUE,"United States of America",INDEX($S$2:$S$199,MATCH(TRUE,ISNUMBER(SEARCH($S$2:$S$199, $A309)),0)))),"United States of America")</f>
        <v/>
      </c>
      <c r="D309" s="18" t="str" cm="1">
        <f t="array" ref="D309">IF(A309="","",IF(ISNUMBER(MATCH(TRUE,ISNUMBER(SEARCH($Q$2:$Q$51, $A309)),0))=TRUE,"",IF(ISNUMBER(MATCH(TRUE,ISNUMBER(SEARCH($S$2:$S$199, $A309)),0))=TRUE,"","미국 확인 필요")))</f>
        <v/>
      </c>
    </row>
    <row r="310" spans="3:4">
      <c r="C310" s="18" t="str" cm="1">
        <f t="array" ref="C310">IFERROR(IF(A310="","",IF(ISNUMBER(MATCH(TRUE,ISNUMBER(SEARCH($Q$2:$Q$51, $A310)),0))=TRUE,"United States of America",INDEX($S$2:$S$199,MATCH(TRUE,ISNUMBER(SEARCH($S$2:$S$199, $A310)),0)))),"United States of America")</f>
        <v/>
      </c>
      <c r="D310" s="18" t="str" cm="1">
        <f t="array" ref="D310">IF(A310="","",IF(ISNUMBER(MATCH(TRUE,ISNUMBER(SEARCH($Q$2:$Q$51, $A310)),0))=TRUE,"",IF(ISNUMBER(MATCH(TRUE,ISNUMBER(SEARCH($S$2:$S$199, $A310)),0))=TRUE,"","미국 확인 필요")))</f>
        <v/>
      </c>
    </row>
    <row r="311" spans="3:4">
      <c r="C311" s="18" t="str" cm="1">
        <f t="array" ref="C311">IFERROR(IF(A311="","",IF(ISNUMBER(MATCH(TRUE,ISNUMBER(SEARCH($Q$2:$Q$51, $A311)),0))=TRUE,"United States of America",INDEX($S$2:$S$199,MATCH(TRUE,ISNUMBER(SEARCH($S$2:$S$199, $A311)),0)))),"United States of America")</f>
        <v/>
      </c>
      <c r="D311" s="18" t="str" cm="1">
        <f t="array" ref="D311">IF(A311="","",IF(ISNUMBER(MATCH(TRUE,ISNUMBER(SEARCH($Q$2:$Q$51, $A311)),0))=TRUE,"",IF(ISNUMBER(MATCH(TRUE,ISNUMBER(SEARCH($S$2:$S$199, $A311)),0))=TRUE,"","미국 확인 필요")))</f>
        <v/>
      </c>
    </row>
    <row r="312" spans="3:4">
      <c r="C312" s="18" t="str" cm="1">
        <f t="array" ref="C312">IFERROR(IF(A312="","",IF(ISNUMBER(MATCH(TRUE,ISNUMBER(SEARCH($Q$2:$Q$51, $A312)),0))=TRUE,"United States of America",INDEX($S$2:$S$199,MATCH(TRUE,ISNUMBER(SEARCH($S$2:$S$199, $A312)),0)))),"United States of America")</f>
        <v/>
      </c>
      <c r="D312" s="18" t="str" cm="1">
        <f t="array" ref="D312">IF(A312="","",IF(ISNUMBER(MATCH(TRUE,ISNUMBER(SEARCH($Q$2:$Q$51, $A312)),0))=TRUE,"",IF(ISNUMBER(MATCH(TRUE,ISNUMBER(SEARCH($S$2:$S$199, $A312)),0))=TRUE,"","미국 확인 필요")))</f>
        <v/>
      </c>
    </row>
    <row r="313" spans="3:4">
      <c r="C313" s="18" t="str" cm="1">
        <f t="array" ref="C313">IFERROR(IF(A313="","",IF(ISNUMBER(MATCH(TRUE,ISNUMBER(SEARCH($Q$2:$Q$51, $A313)),0))=TRUE,"United States of America",INDEX($S$2:$S$199,MATCH(TRUE,ISNUMBER(SEARCH($S$2:$S$199, $A313)),0)))),"United States of America")</f>
        <v/>
      </c>
      <c r="D313" s="18" t="str" cm="1">
        <f t="array" ref="D313">IF(A313="","",IF(ISNUMBER(MATCH(TRUE,ISNUMBER(SEARCH($Q$2:$Q$51, $A313)),0))=TRUE,"",IF(ISNUMBER(MATCH(TRUE,ISNUMBER(SEARCH($S$2:$S$199, $A313)),0))=TRUE,"","미국 확인 필요")))</f>
        <v/>
      </c>
    </row>
    <row r="314" spans="3:4">
      <c r="C314" s="18" t="str" cm="1">
        <f t="array" ref="C314">IFERROR(IF(A314="","",IF(ISNUMBER(MATCH(TRUE,ISNUMBER(SEARCH($Q$2:$Q$51, $A314)),0))=TRUE,"United States of America",INDEX($S$2:$S$199,MATCH(TRUE,ISNUMBER(SEARCH($S$2:$S$199, $A314)),0)))),"United States of America")</f>
        <v/>
      </c>
      <c r="D314" s="18" t="str" cm="1">
        <f t="array" ref="D314">IF(A314="","",IF(ISNUMBER(MATCH(TRUE,ISNUMBER(SEARCH($Q$2:$Q$51, $A314)),0))=TRUE,"",IF(ISNUMBER(MATCH(TRUE,ISNUMBER(SEARCH($S$2:$S$199, $A314)),0))=TRUE,"","미국 확인 필요")))</f>
        <v/>
      </c>
    </row>
    <row r="315" spans="3:4">
      <c r="C315" s="18" t="str" cm="1">
        <f t="array" ref="C315">IFERROR(IF(A315="","",IF(ISNUMBER(MATCH(TRUE,ISNUMBER(SEARCH($Q$2:$Q$51, $A315)),0))=TRUE,"United States of America",INDEX($S$2:$S$199,MATCH(TRUE,ISNUMBER(SEARCH($S$2:$S$199, $A315)),0)))),"United States of America")</f>
        <v/>
      </c>
      <c r="D315" s="18" t="str" cm="1">
        <f t="array" ref="D315">IF(A315="","",IF(ISNUMBER(MATCH(TRUE,ISNUMBER(SEARCH($Q$2:$Q$51, $A315)),0))=TRUE,"",IF(ISNUMBER(MATCH(TRUE,ISNUMBER(SEARCH($S$2:$S$199, $A315)),0))=TRUE,"","미국 확인 필요")))</f>
        <v/>
      </c>
    </row>
    <row r="316" spans="3:4">
      <c r="C316" s="18" t="str" cm="1">
        <f t="array" ref="C316">IFERROR(IF(A316="","",IF(ISNUMBER(MATCH(TRUE,ISNUMBER(SEARCH($Q$2:$Q$51, $A316)),0))=TRUE,"United States of America",INDEX($S$2:$S$199,MATCH(TRUE,ISNUMBER(SEARCH($S$2:$S$199, $A316)),0)))),"United States of America")</f>
        <v/>
      </c>
      <c r="D316" s="18" t="str" cm="1">
        <f t="array" ref="D316">IF(A316="","",IF(ISNUMBER(MATCH(TRUE,ISNUMBER(SEARCH($Q$2:$Q$51, $A316)),0))=TRUE,"",IF(ISNUMBER(MATCH(TRUE,ISNUMBER(SEARCH($S$2:$S$199, $A316)),0))=TRUE,"","미국 확인 필요")))</f>
        <v/>
      </c>
    </row>
    <row r="317" spans="3:4">
      <c r="C317" s="18" t="str" cm="1">
        <f t="array" ref="C317">IFERROR(IF(A317="","",IF(ISNUMBER(MATCH(TRUE,ISNUMBER(SEARCH($Q$2:$Q$51, $A317)),0))=TRUE,"United States of America",INDEX($S$2:$S$199,MATCH(TRUE,ISNUMBER(SEARCH($S$2:$S$199, $A317)),0)))),"United States of America")</f>
        <v/>
      </c>
      <c r="D317" s="18" t="str" cm="1">
        <f t="array" ref="D317">IF(A317="","",IF(ISNUMBER(MATCH(TRUE,ISNUMBER(SEARCH($Q$2:$Q$51, $A317)),0))=TRUE,"",IF(ISNUMBER(MATCH(TRUE,ISNUMBER(SEARCH($S$2:$S$199, $A317)),0))=TRUE,"","미국 확인 필요")))</f>
        <v/>
      </c>
    </row>
    <row r="318" spans="3:4">
      <c r="C318" s="18" t="str" cm="1">
        <f t="array" ref="C318">IFERROR(IF(A318="","",IF(ISNUMBER(MATCH(TRUE,ISNUMBER(SEARCH($Q$2:$Q$51, $A318)),0))=TRUE,"United States of America",INDEX($S$2:$S$199,MATCH(TRUE,ISNUMBER(SEARCH($S$2:$S$199, $A318)),0)))),"United States of America")</f>
        <v/>
      </c>
      <c r="D318" s="18" t="str" cm="1">
        <f t="array" ref="D318">IF(A318="","",IF(ISNUMBER(MATCH(TRUE,ISNUMBER(SEARCH($Q$2:$Q$51, $A318)),0))=TRUE,"",IF(ISNUMBER(MATCH(TRUE,ISNUMBER(SEARCH($S$2:$S$199, $A318)),0))=TRUE,"","미국 확인 필요")))</f>
        <v/>
      </c>
    </row>
    <row r="319" spans="3:4">
      <c r="C319" s="18" t="str" cm="1">
        <f t="array" ref="C319">IFERROR(IF(A319="","",IF(ISNUMBER(MATCH(TRUE,ISNUMBER(SEARCH($Q$2:$Q$51, $A319)),0))=TRUE,"United States of America",INDEX($S$2:$S$199,MATCH(TRUE,ISNUMBER(SEARCH($S$2:$S$199, $A319)),0)))),"United States of America")</f>
        <v/>
      </c>
      <c r="D319" s="18" t="str" cm="1">
        <f t="array" ref="D319">IF(A319="","",IF(ISNUMBER(MATCH(TRUE,ISNUMBER(SEARCH($Q$2:$Q$51, $A319)),0))=TRUE,"",IF(ISNUMBER(MATCH(TRUE,ISNUMBER(SEARCH($S$2:$S$199, $A319)),0))=TRUE,"","미국 확인 필요")))</f>
        <v/>
      </c>
    </row>
    <row r="320" spans="3:4">
      <c r="C320" s="18" t="str" cm="1">
        <f t="array" ref="C320">IFERROR(IF(A320="","",IF(ISNUMBER(MATCH(TRUE,ISNUMBER(SEARCH($Q$2:$Q$51, $A320)),0))=TRUE,"United States of America",INDEX($S$2:$S$199,MATCH(TRUE,ISNUMBER(SEARCH($S$2:$S$199, $A320)),0)))),"United States of America")</f>
        <v/>
      </c>
      <c r="D320" s="18" t="str" cm="1">
        <f t="array" ref="D320">IF(A320="","",IF(ISNUMBER(MATCH(TRUE,ISNUMBER(SEARCH($Q$2:$Q$51, $A320)),0))=TRUE,"",IF(ISNUMBER(MATCH(TRUE,ISNUMBER(SEARCH($S$2:$S$199, $A320)),0))=TRUE,"","미국 확인 필요")))</f>
        <v/>
      </c>
    </row>
    <row r="321" spans="3:4">
      <c r="C321" s="18" t="str" cm="1">
        <f t="array" ref="C321">IFERROR(IF(A321="","",IF(ISNUMBER(MATCH(TRUE,ISNUMBER(SEARCH($Q$2:$Q$51, $A321)),0))=TRUE,"United States of America",INDEX($S$2:$S$199,MATCH(TRUE,ISNUMBER(SEARCH($S$2:$S$199, $A321)),0)))),"United States of America")</f>
        <v/>
      </c>
      <c r="D321" s="18" t="str" cm="1">
        <f t="array" ref="D321">IF(A321="","",IF(ISNUMBER(MATCH(TRUE,ISNUMBER(SEARCH($Q$2:$Q$51, $A321)),0))=TRUE,"",IF(ISNUMBER(MATCH(TRUE,ISNUMBER(SEARCH($S$2:$S$199, $A321)),0))=TRUE,"","미국 확인 필요")))</f>
        <v/>
      </c>
    </row>
    <row r="322" spans="3:4">
      <c r="C322" s="18" t="str" cm="1">
        <f t="array" ref="C322">IFERROR(IF(A322="","",IF(ISNUMBER(MATCH(TRUE,ISNUMBER(SEARCH($Q$2:$Q$51, $A322)),0))=TRUE,"United States of America",INDEX($S$2:$S$199,MATCH(TRUE,ISNUMBER(SEARCH($S$2:$S$199, $A322)),0)))),"United States of America")</f>
        <v/>
      </c>
      <c r="D322" s="18" t="str" cm="1">
        <f t="array" ref="D322">IF(A322="","",IF(ISNUMBER(MATCH(TRUE,ISNUMBER(SEARCH($Q$2:$Q$51, $A322)),0))=TRUE,"",IF(ISNUMBER(MATCH(TRUE,ISNUMBER(SEARCH($S$2:$S$199, $A322)),0))=TRUE,"","미국 확인 필요")))</f>
        <v/>
      </c>
    </row>
    <row r="323" spans="3:4">
      <c r="C323" s="18" t="str" cm="1">
        <f t="array" ref="C323">IFERROR(IF(A323="","",IF(ISNUMBER(MATCH(TRUE,ISNUMBER(SEARCH($Q$2:$Q$51, $A323)),0))=TRUE,"United States of America",INDEX($S$2:$S$199,MATCH(TRUE,ISNUMBER(SEARCH($S$2:$S$199, $A323)),0)))),"United States of America")</f>
        <v/>
      </c>
      <c r="D323" s="18" t="str" cm="1">
        <f t="array" ref="D323">IF(A323="","",IF(ISNUMBER(MATCH(TRUE,ISNUMBER(SEARCH($Q$2:$Q$51, $A323)),0))=TRUE,"",IF(ISNUMBER(MATCH(TRUE,ISNUMBER(SEARCH($S$2:$S$199, $A323)),0))=TRUE,"","미국 확인 필요")))</f>
        <v/>
      </c>
    </row>
    <row r="324" spans="3:4">
      <c r="C324" s="18" t="str" cm="1">
        <f t="array" ref="C324">IFERROR(IF(A324="","",IF(ISNUMBER(MATCH(TRUE,ISNUMBER(SEARCH($Q$2:$Q$51, $A324)),0))=TRUE,"United States of America",INDEX($S$2:$S$199,MATCH(TRUE,ISNUMBER(SEARCH($S$2:$S$199, $A324)),0)))),"United States of America")</f>
        <v/>
      </c>
      <c r="D324" s="18" t="str" cm="1">
        <f t="array" ref="D324">IF(A324="","",IF(ISNUMBER(MATCH(TRUE,ISNUMBER(SEARCH($Q$2:$Q$51, $A324)),0))=TRUE,"",IF(ISNUMBER(MATCH(TRUE,ISNUMBER(SEARCH($S$2:$S$199, $A324)),0))=TRUE,"","미국 확인 필요")))</f>
        <v/>
      </c>
    </row>
    <row r="325" spans="3:4">
      <c r="C325" s="18" t="str" cm="1">
        <f t="array" ref="C325">IFERROR(IF(A325="","",IF(ISNUMBER(MATCH(TRUE,ISNUMBER(SEARCH($Q$2:$Q$51, $A325)),0))=TRUE,"United States of America",INDEX($S$2:$S$199,MATCH(TRUE,ISNUMBER(SEARCH($S$2:$S$199, $A325)),0)))),"United States of America")</f>
        <v/>
      </c>
      <c r="D325" s="18" t="str" cm="1">
        <f t="array" ref="D325">IF(A325="","",IF(ISNUMBER(MATCH(TRUE,ISNUMBER(SEARCH($Q$2:$Q$51, $A325)),0))=TRUE,"",IF(ISNUMBER(MATCH(TRUE,ISNUMBER(SEARCH($S$2:$S$199, $A325)),0))=TRUE,"","미국 확인 필요")))</f>
        <v/>
      </c>
    </row>
    <row r="326" spans="3:4">
      <c r="C326" s="18" t="str" cm="1">
        <f t="array" ref="C326">IFERROR(IF(A326="","",IF(ISNUMBER(MATCH(TRUE,ISNUMBER(SEARCH($Q$2:$Q$51, $A326)),0))=TRUE,"United States of America",INDEX($S$2:$S$199,MATCH(TRUE,ISNUMBER(SEARCH($S$2:$S$199, $A326)),0)))),"United States of America")</f>
        <v/>
      </c>
      <c r="D326" s="18" t="str" cm="1">
        <f t="array" ref="D326">IF(A326="","",IF(ISNUMBER(MATCH(TRUE,ISNUMBER(SEARCH($Q$2:$Q$51, $A326)),0))=TRUE,"",IF(ISNUMBER(MATCH(TRUE,ISNUMBER(SEARCH($S$2:$S$199, $A326)),0))=TRUE,"","미국 확인 필요")))</f>
        <v/>
      </c>
    </row>
    <row r="327" spans="3:4">
      <c r="C327" s="18" t="str" cm="1">
        <f t="array" ref="C327">IFERROR(IF(A327="","",IF(ISNUMBER(MATCH(TRUE,ISNUMBER(SEARCH($Q$2:$Q$51, $A327)),0))=TRUE,"United States of America",INDEX($S$2:$S$199,MATCH(TRUE,ISNUMBER(SEARCH($S$2:$S$199, $A327)),0)))),"United States of America")</f>
        <v/>
      </c>
      <c r="D327" s="18" t="str" cm="1">
        <f t="array" ref="D327">IF(A327="","",IF(ISNUMBER(MATCH(TRUE,ISNUMBER(SEARCH($Q$2:$Q$51, $A327)),0))=TRUE,"",IF(ISNUMBER(MATCH(TRUE,ISNUMBER(SEARCH($S$2:$S$199, $A327)),0))=TRUE,"","미국 확인 필요")))</f>
        <v/>
      </c>
    </row>
    <row r="328" spans="3:4">
      <c r="C328" s="18" t="str" cm="1">
        <f t="array" ref="C328">IFERROR(IF(A328="","",IF(ISNUMBER(MATCH(TRUE,ISNUMBER(SEARCH($Q$2:$Q$51, $A328)),0))=TRUE,"United States of America",INDEX($S$2:$S$199,MATCH(TRUE,ISNUMBER(SEARCH($S$2:$S$199, $A328)),0)))),"United States of America")</f>
        <v/>
      </c>
      <c r="D328" s="18" t="str" cm="1">
        <f t="array" ref="D328">IF(A328="","",IF(ISNUMBER(MATCH(TRUE,ISNUMBER(SEARCH($Q$2:$Q$51, $A328)),0))=TRUE,"",IF(ISNUMBER(MATCH(TRUE,ISNUMBER(SEARCH($S$2:$S$199, $A328)),0))=TRUE,"","미국 확인 필요")))</f>
        <v/>
      </c>
    </row>
    <row r="329" spans="3:4">
      <c r="C329" s="18" t="str" cm="1">
        <f t="array" ref="C329">IFERROR(IF(A329="","",IF(ISNUMBER(MATCH(TRUE,ISNUMBER(SEARCH($Q$2:$Q$51, $A329)),0))=TRUE,"United States of America",INDEX($S$2:$S$199,MATCH(TRUE,ISNUMBER(SEARCH($S$2:$S$199, $A329)),0)))),"United States of America")</f>
        <v/>
      </c>
      <c r="D329" s="18" t="str" cm="1">
        <f t="array" ref="D329">IF(A329="","",IF(ISNUMBER(MATCH(TRUE,ISNUMBER(SEARCH($Q$2:$Q$51, $A329)),0))=TRUE,"",IF(ISNUMBER(MATCH(TRUE,ISNUMBER(SEARCH($S$2:$S$199, $A329)),0))=TRUE,"","미국 확인 필요")))</f>
        <v/>
      </c>
    </row>
    <row r="330" spans="3:4">
      <c r="C330" s="18" t="str" cm="1">
        <f t="array" ref="C330">IFERROR(IF(A330="","",IF(ISNUMBER(MATCH(TRUE,ISNUMBER(SEARCH($Q$2:$Q$51, $A330)),0))=TRUE,"United States of America",INDEX($S$2:$S$199,MATCH(TRUE,ISNUMBER(SEARCH($S$2:$S$199, $A330)),0)))),"United States of America")</f>
        <v/>
      </c>
      <c r="D330" s="18" t="str" cm="1">
        <f t="array" ref="D330">IF(A330="","",IF(ISNUMBER(MATCH(TRUE,ISNUMBER(SEARCH($Q$2:$Q$51, $A330)),0))=TRUE,"",IF(ISNUMBER(MATCH(TRUE,ISNUMBER(SEARCH($S$2:$S$199, $A330)),0))=TRUE,"","미국 확인 필요")))</f>
        <v/>
      </c>
    </row>
    <row r="331" spans="3:4">
      <c r="C331" s="18" t="str" cm="1">
        <f t="array" ref="C331">IFERROR(IF(A331="","",IF(ISNUMBER(MATCH(TRUE,ISNUMBER(SEARCH($Q$2:$Q$51, $A331)),0))=TRUE,"United States of America",INDEX($S$2:$S$199,MATCH(TRUE,ISNUMBER(SEARCH($S$2:$S$199, $A331)),0)))),"United States of America")</f>
        <v/>
      </c>
      <c r="D331" s="18" t="str" cm="1">
        <f t="array" ref="D331">IF(A331="","",IF(ISNUMBER(MATCH(TRUE,ISNUMBER(SEARCH($Q$2:$Q$51, $A331)),0))=TRUE,"",IF(ISNUMBER(MATCH(TRUE,ISNUMBER(SEARCH($S$2:$S$199, $A331)),0))=TRUE,"","미국 확인 필요")))</f>
        <v/>
      </c>
    </row>
    <row r="332" spans="3:4">
      <c r="C332" s="18" t="str" cm="1">
        <f t="array" ref="C332">IFERROR(IF(A332="","",IF(ISNUMBER(MATCH(TRUE,ISNUMBER(SEARCH($Q$2:$Q$51, $A332)),0))=TRUE,"United States of America",INDEX($S$2:$S$199,MATCH(TRUE,ISNUMBER(SEARCH($S$2:$S$199, $A332)),0)))),"United States of America")</f>
        <v/>
      </c>
      <c r="D332" s="18" t="str" cm="1">
        <f t="array" ref="D332">IF(A332="","",IF(ISNUMBER(MATCH(TRUE,ISNUMBER(SEARCH($Q$2:$Q$51, $A332)),0))=TRUE,"",IF(ISNUMBER(MATCH(TRUE,ISNUMBER(SEARCH($S$2:$S$199, $A332)),0))=TRUE,"","미국 확인 필요")))</f>
        <v/>
      </c>
    </row>
    <row r="333" spans="3:4">
      <c r="C333" s="18" t="str" cm="1">
        <f t="array" ref="C333">IFERROR(IF(A333="","",IF(ISNUMBER(MATCH(TRUE,ISNUMBER(SEARCH($Q$2:$Q$51, $A333)),0))=TRUE,"United States of America",INDEX($S$2:$S$199,MATCH(TRUE,ISNUMBER(SEARCH($S$2:$S$199, $A333)),0)))),"United States of America")</f>
        <v/>
      </c>
      <c r="D333" s="18" t="str" cm="1">
        <f t="array" ref="D333">IF(A333="","",IF(ISNUMBER(MATCH(TRUE,ISNUMBER(SEARCH($Q$2:$Q$51, $A333)),0))=TRUE,"",IF(ISNUMBER(MATCH(TRUE,ISNUMBER(SEARCH($S$2:$S$199, $A333)),0))=TRUE,"","미국 확인 필요")))</f>
        <v/>
      </c>
    </row>
    <row r="334" spans="3:4">
      <c r="C334" s="18" t="str" cm="1">
        <f t="array" ref="C334">IFERROR(IF(A334="","",IF(ISNUMBER(MATCH(TRUE,ISNUMBER(SEARCH($Q$2:$Q$51, $A334)),0))=TRUE,"United States of America",INDEX($S$2:$S$199,MATCH(TRUE,ISNUMBER(SEARCH($S$2:$S$199, $A334)),0)))),"United States of America")</f>
        <v/>
      </c>
      <c r="D334" s="18" t="str" cm="1">
        <f t="array" ref="D334">IF(A334="","",IF(ISNUMBER(MATCH(TRUE,ISNUMBER(SEARCH($Q$2:$Q$51, $A334)),0))=TRUE,"",IF(ISNUMBER(MATCH(TRUE,ISNUMBER(SEARCH($S$2:$S$199, $A334)),0))=TRUE,"","미국 확인 필요")))</f>
        <v/>
      </c>
    </row>
    <row r="335" spans="3:4">
      <c r="C335" s="18" t="str" cm="1">
        <f t="array" ref="C335">IFERROR(IF(A335="","",IF(ISNUMBER(MATCH(TRUE,ISNUMBER(SEARCH($Q$2:$Q$51, $A335)),0))=TRUE,"United States of America",INDEX($S$2:$S$199,MATCH(TRUE,ISNUMBER(SEARCH($S$2:$S$199, $A335)),0)))),"United States of America")</f>
        <v/>
      </c>
      <c r="D335" s="18" t="str" cm="1">
        <f t="array" ref="D335">IF(A335="","",IF(ISNUMBER(MATCH(TRUE,ISNUMBER(SEARCH($Q$2:$Q$51, $A335)),0))=TRUE,"",IF(ISNUMBER(MATCH(TRUE,ISNUMBER(SEARCH($S$2:$S$199, $A335)),0))=TRUE,"","미국 확인 필요")))</f>
        <v/>
      </c>
    </row>
    <row r="336" spans="3:4">
      <c r="C336" s="18" t="str" cm="1">
        <f t="array" ref="C336">IFERROR(IF(A336="","",IF(ISNUMBER(MATCH(TRUE,ISNUMBER(SEARCH($Q$2:$Q$51, $A336)),0))=TRUE,"United States of America",INDEX($S$2:$S$199,MATCH(TRUE,ISNUMBER(SEARCH($S$2:$S$199, $A336)),0)))),"United States of America")</f>
        <v/>
      </c>
      <c r="D336" s="18" t="str" cm="1">
        <f t="array" ref="D336">IF(A336="","",IF(ISNUMBER(MATCH(TRUE,ISNUMBER(SEARCH($Q$2:$Q$51, $A336)),0))=TRUE,"",IF(ISNUMBER(MATCH(TRUE,ISNUMBER(SEARCH($S$2:$S$199, $A336)),0))=TRUE,"","미국 확인 필요")))</f>
        <v/>
      </c>
    </row>
    <row r="337" spans="3:4">
      <c r="C337" s="18" t="str" cm="1">
        <f t="array" ref="C337">IFERROR(IF(A337="","",IF(ISNUMBER(MATCH(TRUE,ISNUMBER(SEARCH($Q$2:$Q$51, $A337)),0))=TRUE,"United States of America",INDEX($S$2:$S$199,MATCH(TRUE,ISNUMBER(SEARCH($S$2:$S$199, $A337)),0)))),"United States of America")</f>
        <v/>
      </c>
      <c r="D337" s="18" t="str" cm="1">
        <f t="array" ref="D337">IF(A337="","",IF(ISNUMBER(MATCH(TRUE,ISNUMBER(SEARCH($Q$2:$Q$51, $A337)),0))=TRUE,"",IF(ISNUMBER(MATCH(TRUE,ISNUMBER(SEARCH($S$2:$S$199, $A337)),0))=TRUE,"","미국 확인 필요")))</f>
        <v/>
      </c>
    </row>
    <row r="338" spans="3:4">
      <c r="C338" s="18" t="str" cm="1">
        <f t="array" ref="C338">IFERROR(IF(A338="","",IF(ISNUMBER(MATCH(TRUE,ISNUMBER(SEARCH($Q$2:$Q$51, $A338)),0))=TRUE,"United States of America",INDEX($S$2:$S$199,MATCH(TRUE,ISNUMBER(SEARCH($S$2:$S$199, $A338)),0)))),"United States of America")</f>
        <v/>
      </c>
      <c r="D338" s="18" t="str" cm="1">
        <f t="array" ref="D338">IF(A338="","",IF(ISNUMBER(MATCH(TRUE,ISNUMBER(SEARCH($Q$2:$Q$51, $A338)),0))=TRUE,"",IF(ISNUMBER(MATCH(TRUE,ISNUMBER(SEARCH($S$2:$S$199, $A338)),0))=TRUE,"","미국 확인 필요")))</f>
        <v/>
      </c>
    </row>
    <row r="339" spans="3:4">
      <c r="C339" s="18" t="str" cm="1">
        <f t="array" ref="C339">IFERROR(IF(A339="","",IF(ISNUMBER(MATCH(TRUE,ISNUMBER(SEARCH($Q$2:$Q$51, $A339)),0))=TRUE,"United States of America",INDEX($S$2:$S$199,MATCH(TRUE,ISNUMBER(SEARCH($S$2:$S$199, $A339)),0)))),"United States of America")</f>
        <v/>
      </c>
      <c r="D339" s="18" t="str" cm="1">
        <f t="array" ref="D339">IF(A339="","",IF(ISNUMBER(MATCH(TRUE,ISNUMBER(SEARCH($Q$2:$Q$51, $A339)),0))=TRUE,"",IF(ISNUMBER(MATCH(TRUE,ISNUMBER(SEARCH($S$2:$S$199, $A339)),0))=TRUE,"","미국 확인 필요")))</f>
        <v/>
      </c>
    </row>
    <row r="340" spans="3:4">
      <c r="C340" s="18" t="str" cm="1">
        <f t="array" ref="C340">IFERROR(IF(A340="","",IF(ISNUMBER(MATCH(TRUE,ISNUMBER(SEARCH($Q$2:$Q$51, $A340)),0))=TRUE,"United States of America",INDEX($S$2:$S$199,MATCH(TRUE,ISNUMBER(SEARCH($S$2:$S$199, $A340)),0)))),"United States of America")</f>
        <v/>
      </c>
      <c r="D340" s="18" t="str" cm="1">
        <f t="array" ref="D340">IF(A340="","",IF(ISNUMBER(MATCH(TRUE,ISNUMBER(SEARCH($Q$2:$Q$51, $A340)),0))=TRUE,"",IF(ISNUMBER(MATCH(TRUE,ISNUMBER(SEARCH($S$2:$S$199, $A340)),0))=TRUE,"","미국 확인 필요")))</f>
        <v/>
      </c>
    </row>
    <row r="341" spans="3:4">
      <c r="C341" s="18" t="str" cm="1">
        <f t="array" ref="C341">IFERROR(IF(A341="","",IF(ISNUMBER(MATCH(TRUE,ISNUMBER(SEARCH($Q$2:$Q$51, $A341)),0))=TRUE,"United States of America",INDEX($S$2:$S$199,MATCH(TRUE,ISNUMBER(SEARCH($S$2:$S$199, $A341)),0)))),"United States of America")</f>
        <v/>
      </c>
      <c r="D341" s="18" t="str" cm="1">
        <f t="array" ref="D341">IF(A341="","",IF(ISNUMBER(MATCH(TRUE,ISNUMBER(SEARCH($Q$2:$Q$51, $A341)),0))=TRUE,"",IF(ISNUMBER(MATCH(TRUE,ISNUMBER(SEARCH($S$2:$S$199, $A341)),0))=TRUE,"","미국 확인 필요")))</f>
        <v/>
      </c>
    </row>
    <row r="342" spans="3:4">
      <c r="C342" s="18" t="str" cm="1">
        <f t="array" ref="C342">IFERROR(IF(A342="","",IF(ISNUMBER(MATCH(TRUE,ISNUMBER(SEARCH($Q$2:$Q$51, $A342)),0))=TRUE,"United States of America",INDEX($S$2:$S$199,MATCH(TRUE,ISNUMBER(SEARCH($S$2:$S$199, $A342)),0)))),"United States of America")</f>
        <v/>
      </c>
      <c r="D342" s="18" t="str" cm="1">
        <f t="array" ref="D342">IF(A342="","",IF(ISNUMBER(MATCH(TRUE,ISNUMBER(SEARCH($Q$2:$Q$51, $A342)),0))=TRUE,"",IF(ISNUMBER(MATCH(TRUE,ISNUMBER(SEARCH($S$2:$S$199, $A342)),0))=TRUE,"","미국 확인 필요")))</f>
        <v/>
      </c>
    </row>
    <row r="343" spans="3:4">
      <c r="C343" s="18" t="str" cm="1">
        <f t="array" ref="C343">IFERROR(IF(A343="","",IF(ISNUMBER(MATCH(TRUE,ISNUMBER(SEARCH($Q$2:$Q$51, $A343)),0))=TRUE,"United States of America",INDEX($S$2:$S$199,MATCH(TRUE,ISNUMBER(SEARCH($S$2:$S$199, $A343)),0)))),"United States of America")</f>
        <v/>
      </c>
      <c r="D343" s="18" t="str" cm="1">
        <f t="array" ref="D343">IF(A343="","",IF(ISNUMBER(MATCH(TRUE,ISNUMBER(SEARCH($Q$2:$Q$51, $A343)),0))=TRUE,"",IF(ISNUMBER(MATCH(TRUE,ISNUMBER(SEARCH($S$2:$S$199, $A343)),0))=TRUE,"","미국 확인 필요")))</f>
        <v/>
      </c>
    </row>
    <row r="344" spans="3:4">
      <c r="C344" s="18" t="str" cm="1">
        <f t="array" ref="C344">IFERROR(IF(A344="","",IF(ISNUMBER(MATCH(TRUE,ISNUMBER(SEARCH($Q$2:$Q$51, $A344)),0))=TRUE,"United States of America",INDEX($S$2:$S$199,MATCH(TRUE,ISNUMBER(SEARCH($S$2:$S$199, $A344)),0)))),"United States of America")</f>
        <v/>
      </c>
      <c r="D344" s="18" t="str" cm="1">
        <f t="array" ref="D344">IF(A344="","",IF(ISNUMBER(MATCH(TRUE,ISNUMBER(SEARCH($Q$2:$Q$51, $A344)),0))=TRUE,"",IF(ISNUMBER(MATCH(TRUE,ISNUMBER(SEARCH($S$2:$S$199, $A344)),0))=TRUE,"","미국 확인 필요")))</f>
        <v/>
      </c>
    </row>
    <row r="345" spans="3:4">
      <c r="C345" s="18" t="str" cm="1">
        <f t="array" ref="C345">IFERROR(IF(A345="","",IF(ISNUMBER(MATCH(TRUE,ISNUMBER(SEARCH($Q$2:$Q$51, $A345)),0))=TRUE,"United States of America",INDEX($S$2:$S$199,MATCH(TRUE,ISNUMBER(SEARCH($S$2:$S$199, $A345)),0)))),"United States of America")</f>
        <v/>
      </c>
      <c r="D345" s="18" t="str" cm="1">
        <f t="array" ref="D345">IF(A345="","",IF(ISNUMBER(MATCH(TRUE,ISNUMBER(SEARCH($Q$2:$Q$51, $A345)),0))=TRUE,"",IF(ISNUMBER(MATCH(TRUE,ISNUMBER(SEARCH($S$2:$S$199, $A345)),0))=TRUE,"","미국 확인 필요")))</f>
        <v/>
      </c>
    </row>
    <row r="346" spans="3:4">
      <c r="C346" s="18" t="str" cm="1">
        <f t="array" ref="C346">IFERROR(IF(A346="","",IF(ISNUMBER(MATCH(TRUE,ISNUMBER(SEARCH($Q$2:$Q$51, $A346)),0))=TRUE,"United States of America",INDEX($S$2:$S$199,MATCH(TRUE,ISNUMBER(SEARCH($S$2:$S$199, $A346)),0)))),"United States of America")</f>
        <v/>
      </c>
      <c r="D346" s="18" t="str" cm="1">
        <f t="array" ref="D346">IF(A346="","",IF(ISNUMBER(MATCH(TRUE,ISNUMBER(SEARCH($Q$2:$Q$51, $A346)),0))=TRUE,"",IF(ISNUMBER(MATCH(TRUE,ISNUMBER(SEARCH($S$2:$S$199, $A346)),0))=TRUE,"","미국 확인 필요")))</f>
        <v/>
      </c>
    </row>
    <row r="347" spans="3:4">
      <c r="C347" s="18" t="str" cm="1">
        <f t="array" ref="C347">IFERROR(IF(A347="","",IF(ISNUMBER(MATCH(TRUE,ISNUMBER(SEARCH($Q$2:$Q$51, $A347)),0))=TRUE,"United States of America",INDEX($S$2:$S$199,MATCH(TRUE,ISNUMBER(SEARCH($S$2:$S$199, $A347)),0)))),"United States of America")</f>
        <v/>
      </c>
      <c r="D347" s="18" t="str" cm="1">
        <f t="array" ref="D347">IF(A347="","",IF(ISNUMBER(MATCH(TRUE,ISNUMBER(SEARCH($Q$2:$Q$51, $A347)),0))=TRUE,"",IF(ISNUMBER(MATCH(TRUE,ISNUMBER(SEARCH($S$2:$S$199, $A347)),0))=TRUE,"","미국 확인 필요")))</f>
        <v/>
      </c>
    </row>
    <row r="348" spans="3:4">
      <c r="C348" s="18" t="str" cm="1">
        <f t="array" ref="C348">IFERROR(IF(A348="","",IF(ISNUMBER(MATCH(TRUE,ISNUMBER(SEARCH($Q$2:$Q$51, $A348)),0))=TRUE,"United States of America",INDEX($S$2:$S$199,MATCH(TRUE,ISNUMBER(SEARCH($S$2:$S$199, $A348)),0)))),"United States of America")</f>
        <v/>
      </c>
      <c r="D348" s="18" t="str" cm="1">
        <f t="array" ref="D348">IF(A348="","",IF(ISNUMBER(MATCH(TRUE,ISNUMBER(SEARCH($Q$2:$Q$51, $A348)),0))=TRUE,"",IF(ISNUMBER(MATCH(TRUE,ISNUMBER(SEARCH($S$2:$S$199, $A348)),0))=TRUE,"","미국 확인 필요")))</f>
        <v/>
      </c>
    </row>
    <row r="349" spans="3:4">
      <c r="C349" s="18" t="str" cm="1">
        <f t="array" ref="C349">IFERROR(IF(A349="","",IF(ISNUMBER(MATCH(TRUE,ISNUMBER(SEARCH($Q$2:$Q$51, $A349)),0))=TRUE,"United States of America",INDEX($S$2:$S$199,MATCH(TRUE,ISNUMBER(SEARCH($S$2:$S$199, $A349)),0)))),"United States of America")</f>
        <v/>
      </c>
      <c r="D349" s="18" t="str" cm="1">
        <f t="array" ref="D349">IF(A349="","",IF(ISNUMBER(MATCH(TRUE,ISNUMBER(SEARCH($Q$2:$Q$51, $A349)),0))=TRUE,"",IF(ISNUMBER(MATCH(TRUE,ISNUMBER(SEARCH($S$2:$S$199, $A349)),0))=TRUE,"","미국 확인 필요")))</f>
        <v/>
      </c>
    </row>
    <row r="350" spans="3:4">
      <c r="C350" s="18" t="str" cm="1">
        <f t="array" ref="C350">IFERROR(IF(A350="","",IF(ISNUMBER(MATCH(TRUE,ISNUMBER(SEARCH($Q$2:$Q$51, $A350)),0))=TRUE,"United States of America",INDEX($S$2:$S$199,MATCH(TRUE,ISNUMBER(SEARCH($S$2:$S$199, $A350)),0)))),"United States of America")</f>
        <v/>
      </c>
      <c r="D350" s="18" t="str" cm="1">
        <f t="array" ref="D350">IF(A350="","",IF(ISNUMBER(MATCH(TRUE,ISNUMBER(SEARCH($Q$2:$Q$51, $A350)),0))=TRUE,"",IF(ISNUMBER(MATCH(TRUE,ISNUMBER(SEARCH($S$2:$S$199, $A350)),0))=TRUE,"","미국 확인 필요")))</f>
        <v/>
      </c>
    </row>
    <row r="351" spans="3:4">
      <c r="C351" s="18" t="str" cm="1">
        <f t="array" ref="C351">IFERROR(IF(A351="","",IF(ISNUMBER(MATCH(TRUE,ISNUMBER(SEARCH($Q$2:$Q$51, $A351)),0))=TRUE,"United States of America",INDEX($S$2:$S$199,MATCH(TRUE,ISNUMBER(SEARCH($S$2:$S$199, $A351)),0)))),"United States of America")</f>
        <v/>
      </c>
      <c r="D351" s="18" t="str" cm="1">
        <f t="array" ref="D351">IF(A351="","",IF(ISNUMBER(MATCH(TRUE,ISNUMBER(SEARCH($Q$2:$Q$51, $A351)),0))=TRUE,"",IF(ISNUMBER(MATCH(TRUE,ISNUMBER(SEARCH($S$2:$S$199, $A351)),0))=TRUE,"","미국 확인 필요")))</f>
        <v/>
      </c>
    </row>
    <row r="352" spans="3:4">
      <c r="C352" s="18" t="str" cm="1">
        <f t="array" ref="C352">IFERROR(IF(A352="","",IF(ISNUMBER(MATCH(TRUE,ISNUMBER(SEARCH($Q$2:$Q$51, $A352)),0))=TRUE,"United States of America",INDEX($S$2:$S$199,MATCH(TRUE,ISNUMBER(SEARCH($S$2:$S$199, $A352)),0)))),"United States of America")</f>
        <v/>
      </c>
      <c r="D352" s="18" t="str" cm="1">
        <f t="array" ref="D352">IF(A352="","",IF(ISNUMBER(MATCH(TRUE,ISNUMBER(SEARCH($Q$2:$Q$51, $A352)),0))=TRUE,"",IF(ISNUMBER(MATCH(TRUE,ISNUMBER(SEARCH($S$2:$S$199, $A352)),0))=TRUE,"","미국 확인 필요")))</f>
        <v/>
      </c>
    </row>
    <row r="353" spans="3:4">
      <c r="C353" s="18" t="str" cm="1">
        <f t="array" ref="C353">IFERROR(IF(A353="","",IF(ISNUMBER(MATCH(TRUE,ISNUMBER(SEARCH($Q$2:$Q$51, $A353)),0))=TRUE,"United States of America",INDEX($S$2:$S$199,MATCH(TRUE,ISNUMBER(SEARCH($S$2:$S$199, $A353)),0)))),"United States of America")</f>
        <v/>
      </c>
      <c r="D353" s="18" t="str" cm="1">
        <f t="array" ref="D353">IF(A353="","",IF(ISNUMBER(MATCH(TRUE,ISNUMBER(SEARCH($Q$2:$Q$51, $A353)),0))=TRUE,"",IF(ISNUMBER(MATCH(TRUE,ISNUMBER(SEARCH($S$2:$S$199, $A353)),0))=TRUE,"","미국 확인 필요")))</f>
        <v/>
      </c>
    </row>
    <row r="354" spans="3:4">
      <c r="C354" s="18" t="str" cm="1">
        <f t="array" ref="C354">IFERROR(IF(A354="","",IF(ISNUMBER(MATCH(TRUE,ISNUMBER(SEARCH($Q$2:$Q$51, $A354)),0))=TRUE,"United States of America",INDEX($S$2:$S$199,MATCH(TRUE,ISNUMBER(SEARCH($S$2:$S$199, $A354)),0)))),"United States of America")</f>
        <v/>
      </c>
      <c r="D354" s="18" t="str" cm="1">
        <f t="array" ref="D354">IF(A354="","",IF(ISNUMBER(MATCH(TRUE,ISNUMBER(SEARCH($Q$2:$Q$51, $A354)),0))=TRUE,"",IF(ISNUMBER(MATCH(TRUE,ISNUMBER(SEARCH($S$2:$S$199, $A354)),0))=TRUE,"","미국 확인 필요")))</f>
        <v/>
      </c>
    </row>
    <row r="355" spans="3:4">
      <c r="C355" s="18" t="str" cm="1">
        <f t="array" ref="C355">IFERROR(IF(A355="","",IF(ISNUMBER(MATCH(TRUE,ISNUMBER(SEARCH($Q$2:$Q$51, $A355)),0))=TRUE,"United States of America",INDEX($S$2:$S$199,MATCH(TRUE,ISNUMBER(SEARCH($S$2:$S$199, $A355)),0)))),"United States of America")</f>
        <v/>
      </c>
      <c r="D355" s="18" t="str" cm="1">
        <f t="array" ref="D355">IF(A355="","",IF(ISNUMBER(MATCH(TRUE,ISNUMBER(SEARCH($Q$2:$Q$51, $A355)),0))=TRUE,"",IF(ISNUMBER(MATCH(TRUE,ISNUMBER(SEARCH($S$2:$S$199, $A355)),0))=TRUE,"","미국 확인 필요")))</f>
        <v/>
      </c>
    </row>
    <row r="356" spans="3:4">
      <c r="C356" s="18" t="str" cm="1">
        <f t="array" ref="C356">IFERROR(IF(A356="","",IF(ISNUMBER(MATCH(TRUE,ISNUMBER(SEARCH($Q$2:$Q$51, $A356)),0))=TRUE,"United States of America",INDEX($S$2:$S$199,MATCH(TRUE,ISNUMBER(SEARCH($S$2:$S$199, $A356)),0)))),"United States of America")</f>
        <v/>
      </c>
      <c r="D356" s="18" t="str" cm="1">
        <f t="array" ref="D356">IF(A356="","",IF(ISNUMBER(MATCH(TRUE,ISNUMBER(SEARCH($Q$2:$Q$51, $A356)),0))=TRUE,"",IF(ISNUMBER(MATCH(TRUE,ISNUMBER(SEARCH($S$2:$S$199, $A356)),0))=TRUE,"","미국 확인 필요")))</f>
        <v/>
      </c>
    </row>
    <row r="357" spans="3:4">
      <c r="C357" s="18" t="str" cm="1">
        <f t="array" ref="C357">IFERROR(IF(A357="","",IF(ISNUMBER(MATCH(TRUE,ISNUMBER(SEARCH($Q$2:$Q$51, $A357)),0))=TRUE,"United States of America",INDEX($S$2:$S$199,MATCH(TRUE,ISNUMBER(SEARCH($S$2:$S$199, $A357)),0)))),"United States of America")</f>
        <v/>
      </c>
      <c r="D357" s="18" t="str" cm="1">
        <f t="array" ref="D357">IF(A357="","",IF(ISNUMBER(MATCH(TRUE,ISNUMBER(SEARCH($Q$2:$Q$51, $A357)),0))=TRUE,"",IF(ISNUMBER(MATCH(TRUE,ISNUMBER(SEARCH($S$2:$S$199, $A357)),0))=TRUE,"","미국 확인 필요")))</f>
        <v/>
      </c>
    </row>
    <row r="358" spans="3:4">
      <c r="C358" s="18" t="str" cm="1">
        <f t="array" ref="C358">IFERROR(IF(A358="","",IF(ISNUMBER(MATCH(TRUE,ISNUMBER(SEARCH($Q$2:$Q$51, $A358)),0))=TRUE,"United States of America",INDEX($S$2:$S$199,MATCH(TRUE,ISNUMBER(SEARCH($S$2:$S$199, $A358)),0)))),"United States of America")</f>
        <v/>
      </c>
      <c r="D358" s="18" t="str" cm="1">
        <f t="array" ref="D358">IF(A358="","",IF(ISNUMBER(MATCH(TRUE,ISNUMBER(SEARCH($Q$2:$Q$51, $A358)),0))=TRUE,"",IF(ISNUMBER(MATCH(TRUE,ISNUMBER(SEARCH($S$2:$S$199, $A358)),0))=TRUE,"","미국 확인 필요")))</f>
        <v/>
      </c>
    </row>
    <row r="359" spans="3:4">
      <c r="C359" s="18" t="str" cm="1">
        <f t="array" ref="C359">IFERROR(IF(A359="","",IF(ISNUMBER(MATCH(TRUE,ISNUMBER(SEARCH($Q$2:$Q$51, $A359)),0))=TRUE,"United States of America",INDEX($S$2:$S$199,MATCH(TRUE,ISNUMBER(SEARCH($S$2:$S$199, $A359)),0)))),"United States of America")</f>
        <v/>
      </c>
      <c r="D359" s="18" t="str" cm="1">
        <f t="array" ref="D359">IF(A359="","",IF(ISNUMBER(MATCH(TRUE,ISNUMBER(SEARCH($Q$2:$Q$51, $A359)),0))=TRUE,"",IF(ISNUMBER(MATCH(TRUE,ISNUMBER(SEARCH($S$2:$S$199, $A359)),0))=TRUE,"","미국 확인 필요")))</f>
        <v/>
      </c>
    </row>
    <row r="360" spans="3:4">
      <c r="C360" s="18" t="str" cm="1">
        <f t="array" ref="C360">IFERROR(IF(A360="","",IF(ISNUMBER(MATCH(TRUE,ISNUMBER(SEARCH($Q$2:$Q$51, $A360)),0))=TRUE,"United States of America",INDEX($S$2:$S$199,MATCH(TRUE,ISNUMBER(SEARCH($S$2:$S$199, $A360)),0)))),"United States of America")</f>
        <v/>
      </c>
      <c r="D360" s="18" t="str" cm="1">
        <f t="array" ref="D360">IF(A360="","",IF(ISNUMBER(MATCH(TRUE,ISNUMBER(SEARCH($Q$2:$Q$51, $A360)),0))=TRUE,"",IF(ISNUMBER(MATCH(TRUE,ISNUMBER(SEARCH($S$2:$S$199, $A360)),0))=TRUE,"","미국 확인 필요")))</f>
        <v/>
      </c>
    </row>
    <row r="361" spans="3:4">
      <c r="C361" s="18" t="str" cm="1">
        <f t="array" ref="C361">IFERROR(IF(A361="","",IF(ISNUMBER(MATCH(TRUE,ISNUMBER(SEARCH($Q$2:$Q$51, $A361)),0))=TRUE,"United States of America",INDEX($S$2:$S$199,MATCH(TRUE,ISNUMBER(SEARCH($S$2:$S$199, $A361)),0)))),"United States of America")</f>
        <v/>
      </c>
      <c r="D361" s="18" t="str" cm="1">
        <f t="array" ref="D361">IF(A361="","",IF(ISNUMBER(MATCH(TRUE,ISNUMBER(SEARCH($Q$2:$Q$51, $A361)),0))=TRUE,"",IF(ISNUMBER(MATCH(TRUE,ISNUMBER(SEARCH($S$2:$S$199, $A361)),0))=TRUE,"","미국 확인 필요")))</f>
        <v/>
      </c>
    </row>
    <row r="362" spans="3:4">
      <c r="C362" s="18" t="str" cm="1">
        <f t="array" ref="C362">IFERROR(IF(A362="","",IF(ISNUMBER(MATCH(TRUE,ISNUMBER(SEARCH($Q$2:$Q$51, $A362)),0))=TRUE,"United States of America",INDEX($S$2:$S$199,MATCH(TRUE,ISNUMBER(SEARCH($S$2:$S$199, $A362)),0)))),"United States of America")</f>
        <v/>
      </c>
      <c r="D362" s="18" t="str" cm="1">
        <f t="array" ref="D362">IF(A362="","",IF(ISNUMBER(MATCH(TRUE,ISNUMBER(SEARCH($Q$2:$Q$51, $A362)),0))=TRUE,"",IF(ISNUMBER(MATCH(TRUE,ISNUMBER(SEARCH($S$2:$S$199, $A362)),0))=TRUE,"","미국 확인 필요")))</f>
        <v/>
      </c>
    </row>
    <row r="363" spans="3:4">
      <c r="C363" s="18" t="str" cm="1">
        <f t="array" ref="C363">IFERROR(IF(A363="","",IF(ISNUMBER(MATCH(TRUE,ISNUMBER(SEARCH($Q$2:$Q$51, $A363)),0))=TRUE,"United States of America",INDEX($S$2:$S$199,MATCH(TRUE,ISNUMBER(SEARCH($S$2:$S$199, $A363)),0)))),"United States of America")</f>
        <v/>
      </c>
      <c r="D363" s="18" t="str" cm="1">
        <f t="array" ref="D363">IF(A363="","",IF(ISNUMBER(MATCH(TRUE,ISNUMBER(SEARCH($Q$2:$Q$51, $A363)),0))=TRUE,"",IF(ISNUMBER(MATCH(TRUE,ISNUMBER(SEARCH($S$2:$S$199, $A363)),0))=TRUE,"","미국 확인 필요")))</f>
        <v/>
      </c>
    </row>
    <row r="364" spans="3:4">
      <c r="C364" s="18" t="str" cm="1">
        <f t="array" ref="C364">IFERROR(IF(A364="","",IF(ISNUMBER(MATCH(TRUE,ISNUMBER(SEARCH($Q$2:$Q$51, $A364)),0))=TRUE,"United States of America",INDEX($S$2:$S$199,MATCH(TRUE,ISNUMBER(SEARCH($S$2:$S$199, $A364)),0)))),"United States of America")</f>
        <v/>
      </c>
      <c r="D364" s="18" t="str" cm="1">
        <f t="array" ref="D364">IF(A364="","",IF(ISNUMBER(MATCH(TRUE,ISNUMBER(SEARCH($Q$2:$Q$51, $A364)),0))=TRUE,"",IF(ISNUMBER(MATCH(TRUE,ISNUMBER(SEARCH($S$2:$S$199, $A364)),0))=TRUE,"","미국 확인 필요")))</f>
        <v/>
      </c>
    </row>
    <row r="365" spans="3:4">
      <c r="C365" s="18" t="str" cm="1">
        <f t="array" ref="C365">IFERROR(IF(A365="","",IF(ISNUMBER(MATCH(TRUE,ISNUMBER(SEARCH($Q$2:$Q$51, $A365)),0))=TRUE,"United States of America",INDEX($S$2:$S$199,MATCH(TRUE,ISNUMBER(SEARCH($S$2:$S$199, $A365)),0)))),"United States of America")</f>
        <v/>
      </c>
      <c r="D365" s="18" t="str" cm="1">
        <f t="array" ref="D365">IF(A365="","",IF(ISNUMBER(MATCH(TRUE,ISNUMBER(SEARCH($Q$2:$Q$51, $A365)),0))=TRUE,"",IF(ISNUMBER(MATCH(TRUE,ISNUMBER(SEARCH($S$2:$S$199, $A365)),0))=TRUE,"","미국 확인 필요")))</f>
        <v/>
      </c>
    </row>
    <row r="366" spans="3:4">
      <c r="C366" s="18" t="str" cm="1">
        <f t="array" ref="C366">IFERROR(IF(A366="","",IF(ISNUMBER(MATCH(TRUE,ISNUMBER(SEARCH($Q$2:$Q$51, $A366)),0))=TRUE,"United States of America",INDEX($S$2:$S$199,MATCH(TRUE,ISNUMBER(SEARCH($S$2:$S$199, $A366)),0)))),"United States of America")</f>
        <v/>
      </c>
      <c r="D366" s="18" t="str" cm="1">
        <f t="array" ref="D366">IF(A366="","",IF(ISNUMBER(MATCH(TRUE,ISNUMBER(SEARCH($Q$2:$Q$51, $A366)),0))=TRUE,"",IF(ISNUMBER(MATCH(TRUE,ISNUMBER(SEARCH($S$2:$S$199, $A366)),0))=TRUE,"","미국 확인 필요")))</f>
        <v/>
      </c>
    </row>
    <row r="367" spans="3:4">
      <c r="C367" s="18" t="str" cm="1">
        <f t="array" ref="C367">IFERROR(IF(A367="","",IF(ISNUMBER(MATCH(TRUE,ISNUMBER(SEARCH($Q$2:$Q$51, $A367)),0))=TRUE,"United States of America",INDEX($S$2:$S$199,MATCH(TRUE,ISNUMBER(SEARCH($S$2:$S$199, $A367)),0)))),"United States of America")</f>
        <v/>
      </c>
      <c r="D367" s="18" t="str" cm="1">
        <f t="array" ref="D367">IF(A367="","",IF(ISNUMBER(MATCH(TRUE,ISNUMBER(SEARCH($Q$2:$Q$51, $A367)),0))=TRUE,"",IF(ISNUMBER(MATCH(TRUE,ISNUMBER(SEARCH($S$2:$S$199, $A367)),0))=TRUE,"","미국 확인 필요")))</f>
        <v/>
      </c>
    </row>
    <row r="368" spans="3:4">
      <c r="C368" s="18" t="str" cm="1">
        <f t="array" ref="C368">IFERROR(IF(A368="","",IF(ISNUMBER(MATCH(TRUE,ISNUMBER(SEARCH($Q$2:$Q$51, $A368)),0))=TRUE,"United States of America",INDEX($S$2:$S$199,MATCH(TRUE,ISNUMBER(SEARCH($S$2:$S$199, $A368)),0)))),"United States of America")</f>
        <v/>
      </c>
      <c r="D368" s="18" t="str" cm="1">
        <f t="array" ref="D368">IF(A368="","",IF(ISNUMBER(MATCH(TRUE,ISNUMBER(SEARCH($Q$2:$Q$51, $A368)),0))=TRUE,"",IF(ISNUMBER(MATCH(TRUE,ISNUMBER(SEARCH($S$2:$S$199, $A368)),0))=TRUE,"","미국 확인 필요")))</f>
        <v/>
      </c>
    </row>
    <row r="369" spans="3:4">
      <c r="C369" s="18" t="str" cm="1">
        <f t="array" ref="C369">IFERROR(IF(A369="","",IF(ISNUMBER(MATCH(TRUE,ISNUMBER(SEARCH($Q$2:$Q$51, $A369)),0))=TRUE,"United States of America",INDEX($S$2:$S$199,MATCH(TRUE,ISNUMBER(SEARCH($S$2:$S$199, $A369)),0)))),"United States of America")</f>
        <v/>
      </c>
      <c r="D369" s="18" t="str" cm="1">
        <f t="array" ref="D369">IF(A369="","",IF(ISNUMBER(MATCH(TRUE,ISNUMBER(SEARCH($Q$2:$Q$51, $A369)),0))=TRUE,"",IF(ISNUMBER(MATCH(TRUE,ISNUMBER(SEARCH($S$2:$S$199, $A369)),0))=TRUE,"","미국 확인 필요")))</f>
        <v/>
      </c>
    </row>
    <row r="370" spans="3:4">
      <c r="C370" s="18" t="str" cm="1">
        <f t="array" ref="C370">IFERROR(IF(A370="","",IF(ISNUMBER(MATCH(TRUE,ISNUMBER(SEARCH($Q$2:$Q$51, $A370)),0))=TRUE,"United States of America",INDEX($S$2:$S$199,MATCH(TRUE,ISNUMBER(SEARCH($S$2:$S$199, $A370)),0)))),"United States of America")</f>
        <v/>
      </c>
      <c r="D370" s="18" t="str" cm="1">
        <f t="array" ref="D370">IF(A370="","",IF(ISNUMBER(MATCH(TRUE,ISNUMBER(SEARCH($Q$2:$Q$51, $A370)),0))=TRUE,"",IF(ISNUMBER(MATCH(TRUE,ISNUMBER(SEARCH($S$2:$S$199, $A370)),0))=TRUE,"","미국 확인 필요")))</f>
        <v/>
      </c>
    </row>
    <row r="371" spans="3:4">
      <c r="C371" s="18" t="str" cm="1">
        <f t="array" ref="C371">IFERROR(IF(A371="","",IF(ISNUMBER(MATCH(TRUE,ISNUMBER(SEARCH($Q$2:$Q$51, $A371)),0))=TRUE,"United States of America",INDEX($S$2:$S$199,MATCH(TRUE,ISNUMBER(SEARCH($S$2:$S$199, $A371)),0)))),"United States of America")</f>
        <v/>
      </c>
      <c r="D371" s="18" t="str" cm="1">
        <f t="array" ref="D371">IF(A371="","",IF(ISNUMBER(MATCH(TRUE,ISNUMBER(SEARCH($Q$2:$Q$51, $A371)),0))=TRUE,"",IF(ISNUMBER(MATCH(TRUE,ISNUMBER(SEARCH($S$2:$S$199, $A371)),0))=TRUE,"","미국 확인 필요")))</f>
        <v/>
      </c>
    </row>
    <row r="372" spans="3:4">
      <c r="C372" s="18" t="str" cm="1">
        <f t="array" ref="C372">IFERROR(IF(A372="","",IF(ISNUMBER(MATCH(TRUE,ISNUMBER(SEARCH($Q$2:$Q$51, $A372)),0))=TRUE,"United States of America",INDEX($S$2:$S$199,MATCH(TRUE,ISNUMBER(SEARCH($S$2:$S$199, $A372)),0)))),"United States of America")</f>
        <v/>
      </c>
      <c r="D372" s="18" t="str" cm="1">
        <f t="array" ref="D372">IF(A372="","",IF(ISNUMBER(MATCH(TRUE,ISNUMBER(SEARCH($Q$2:$Q$51, $A372)),0))=TRUE,"",IF(ISNUMBER(MATCH(TRUE,ISNUMBER(SEARCH($S$2:$S$199, $A372)),0))=TRUE,"","미국 확인 필요")))</f>
        <v/>
      </c>
    </row>
    <row r="373" spans="3:4">
      <c r="C373" s="18" t="str" cm="1">
        <f t="array" ref="C373">IFERROR(IF(A373="","",IF(ISNUMBER(MATCH(TRUE,ISNUMBER(SEARCH($Q$2:$Q$51, $A373)),0))=TRUE,"United States of America",INDEX($S$2:$S$199,MATCH(TRUE,ISNUMBER(SEARCH($S$2:$S$199, $A373)),0)))),"United States of America")</f>
        <v/>
      </c>
      <c r="D373" s="18" t="str" cm="1">
        <f t="array" ref="D373">IF(A373="","",IF(ISNUMBER(MATCH(TRUE,ISNUMBER(SEARCH($Q$2:$Q$51, $A373)),0))=TRUE,"",IF(ISNUMBER(MATCH(TRUE,ISNUMBER(SEARCH($S$2:$S$199, $A373)),0))=TRUE,"","미국 확인 필요")))</f>
        <v/>
      </c>
    </row>
    <row r="374" spans="3:4">
      <c r="C374" s="18" t="str" cm="1">
        <f t="array" ref="C374">IFERROR(IF(A374="","",IF(ISNUMBER(MATCH(TRUE,ISNUMBER(SEARCH($Q$2:$Q$51, $A374)),0))=TRUE,"United States of America",INDEX($S$2:$S$199,MATCH(TRUE,ISNUMBER(SEARCH($S$2:$S$199, $A374)),0)))),"United States of America")</f>
        <v/>
      </c>
      <c r="D374" s="18" t="str" cm="1">
        <f t="array" ref="D374">IF(A374="","",IF(ISNUMBER(MATCH(TRUE,ISNUMBER(SEARCH($Q$2:$Q$51, $A374)),0))=TRUE,"",IF(ISNUMBER(MATCH(TRUE,ISNUMBER(SEARCH($S$2:$S$199, $A374)),0))=TRUE,"","미국 확인 필요")))</f>
        <v/>
      </c>
    </row>
    <row r="375" spans="3:4">
      <c r="C375" s="18" t="str" cm="1">
        <f t="array" ref="C375">IFERROR(IF(A375="","",IF(ISNUMBER(MATCH(TRUE,ISNUMBER(SEARCH($Q$2:$Q$51, $A375)),0))=TRUE,"United States of America",INDEX($S$2:$S$199,MATCH(TRUE,ISNUMBER(SEARCH($S$2:$S$199, $A375)),0)))),"United States of America")</f>
        <v/>
      </c>
      <c r="D375" s="18" t="str" cm="1">
        <f t="array" ref="D375">IF(A375="","",IF(ISNUMBER(MATCH(TRUE,ISNUMBER(SEARCH($Q$2:$Q$51, $A375)),0))=TRUE,"",IF(ISNUMBER(MATCH(TRUE,ISNUMBER(SEARCH($S$2:$S$199, $A375)),0))=TRUE,"","미국 확인 필요")))</f>
        <v/>
      </c>
    </row>
    <row r="376" spans="3:4">
      <c r="C376" s="18" t="str" cm="1">
        <f t="array" ref="C376">IFERROR(IF(A376="","",IF(ISNUMBER(MATCH(TRUE,ISNUMBER(SEARCH($Q$2:$Q$51, $A376)),0))=TRUE,"United States of America",INDEX($S$2:$S$199,MATCH(TRUE,ISNUMBER(SEARCH($S$2:$S$199, $A376)),0)))),"United States of America")</f>
        <v/>
      </c>
      <c r="D376" s="18" t="str" cm="1">
        <f t="array" ref="D376">IF(A376="","",IF(ISNUMBER(MATCH(TRUE,ISNUMBER(SEARCH($Q$2:$Q$51, $A376)),0))=TRUE,"",IF(ISNUMBER(MATCH(TRUE,ISNUMBER(SEARCH($S$2:$S$199, $A376)),0))=TRUE,"","미국 확인 필요")))</f>
        <v/>
      </c>
    </row>
    <row r="377" spans="3:4">
      <c r="C377" s="18" t="str" cm="1">
        <f t="array" ref="C377">IFERROR(IF(A377="","",IF(ISNUMBER(MATCH(TRUE,ISNUMBER(SEARCH($Q$2:$Q$51, $A377)),0))=TRUE,"United States of America",INDEX($S$2:$S$199,MATCH(TRUE,ISNUMBER(SEARCH($S$2:$S$199, $A377)),0)))),"United States of America")</f>
        <v/>
      </c>
      <c r="D377" s="18" t="str" cm="1">
        <f t="array" ref="D377">IF(A377="","",IF(ISNUMBER(MATCH(TRUE,ISNUMBER(SEARCH($Q$2:$Q$51, $A377)),0))=TRUE,"",IF(ISNUMBER(MATCH(TRUE,ISNUMBER(SEARCH($S$2:$S$199, $A377)),0))=TRUE,"","미국 확인 필요")))</f>
        <v/>
      </c>
    </row>
    <row r="378" spans="3:4">
      <c r="C378" s="18" t="str" cm="1">
        <f t="array" ref="C378">IFERROR(IF(A378="","",IF(ISNUMBER(MATCH(TRUE,ISNUMBER(SEARCH($Q$2:$Q$51, $A378)),0))=TRUE,"United States of America",INDEX($S$2:$S$199,MATCH(TRUE,ISNUMBER(SEARCH($S$2:$S$199, $A378)),0)))),"United States of America")</f>
        <v/>
      </c>
      <c r="D378" s="18" t="str" cm="1">
        <f t="array" ref="D378">IF(A378="","",IF(ISNUMBER(MATCH(TRUE,ISNUMBER(SEARCH($Q$2:$Q$51, $A378)),0))=TRUE,"",IF(ISNUMBER(MATCH(TRUE,ISNUMBER(SEARCH($S$2:$S$199, $A378)),0))=TRUE,"","미국 확인 필요")))</f>
        <v/>
      </c>
    </row>
    <row r="379" spans="3:4">
      <c r="C379" s="18" t="str" cm="1">
        <f t="array" ref="C379">IFERROR(IF(A379="","",IF(ISNUMBER(MATCH(TRUE,ISNUMBER(SEARCH($Q$2:$Q$51, $A379)),0))=TRUE,"United States of America",INDEX($S$2:$S$199,MATCH(TRUE,ISNUMBER(SEARCH($S$2:$S$199, $A379)),0)))),"United States of America")</f>
        <v/>
      </c>
      <c r="D379" s="18" t="str" cm="1">
        <f t="array" ref="D379">IF(A379="","",IF(ISNUMBER(MATCH(TRUE,ISNUMBER(SEARCH($Q$2:$Q$51, $A379)),0))=TRUE,"",IF(ISNUMBER(MATCH(TRUE,ISNUMBER(SEARCH($S$2:$S$199, $A379)),0))=TRUE,"","미국 확인 필요")))</f>
        <v/>
      </c>
    </row>
    <row r="380" spans="3:4">
      <c r="C380" s="18" t="str" cm="1">
        <f t="array" ref="C380">IFERROR(IF(A380="","",IF(ISNUMBER(MATCH(TRUE,ISNUMBER(SEARCH($Q$2:$Q$51, $A380)),0))=TRUE,"United States of America",INDEX($S$2:$S$199,MATCH(TRUE,ISNUMBER(SEARCH($S$2:$S$199, $A380)),0)))),"United States of America")</f>
        <v/>
      </c>
      <c r="D380" s="18" t="str" cm="1">
        <f t="array" ref="D380">IF(A380="","",IF(ISNUMBER(MATCH(TRUE,ISNUMBER(SEARCH($Q$2:$Q$51, $A380)),0))=TRUE,"",IF(ISNUMBER(MATCH(TRUE,ISNUMBER(SEARCH($S$2:$S$199, $A380)),0))=TRUE,"","미국 확인 필요")))</f>
        <v/>
      </c>
    </row>
    <row r="381" spans="3:4">
      <c r="C381" s="18" t="str" cm="1">
        <f t="array" ref="C381">IFERROR(IF(A381="","",IF(ISNUMBER(MATCH(TRUE,ISNUMBER(SEARCH($Q$2:$Q$51, $A381)),0))=TRUE,"United States of America",INDEX($S$2:$S$199,MATCH(TRUE,ISNUMBER(SEARCH($S$2:$S$199, $A381)),0)))),"United States of America")</f>
        <v/>
      </c>
      <c r="D381" s="18" t="str" cm="1">
        <f t="array" ref="D381">IF(A381="","",IF(ISNUMBER(MATCH(TRUE,ISNUMBER(SEARCH($Q$2:$Q$51, $A381)),0))=TRUE,"",IF(ISNUMBER(MATCH(TRUE,ISNUMBER(SEARCH($S$2:$S$199, $A381)),0))=TRUE,"","미국 확인 필요")))</f>
        <v/>
      </c>
    </row>
    <row r="382" spans="3:4">
      <c r="C382" s="18" t="str" cm="1">
        <f t="array" ref="C382">IFERROR(IF(A382="","",IF(ISNUMBER(MATCH(TRUE,ISNUMBER(SEARCH($Q$2:$Q$51, $A382)),0))=TRUE,"United States of America",INDEX($S$2:$S$199,MATCH(TRUE,ISNUMBER(SEARCH($S$2:$S$199, $A382)),0)))),"United States of America")</f>
        <v/>
      </c>
      <c r="D382" s="18" t="str" cm="1">
        <f t="array" ref="D382">IF(A382="","",IF(ISNUMBER(MATCH(TRUE,ISNUMBER(SEARCH($Q$2:$Q$51, $A382)),0))=TRUE,"",IF(ISNUMBER(MATCH(TRUE,ISNUMBER(SEARCH($S$2:$S$199, $A382)),0))=TRUE,"","미국 확인 필요")))</f>
        <v/>
      </c>
    </row>
    <row r="383" spans="3:4">
      <c r="C383" s="18" t="str" cm="1">
        <f t="array" ref="C383">IFERROR(IF(A383="","",IF(ISNUMBER(MATCH(TRUE,ISNUMBER(SEARCH($Q$2:$Q$51, $A383)),0))=TRUE,"United States of America",INDEX($S$2:$S$199,MATCH(TRUE,ISNUMBER(SEARCH($S$2:$S$199, $A383)),0)))),"United States of America")</f>
        <v/>
      </c>
      <c r="D383" s="18" t="str" cm="1">
        <f t="array" ref="D383">IF(A383="","",IF(ISNUMBER(MATCH(TRUE,ISNUMBER(SEARCH($Q$2:$Q$51, $A383)),0))=TRUE,"",IF(ISNUMBER(MATCH(TRUE,ISNUMBER(SEARCH($S$2:$S$199, $A383)),0))=TRUE,"","미국 확인 필요")))</f>
        <v/>
      </c>
    </row>
    <row r="384" spans="3:4">
      <c r="C384" s="18" t="str" cm="1">
        <f t="array" ref="C384">IFERROR(IF(A384="","",IF(ISNUMBER(MATCH(TRUE,ISNUMBER(SEARCH($Q$2:$Q$51, $A384)),0))=TRUE,"United States of America",INDEX($S$2:$S$199,MATCH(TRUE,ISNUMBER(SEARCH($S$2:$S$199, $A384)),0)))),"United States of America")</f>
        <v/>
      </c>
      <c r="D384" s="18" t="str" cm="1">
        <f t="array" ref="D384">IF(A384="","",IF(ISNUMBER(MATCH(TRUE,ISNUMBER(SEARCH($Q$2:$Q$51, $A384)),0))=TRUE,"",IF(ISNUMBER(MATCH(TRUE,ISNUMBER(SEARCH($S$2:$S$199, $A384)),0))=TRUE,"","미국 확인 필요")))</f>
        <v/>
      </c>
    </row>
    <row r="385" spans="3:4">
      <c r="C385" s="18" t="str" cm="1">
        <f t="array" ref="C385">IFERROR(IF(A385="","",IF(ISNUMBER(MATCH(TRUE,ISNUMBER(SEARCH($Q$2:$Q$51, $A385)),0))=TRUE,"United States of America",INDEX($S$2:$S$199,MATCH(TRUE,ISNUMBER(SEARCH($S$2:$S$199, $A385)),0)))),"United States of America")</f>
        <v/>
      </c>
      <c r="D385" s="18" t="str" cm="1">
        <f t="array" ref="D385">IF(A385="","",IF(ISNUMBER(MATCH(TRUE,ISNUMBER(SEARCH($Q$2:$Q$51, $A385)),0))=TRUE,"",IF(ISNUMBER(MATCH(TRUE,ISNUMBER(SEARCH($S$2:$S$199, $A385)),0))=TRUE,"","미국 확인 필요")))</f>
        <v/>
      </c>
    </row>
    <row r="386" spans="3:4">
      <c r="C386" s="18" t="str" cm="1">
        <f t="array" ref="C386">IFERROR(IF(A386="","",IF(ISNUMBER(MATCH(TRUE,ISNUMBER(SEARCH($Q$2:$Q$51, $A386)),0))=TRUE,"United States of America",INDEX($S$2:$S$199,MATCH(TRUE,ISNUMBER(SEARCH($S$2:$S$199, $A386)),0)))),"United States of America")</f>
        <v/>
      </c>
      <c r="D386" s="18" t="str" cm="1">
        <f t="array" ref="D386">IF(A386="","",IF(ISNUMBER(MATCH(TRUE,ISNUMBER(SEARCH($Q$2:$Q$51, $A386)),0))=TRUE,"",IF(ISNUMBER(MATCH(TRUE,ISNUMBER(SEARCH($S$2:$S$199, $A386)),0))=TRUE,"","미국 확인 필요")))</f>
        <v/>
      </c>
    </row>
    <row r="387" spans="3:4">
      <c r="C387" s="18" t="str" cm="1">
        <f t="array" ref="C387">IFERROR(IF(A387="","",IF(ISNUMBER(MATCH(TRUE,ISNUMBER(SEARCH($Q$2:$Q$51, $A387)),0))=TRUE,"United States of America",INDEX($S$2:$S$199,MATCH(TRUE,ISNUMBER(SEARCH($S$2:$S$199, $A387)),0)))),"United States of America")</f>
        <v/>
      </c>
      <c r="D387" s="18" t="str" cm="1">
        <f t="array" ref="D387">IF(A387="","",IF(ISNUMBER(MATCH(TRUE,ISNUMBER(SEARCH($Q$2:$Q$51, $A387)),0))=TRUE,"",IF(ISNUMBER(MATCH(TRUE,ISNUMBER(SEARCH($S$2:$S$199, $A387)),0))=TRUE,"","미국 확인 필요")))</f>
        <v/>
      </c>
    </row>
    <row r="388" spans="3:4">
      <c r="C388" s="18" t="str" cm="1">
        <f t="array" ref="C388">IFERROR(IF(A388="","",IF(ISNUMBER(MATCH(TRUE,ISNUMBER(SEARCH($Q$2:$Q$51, $A388)),0))=TRUE,"United States of America",INDEX($S$2:$S$199,MATCH(TRUE,ISNUMBER(SEARCH($S$2:$S$199, $A388)),0)))),"United States of America")</f>
        <v/>
      </c>
      <c r="D388" s="18" t="str" cm="1">
        <f t="array" ref="D388">IF(A388="","",IF(ISNUMBER(MATCH(TRUE,ISNUMBER(SEARCH($Q$2:$Q$51, $A388)),0))=TRUE,"",IF(ISNUMBER(MATCH(TRUE,ISNUMBER(SEARCH($S$2:$S$199, $A388)),0))=TRUE,"","미국 확인 필요")))</f>
        <v/>
      </c>
    </row>
    <row r="389" spans="3:4">
      <c r="C389" s="18" t="str" cm="1">
        <f t="array" ref="C389">IFERROR(IF(A389="","",IF(ISNUMBER(MATCH(TRUE,ISNUMBER(SEARCH($Q$2:$Q$51, $A389)),0))=TRUE,"United States of America",INDEX($S$2:$S$199,MATCH(TRUE,ISNUMBER(SEARCH($S$2:$S$199, $A389)),0)))),"United States of America")</f>
        <v/>
      </c>
      <c r="D389" s="18" t="str" cm="1">
        <f t="array" ref="D389">IF(A389="","",IF(ISNUMBER(MATCH(TRUE,ISNUMBER(SEARCH($Q$2:$Q$51, $A389)),0))=TRUE,"",IF(ISNUMBER(MATCH(TRUE,ISNUMBER(SEARCH($S$2:$S$199, $A389)),0))=TRUE,"","미국 확인 필요")))</f>
        <v/>
      </c>
    </row>
    <row r="390" spans="3:4">
      <c r="C390" s="18" t="str" cm="1">
        <f t="array" ref="C390">IFERROR(IF(A390="","",IF(ISNUMBER(MATCH(TRUE,ISNUMBER(SEARCH($Q$2:$Q$51, $A390)),0))=TRUE,"United States of America",INDEX($S$2:$S$199,MATCH(TRUE,ISNUMBER(SEARCH($S$2:$S$199, $A390)),0)))),"United States of America")</f>
        <v/>
      </c>
      <c r="D390" s="18" t="str" cm="1">
        <f t="array" ref="D390">IF(A390="","",IF(ISNUMBER(MATCH(TRUE,ISNUMBER(SEARCH($Q$2:$Q$51, $A390)),0))=TRUE,"",IF(ISNUMBER(MATCH(TRUE,ISNUMBER(SEARCH($S$2:$S$199, $A390)),0))=TRUE,"","미국 확인 필요")))</f>
        <v/>
      </c>
    </row>
    <row r="391" spans="3:4">
      <c r="C391" s="18" t="str" cm="1">
        <f t="array" ref="C391">IFERROR(IF(A391="","",IF(ISNUMBER(MATCH(TRUE,ISNUMBER(SEARCH($Q$2:$Q$51, $A391)),0))=TRUE,"United States of America",INDEX($S$2:$S$199,MATCH(TRUE,ISNUMBER(SEARCH($S$2:$S$199, $A391)),0)))),"United States of America")</f>
        <v/>
      </c>
      <c r="D391" s="18" t="str" cm="1">
        <f t="array" ref="D391">IF(A391="","",IF(ISNUMBER(MATCH(TRUE,ISNUMBER(SEARCH($Q$2:$Q$51, $A391)),0))=TRUE,"",IF(ISNUMBER(MATCH(TRUE,ISNUMBER(SEARCH($S$2:$S$199, $A391)),0))=TRUE,"","미국 확인 필요")))</f>
        <v/>
      </c>
    </row>
    <row r="392" spans="3:4">
      <c r="C392" s="18" t="str" cm="1">
        <f t="array" ref="C392">IFERROR(IF(A392="","",IF(ISNUMBER(MATCH(TRUE,ISNUMBER(SEARCH($Q$2:$Q$51, $A392)),0))=TRUE,"United States of America",INDEX($S$2:$S$199,MATCH(TRUE,ISNUMBER(SEARCH($S$2:$S$199, $A392)),0)))),"United States of America")</f>
        <v/>
      </c>
      <c r="D392" s="18" t="str" cm="1">
        <f t="array" ref="D392">IF(A392="","",IF(ISNUMBER(MATCH(TRUE,ISNUMBER(SEARCH($Q$2:$Q$51, $A392)),0))=TRUE,"",IF(ISNUMBER(MATCH(TRUE,ISNUMBER(SEARCH($S$2:$S$199, $A392)),0))=TRUE,"","미국 확인 필요")))</f>
        <v/>
      </c>
    </row>
    <row r="393" spans="3:4">
      <c r="C393" s="18" t="str" cm="1">
        <f t="array" ref="C393">IFERROR(IF(A393="","",IF(ISNUMBER(MATCH(TRUE,ISNUMBER(SEARCH($Q$2:$Q$51, $A393)),0))=TRUE,"United States of America",INDEX($S$2:$S$199,MATCH(TRUE,ISNUMBER(SEARCH($S$2:$S$199, $A393)),0)))),"United States of America")</f>
        <v/>
      </c>
      <c r="D393" s="18" t="str" cm="1">
        <f t="array" ref="D393">IF(A393="","",IF(ISNUMBER(MATCH(TRUE,ISNUMBER(SEARCH($Q$2:$Q$51, $A393)),0))=TRUE,"",IF(ISNUMBER(MATCH(TRUE,ISNUMBER(SEARCH($S$2:$S$199, $A393)),0))=TRUE,"","미국 확인 필요")))</f>
        <v/>
      </c>
    </row>
    <row r="394" spans="3:4">
      <c r="C394" s="18" t="str" cm="1">
        <f t="array" ref="C394">IFERROR(IF(A394="","",IF(ISNUMBER(MATCH(TRUE,ISNUMBER(SEARCH($Q$2:$Q$51, $A394)),0))=TRUE,"United States of America",INDEX($S$2:$S$199,MATCH(TRUE,ISNUMBER(SEARCH($S$2:$S$199, $A394)),0)))),"United States of America")</f>
        <v/>
      </c>
      <c r="D394" s="18" t="str" cm="1">
        <f t="array" ref="D394">IF(A394="","",IF(ISNUMBER(MATCH(TRUE,ISNUMBER(SEARCH($Q$2:$Q$51, $A394)),0))=TRUE,"",IF(ISNUMBER(MATCH(TRUE,ISNUMBER(SEARCH($S$2:$S$199, $A394)),0))=TRUE,"","미국 확인 필요")))</f>
        <v/>
      </c>
    </row>
    <row r="395" spans="3:4">
      <c r="C395" s="18" t="str" cm="1">
        <f t="array" ref="C395">IFERROR(IF(A395="","",IF(ISNUMBER(MATCH(TRUE,ISNUMBER(SEARCH($Q$2:$Q$51, $A395)),0))=TRUE,"United States of America",INDEX($S$2:$S$199,MATCH(TRUE,ISNUMBER(SEARCH($S$2:$S$199, $A395)),0)))),"United States of America")</f>
        <v/>
      </c>
      <c r="D395" s="18" t="str" cm="1">
        <f t="array" ref="D395">IF(A395="","",IF(ISNUMBER(MATCH(TRUE,ISNUMBER(SEARCH($Q$2:$Q$51, $A395)),0))=TRUE,"",IF(ISNUMBER(MATCH(TRUE,ISNUMBER(SEARCH($S$2:$S$199, $A395)),0))=TRUE,"","미국 확인 필요")))</f>
        <v/>
      </c>
    </row>
    <row r="396" spans="3:4">
      <c r="C396" s="18" t="str" cm="1">
        <f t="array" ref="C396">IFERROR(IF(A396="","",IF(ISNUMBER(MATCH(TRUE,ISNUMBER(SEARCH($Q$2:$Q$51, $A396)),0))=TRUE,"United States of America",INDEX($S$2:$S$199,MATCH(TRUE,ISNUMBER(SEARCH($S$2:$S$199, $A396)),0)))),"United States of America")</f>
        <v/>
      </c>
      <c r="D396" s="18" t="str" cm="1">
        <f t="array" ref="D396">IF(A396="","",IF(ISNUMBER(MATCH(TRUE,ISNUMBER(SEARCH($Q$2:$Q$51, $A396)),0))=TRUE,"",IF(ISNUMBER(MATCH(TRUE,ISNUMBER(SEARCH($S$2:$S$199, $A396)),0))=TRUE,"","미국 확인 필요")))</f>
        <v/>
      </c>
    </row>
    <row r="397" spans="3:4">
      <c r="C397" s="18" t="str" cm="1">
        <f t="array" ref="C397">IFERROR(IF(A397="","",IF(ISNUMBER(MATCH(TRUE,ISNUMBER(SEARCH($Q$2:$Q$51, $A397)),0))=TRUE,"United States of America",INDEX($S$2:$S$199,MATCH(TRUE,ISNUMBER(SEARCH($S$2:$S$199, $A397)),0)))),"United States of America")</f>
        <v/>
      </c>
      <c r="D397" s="18" t="str" cm="1">
        <f t="array" ref="D397">IF(A397="","",IF(ISNUMBER(MATCH(TRUE,ISNUMBER(SEARCH($Q$2:$Q$51, $A397)),0))=TRUE,"",IF(ISNUMBER(MATCH(TRUE,ISNUMBER(SEARCH($S$2:$S$199, $A397)),0))=TRUE,"","미국 확인 필요")))</f>
        <v/>
      </c>
    </row>
    <row r="398" spans="3:4">
      <c r="C398" s="18" t="str" cm="1">
        <f t="array" ref="C398">IFERROR(IF(A398="","",IF(ISNUMBER(MATCH(TRUE,ISNUMBER(SEARCH($Q$2:$Q$51, $A398)),0))=TRUE,"United States of America",INDEX($S$2:$S$199,MATCH(TRUE,ISNUMBER(SEARCH($S$2:$S$199, $A398)),0)))),"United States of America")</f>
        <v/>
      </c>
      <c r="D398" s="18" t="str" cm="1">
        <f t="array" ref="D398">IF(A398="","",IF(ISNUMBER(MATCH(TRUE,ISNUMBER(SEARCH($Q$2:$Q$51, $A398)),0))=TRUE,"",IF(ISNUMBER(MATCH(TRUE,ISNUMBER(SEARCH($S$2:$S$199, $A398)),0))=TRUE,"","미국 확인 필요")))</f>
        <v/>
      </c>
    </row>
    <row r="399" spans="3:4">
      <c r="C399" s="18" t="str" cm="1">
        <f t="array" ref="C399">IFERROR(IF(A399="","",IF(ISNUMBER(MATCH(TRUE,ISNUMBER(SEARCH($Q$2:$Q$51, $A399)),0))=TRUE,"United States of America",INDEX($S$2:$S$199,MATCH(TRUE,ISNUMBER(SEARCH($S$2:$S$199, $A399)),0)))),"United States of America")</f>
        <v/>
      </c>
      <c r="D399" s="18" t="str" cm="1">
        <f t="array" ref="D399">IF(A399="","",IF(ISNUMBER(MATCH(TRUE,ISNUMBER(SEARCH($Q$2:$Q$51, $A399)),0))=TRUE,"",IF(ISNUMBER(MATCH(TRUE,ISNUMBER(SEARCH($S$2:$S$199, $A399)),0))=TRUE,"","미국 확인 필요")))</f>
        <v/>
      </c>
    </row>
    <row r="400" spans="3:4">
      <c r="C400" s="18" t="str" cm="1">
        <f t="array" ref="C400">IFERROR(IF(A400="","",IF(ISNUMBER(MATCH(TRUE,ISNUMBER(SEARCH($Q$2:$Q$51, $A400)),0))=TRUE,"United States of America",INDEX($S$2:$S$199,MATCH(TRUE,ISNUMBER(SEARCH($S$2:$S$199, $A400)),0)))),"United States of America")</f>
        <v/>
      </c>
      <c r="D400" s="18" t="str" cm="1">
        <f t="array" ref="D400">IF(A400="","",IF(ISNUMBER(MATCH(TRUE,ISNUMBER(SEARCH($Q$2:$Q$51, $A400)),0))=TRUE,"",IF(ISNUMBER(MATCH(TRUE,ISNUMBER(SEARCH($S$2:$S$199, $A400)),0))=TRUE,"","미국 확인 필요")))</f>
        <v/>
      </c>
    </row>
    <row r="401" spans="3:4">
      <c r="C401" s="18" t="str" cm="1">
        <f t="array" ref="C401">IFERROR(IF(A401="","",IF(ISNUMBER(MATCH(TRUE,ISNUMBER(SEARCH($Q$2:$Q$51, $A401)),0))=TRUE,"United States of America",INDEX($S$2:$S$199,MATCH(TRUE,ISNUMBER(SEARCH($S$2:$S$199, $A401)),0)))),"United States of America")</f>
        <v/>
      </c>
      <c r="D401" s="18" t="str" cm="1">
        <f t="array" ref="D401">IF(A401="","",IF(ISNUMBER(MATCH(TRUE,ISNUMBER(SEARCH($Q$2:$Q$51, $A401)),0))=TRUE,"",IF(ISNUMBER(MATCH(TRUE,ISNUMBER(SEARCH($S$2:$S$199, $A401)),0))=TRUE,"","미국 확인 필요")))</f>
        <v/>
      </c>
    </row>
    <row r="402" spans="3:4">
      <c r="C402" s="18" t="str" cm="1">
        <f t="array" ref="C402">IFERROR(IF(A402="","",IF(ISNUMBER(MATCH(TRUE,ISNUMBER(SEARCH($Q$2:$Q$51, $A402)),0))=TRUE,"United States of America",INDEX($S$2:$S$199,MATCH(TRUE,ISNUMBER(SEARCH($S$2:$S$199, $A402)),0)))),"United States of America")</f>
        <v/>
      </c>
      <c r="D402" s="18" t="str" cm="1">
        <f t="array" ref="D402">IF(A402="","",IF(ISNUMBER(MATCH(TRUE,ISNUMBER(SEARCH($Q$2:$Q$51, $A402)),0))=TRUE,"",IF(ISNUMBER(MATCH(TRUE,ISNUMBER(SEARCH($S$2:$S$199, $A402)),0))=TRUE,"","미국 확인 필요")))</f>
        <v/>
      </c>
    </row>
    <row r="403" spans="3:4">
      <c r="C403" s="18" t="str" cm="1">
        <f t="array" ref="C403">IFERROR(IF(A403="","",IF(ISNUMBER(MATCH(TRUE,ISNUMBER(SEARCH($Q$2:$Q$51, $A403)),0))=TRUE,"United States of America",INDEX($S$2:$S$199,MATCH(TRUE,ISNUMBER(SEARCH($S$2:$S$199, $A403)),0)))),"United States of America")</f>
        <v/>
      </c>
      <c r="D403" s="18" t="str" cm="1">
        <f t="array" ref="D403">IF(A403="","",IF(ISNUMBER(MATCH(TRUE,ISNUMBER(SEARCH($Q$2:$Q$51, $A403)),0))=TRUE,"",IF(ISNUMBER(MATCH(TRUE,ISNUMBER(SEARCH($S$2:$S$199, $A403)),0))=TRUE,"","미국 확인 필요")))</f>
        <v/>
      </c>
    </row>
    <row r="404" spans="3:4">
      <c r="C404" s="18" t="str" cm="1">
        <f t="array" ref="C404">IFERROR(IF(A404="","",IF(ISNUMBER(MATCH(TRUE,ISNUMBER(SEARCH($Q$2:$Q$51, $A404)),0))=TRUE,"United States of America",INDEX($S$2:$S$199,MATCH(TRUE,ISNUMBER(SEARCH($S$2:$S$199, $A404)),0)))),"United States of America")</f>
        <v/>
      </c>
      <c r="D404" s="18" t="str" cm="1">
        <f t="array" ref="D404">IF(A404="","",IF(ISNUMBER(MATCH(TRUE,ISNUMBER(SEARCH($Q$2:$Q$51, $A404)),0))=TRUE,"",IF(ISNUMBER(MATCH(TRUE,ISNUMBER(SEARCH($S$2:$S$199, $A404)),0))=TRUE,"","미국 확인 필요")))</f>
        <v/>
      </c>
    </row>
    <row r="405" spans="3:4">
      <c r="C405" s="18" t="str" cm="1">
        <f t="array" ref="C405">IFERROR(IF(A405="","",IF(ISNUMBER(MATCH(TRUE,ISNUMBER(SEARCH($Q$2:$Q$51, $A405)),0))=TRUE,"United States of America",INDEX($S$2:$S$199,MATCH(TRUE,ISNUMBER(SEARCH($S$2:$S$199, $A405)),0)))),"United States of America")</f>
        <v/>
      </c>
      <c r="D405" s="18" t="str" cm="1">
        <f t="array" ref="D405">IF(A405="","",IF(ISNUMBER(MATCH(TRUE,ISNUMBER(SEARCH($Q$2:$Q$51, $A405)),0))=TRUE,"",IF(ISNUMBER(MATCH(TRUE,ISNUMBER(SEARCH($S$2:$S$199, $A405)),0))=TRUE,"","미국 확인 필요")))</f>
        <v/>
      </c>
    </row>
    <row r="406" spans="3:4">
      <c r="C406" s="18" t="str" cm="1">
        <f t="array" ref="C406">IFERROR(IF(A406="","",IF(ISNUMBER(MATCH(TRUE,ISNUMBER(SEARCH($Q$2:$Q$51, $A406)),0))=TRUE,"United States of America",INDEX($S$2:$S$199,MATCH(TRUE,ISNUMBER(SEARCH($S$2:$S$199, $A406)),0)))),"United States of America")</f>
        <v/>
      </c>
      <c r="D406" s="18" t="str" cm="1">
        <f t="array" ref="D406">IF(A406="","",IF(ISNUMBER(MATCH(TRUE,ISNUMBER(SEARCH($Q$2:$Q$51, $A406)),0))=TRUE,"",IF(ISNUMBER(MATCH(TRUE,ISNUMBER(SEARCH($S$2:$S$199, $A406)),0))=TRUE,"","미국 확인 필요")))</f>
        <v/>
      </c>
    </row>
    <row r="407" spans="3:4">
      <c r="C407" s="18" t="str" cm="1">
        <f t="array" ref="C407">IFERROR(IF(A407="","",IF(ISNUMBER(MATCH(TRUE,ISNUMBER(SEARCH($Q$2:$Q$51, $A407)),0))=TRUE,"United States of America",INDEX($S$2:$S$199,MATCH(TRUE,ISNUMBER(SEARCH($S$2:$S$199, $A407)),0)))),"United States of America")</f>
        <v/>
      </c>
      <c r="D407" s="18" t="str" cm="1">
        <f t="array" ref="D407">IF(A407="","",IF(ISNUMBER(MATCH(TRUE,ISNUMBER(SEARCH($Q$2:$Q$51, $A407)),0))=TRUE,"",IF(ISNUMBER(MATCH(TRUE,ISNUMBER(SEARCH($S$2:$S$199, $A407)),0))=TRUE,"","미국 확인 필요")))</f>
        <v/>
      </c>
    </row>
    <row r="408" spans="3:4">
      <c r="C408" s="18" t="str" cm="1">
        <f t="array" ref="C408">IFERROR(IF(A408="","",IF(ISNUMBER(MATCH(TRUE,ISNUMBER(SEARCH($Q$2:$Q$51, $A408)),0))=TRUE,"United States of America",INDEX($S$2:$S$199,MATCH(TRUE,ISNUMBER(SEARCH($S$2:$S$199, $A408)),0)))),"United States of America")</f>
        <v/>
      </c>
      <c r="D408" s="18" t="str" cm="1">
        <f t="array" ref="D408">IF(A408="","",IF(ISNUMBER(MATCH(TRUE,ISNUMBER(SEARCH($Q$2:$Q$51, $A408)),0))=TRUE,"",IF(ISNUMBER(MATCH(TRUE,ISNUMBER(SEARCH($S$2:$S$199, $A408)),0))=TRUE,"","미국 확인 필요")))</f>
        <v/>
      </c>
    </row>
    <row r="409" spans="3:4">
      <c r="C409" s="18" t="str" cm="1">
        <f t="array" ref="C409">IFERROR(IF(A409="","",IF(ISNUMBER(MATCH(TRUE,ISNUMBER(SEARCH($Q$2:$Q$51, $A409)),0))=TRUE,"United States of America",INDEX($S$2:$S$199,MATCH(TRUE,ISNUMBER(SEARCH($S$2:$S$199, $A409)),0)))),"United States of America")</f>
        <v/>
      </c>
      <c r="D409" s="18" t="str" cm="1">
        <f t="array" ref="D409">IF(A409="","",IF(ISNUMBER(MATCH(TRUE,ISNUMBER(SEARCH($Q$2:$Q$51, $A409)),0))=TRUE,"",IF(ISNUMBER(MATCH(TRUE,ISNUMBER(SEARCH($S$2:$S$199, $A409)),0))=TRUE,"","미국 확인 필요")))</f>
        <v/>
      </c>
    </row>
    <row r="410" spans="3:4">
      <c r="C410" s="18" t="str" cm="1">
        <f t="array" ref="C410">IFERROR(IF(A410="","",IF(ISNUMBER(MATCH(TRUE,ISNUMBER(SEARCH($Q$2:$Q$51, $A410)),0))=TRUE,"United States of America",INDEX($S$2:$S$199,MATCH(TRUE,ISNUMBER(SEARCH($S$2:$S$199, $A410)),0)))),"United States of America")</f>
        <v/>
      </c>
      <c r="D410" s="18" t="str" cm="1">
        <f t="array" ref="D410">IF(A410="","",IF(ISNUMBER(MATCH(TRUE,ISNUMBER(SEARCH($Q$2:$Q$51, $A410)),0))=TRUE,"",IF(ISNUMBER(MATCH(TRUE,ISNUMBER(SEARCH($S$2:$S$199, $A410)),0))=TRUE,"","미국 확인 필요")))</f>
        <v/>
      </c>
    </row>
    <row r="411" spans="3:4">
      <c r="C411" s="18" t="str" cm="1">
        <f t="array" ref="C411">IFERROR(IF(A411="","",IF(ISNUMBER(MATCH(TRUE,ISNUMBER(SEARCH($Q$2:$Q$51, $A411)),0))=TRUE,"United States of America",INDEX($S$2:$S$199,MATCH(TRUE,ISNUMBER(SEARCH($S$2:$S$199, $A411)),0)))),"United States of America")</f>
        <v/>
      </c>
      <c r="D411" s="18" t="str" cm="1">
        <f t="array" ref="D411">IF(A411="","",IF(ISNUMBER(MATCH(TRUE,ISNUMBER(SEARCH($Q$2:$Q$51, $A411)),0))=TRUE,"",IF(ISNUMBER(MATCH(TRUE,ISNUMBER(SEARCH($S$2:$S$199, $A411)),0))=TRUE,"","미국 확인 필요")))</f>
        <v/>
      </c>
    </row>
    <row r="412" spans="3:4">
      <c r="C412" s="18" t="str" cm="1">
        <f t="array" ref="C412">IFERROR(IF(A412="","",IF(ISNUMBER(MATCH(TRUE,ISNUMBER(SEARCH($Q$2:$Q$51, $A412)),0))=TRUE,"United States of America",INDEX($S$2:$S$199,MATCH(TRUE,ISNUMBER(SEARCH($S$2:$S$199, $A412)),0)))),"United States of America")</f>
        <v/>
      </c>
      <c r="D412" s="18" t="str" cm="1">
        <f t="array" ref="D412">IF(A412="","",IF(ISNUMBER(MATCH(TRUE,ISNUMBER(SEARCH($Q$2:$Q$51, $A412)),0))=TRUE,"",IF(ISNUMBER(MATCH(TRUE,ISNUMBER(SEARCH($S$2:$S$199, $A412)),0))=TRUE,"","미국 확인 필요")))</f>
        <v/>
      </c>
    </row>
    <row r="413" spans="3:4">
      <c r="C413" s="18" t="str" cm="1">
        <f t="array" ref="C413">IFERROR(IF(A413="","",IF(ISNUMBER(MATCH(TRUE,ISNUMBER(SEARCH($Q$2:$Q$51, $A413)),0))=TRUE,"United States of America",INDEX($S$2:$S$199,MATCH(TRUE,ISNUMBER(SEARCH($S$2:$S$199, $A413)),0)))),"United States of America")</f>
        <v/>
      </c>
      <c r="D413" s="18" t="str" cm="1">
        <f t="array" ref="D413">IF(A413="","",IF(ISNUMBER(MATCH(TRUE,ISNUMBER(SEARCH($Q$2:$Q$51, $A413)),0))=TRUE,"",IF(ISNUMBER(MATCH(TRUE,ISNUMBER(SEARCH($S$2:$S$199, $A413)),0))=TRUE,"","미국 확인 필요")))</f>
        <v/>
      </c>
    </row>
    <row r="414" spans="3:4">
      <c r="C414" s="18" t="str" cm="1">
        <f t="array" ref="C414">IFERROR(IF(A414="","",IF(ISNUMBER(MATCH(TRUE,ISNUMBER(SEARCH($Q$2:$Q$51, $A414)),0))=TRUE,"United States of America",INDEX($S$2:$S$199,MATCH(TRUE,ISNUMBER(SEARCH($S$2:$S$199, $A414)),0)))),"United States of America")</f>
        <v/>
      </c>
      <c r="D414" s="18" t="str" cm="1">
        <f t="array" ref="D414">IF(A414="","",IF(ISNUMBER(MATCH(TRUE,ISNUMBER(SEARCH($Q$2:$Q$51, $A414)),0))=TRUE,"",IF(ISNUMBER(MATCH(TRUE,ISNUMBER(SEARCH($S$2:$S$199, $A414)),0))=TRUE,"","미국 확인 필요")))</f>
        <v/>
      </c>
    </row>
    <row r="415" spans="3:4">
      <c r="C415" s="18" t="str" cm="1">
        <f t="array" ref="C415">IFERROR(IF(A415="","",IF(ISNUMBER(MATCH(TRUE,ISNUMBER(SEARCH($Q$2:$Q$51, $A415)),0))=TRUE,"United States of America",INDEX($S$2:$S$199,MATCH(TRUE,ISNUMBER(SEARCH($S$2:$S$199, $A415)),0)))),"United States of America")</f>
        <v/>
      </c>
      <c r="D415" s="18" t="str" cm="1">
        <f t="array" ref="D415">IF(A415="","",IF(ISNUMBER(MATCH(TRUE,ISNUMBER(SEARCH($Q$2:$Q$51, $A415)),0))=TRUE,"",IF(ISNUMBER(MATCH(TRUE,ISNUMBER(SEARCH($S$2:$S$199, $A415)),0))=TRUE,"","미국 확인 필요")))</f>
        <v/>
      </c>
    </row>
    <row r="416" spans="3:4">
      <c r="C416" s="18" t="str" cm="1">
        <f t="array" ref="C416">IFERROR(IF(A416="","",IF(ISNUMBER(MATCH(TRUE,ISNUMBER(SEARCH($Q$2:$Q$51, $A416)),0))=TRUE,"United States of America",INDEX($S$2:$S$199,MATCH(TRUE,ISNUMBER(SEARCH($S$2:$S$199, $A416)),0)))),"United States of America")</f>
        <v/>
      </c>
      <c r="D416" s="18" t="str" cm="1">
        <f t="array" ref="D416">IF(A416="","",IF(ISNUMBER(MATCH(TRUE,ISNUMBER(SEARCH($Q$2:$Q$51, $A416)),0))=TRUE,"",IF(ISNUMBER(MATCH(TRUE,ISNUMBER(SEARCH($S$2:$S$199, $A416)),0))=TRUE,"","미국 확인 필요")))</f>
        <v/>
      </c>
    </row>
    <row r="417" spans="3:4">
      <c r="C417" s="18" t="str" cm="1">
        <f t="array" ref="C417">IFERROR(IF(A417="","",IF(ISNUMBER(MATCH(TRUE,ISNUMBER(SEARCH($Q$2:$Q$51, $A417)),0))=TRUE,"United States of America",INDEX($S$2:$S$199,MATCH(TRUE,ISNUMBER(SEARCH($S$2:$S$199, $A417)),0)))),"United States of America")</f>
        <v/>
      </c>
      <c r="D417" s="18" t="str" cm="1">
        <f t="array" ref="D417">IF(A417="","",IF(ISNUMBER(MATCH(TRUE,ISNUMBER(SEARCH($Q$2:$Q$51, $A417)),0))=TRUE,"",IF(ISNUMBER(MATCH(TRUE,ISNUMBER(SEARCH($S$2:$S$199, $A417)),0))=TRUE,"","미국 확인 필요")))</f>
        <v/>
      </c>
    </row>
    <row r="418" spans="3:4">
      <c r="C418" s="18" t="str" cm="1">
        <f t="array" ref="C418">IFERROR(IF(A418="","",IF(ISNUMBER(MATCH(TRUE,ISNUMBER(SEARCH($Q$2:$Q$51, $A418)),0))=TRUE,"United States of America",INDEX($S$2:$S$199,MATCH(TRUE,ISNUMBER(SEARCH($S$2:$S$199, $A418)),0)))),"United States of America")</f>
        <v/>
      </c>
      <c r="D418" s="18" t="str" cm="1">
        <f t="array" ref="D418">IF(A418="","",IF(ISNUMBER(MATCH(TRUE,ISNUMBER(SEARCH($Q$2:$Q$51, $A418)),0))=TRUE,"",IF(ISNUMBER(MATCH(TRUE,ISNUMBER(SEARCH($S$2:$S$199, $A418)),0))=TRUE,"","미국 확인 필요")))</f>
        <v/>
      </c>
    </row>
    <row r="419" spans="3:4">
      <c r="C419" s="18" t="str" cm="1">
        <f t="array" ref="C419">IFERROR(IF(A419="","",IF(ISNUMBER(MATCH(TRUE,ISNUMBER(SEARCH($Q$2:$Q$51, $A419)),0))=TRUE,"United States of America",INDEX($S$2:$S$199,MATCH(TRUE,ISNUMBER(SEARCH($S$2:$S$199, $A419)),0)))),"United States of America")</f>
        <v/>
      </c>
      <c r="D419" s="18" t="str" cm="1">
        <f t="array" ref="D419">IF(A419="","",IF(ISNUMBER(MATCH(TRUE,ISNUMBER(SEARCH($Q$2:$Q$51, $A419)),0))=TRUE,"",IF(ISNUMBER(MATCH(TRUE,ISNUMBER(SEARCH($S$2:$S$199, $A419)),0))=TRUE,"","미국 확인 필요")))</f>
        <v/>
      </c>
    </row>
    <row r="420" spans="3:4">
      <c r="C420" s="18" t="str" cm="1">
        <f t="array" ref="C420">IFERROR(IF(A420="","",IF(ISNUMBER(MATCH(TRUE,ISNUMBER(SEARCH($Q$2:$Q$51, $A420)),0))=TRUE,"United States of America",INDEX($S$2:$S$199,MATCH(TRUE,ISNUMBER(SEARCH($S$2:$S$199, $A420)),0)))),"United States of America")</f>
        <v/>
      </c>
      <c r="D420" s="18" t="str" cm="1">
        <f t="array" ref="D420">IF(A420="","",IF(ISNUMBER(MATCH(TRUE,ISNUMBER(SEARCH($Q$2:$Q$51, $A420)),0))=TRUE,"",IF(ISNUMBER(MATCH(TRUE,ISNUMBER(SEARCH($S$2:$S$199, $A420)),0))=TRUE,"","미국 확인 필요")))</f>
        <v/>
      </c>
    </row>
    <row r="421" spans="3:4">
      <c r="C421" s="18" t="str" cm="1">
        <f t="array" ref="C421">IFERROR(IF(A421="","",IF(ISNUMBER(MATCH(TRUE,ISNUMBER(SEARCH($Q$2:$Q$51, $A421)),0))=TRUE,"United States of America",INDEX($S$2:$S$199,MATCH(TRUE,ISNUMBER(SEARCH($S$2:$S$199, $A421)),0)))),"United States of America")</f>
        <v/>
      </c>
      <c r="D421" s="18" t="str" cm="1">
        <f t="array" ref="D421">IF(A421="","",IF(ISNUMBER(MATCH(TRUE,ISNUMBER(SEARCH($Q$2:$Q$51, $A421)),0))=TRUE,"",IF(ISNUMBER(MATCH(TRUE,ISNUMBER(SEARCH($S$2:$S$199, $A421)),0))=TRUE,"","미국 확인 필요")))</f>
        <v/>
      </c>
    </row>
    <row r="422" spans="3:4">
      <c r="C422" s="18" t="str" cm="1">
        <f t="array" ref="C422">IFERROR(IF(A422="","",IF(ISNUMBER(MATCH(TRUE,ISNUMBER(SEARCH($Q$2:$Q$51, $A422)),0))=TRUE,"United States of America",INDEX($S$2:$S$199,MATCH(TRUE,ISNUMBER(SEARCH($S$2:$S$199, $A422)),0)))),"United States of America")</f>
        <v/>
      </c>
      <c r="D422" s="18" t="str" cm="1">
        <f t="array" ref="D422">IF(A422="","",IF(ISNUMBER(MATCH(TRUE,ISNUMBER(SEARCH($Q$2:$Q$51, $A422)),0))=TRUE,"",IF(ISNUMBER(MATCH(TRUE,ISNUMBER(SEARCH($S$2:$S$199, $A422)),0))=TRUE,"","미국 확인 필요")))</f>
        <v/>
      </c>
    </row>
    <row r="423" spans="3:4">
      <c r="C423" s="18" t="str" cm="1">
        <f t="array" ref="C423">IFERROR(IF(A423="","",IF(ISNUMBER(MATCH(TRUE,ISNUMBER(SEARCH($Q$2:$Q$51, $A423)),0))=TRUE,"United States of America",INDEX($S$2:$S$199,MATCH(TRUE,ISNUMBER(SEARCH($S$2:$S$199, $A423)),0)))),"United States of America")</f>
        <v/>
      </c>
      <c r="D423" s="18" t="str" cm="1">
        <f t="array" ref="D423">IF(A423="","",IF(ISNUMBER(MATCH(TRUE,ISNUMBER(SEARCH($Q$2:$Q$51, $A423)),0))=TRUE,"",IF(ISNUMBER(MATCH(TRUE,ISNUMBER(SEARCH($S$2:$S$199, $A423)),0))=TRUE,"","미국 확인 필요")))</f>
        <v/>
      </c>
    </row>
    <row r="424" spans="3:4">
      <c r="C424" s="18" t="str" cm="1">
        <f t="array" ref="C424">IFERROR(IF(A424="","",IF(ISNUMBER(MATCH(TRUE,ISNUMBER(SEARCH($Q$2:$Q$51, $A424)),0))=TRUE,"United States of America",INDEX($S$2:$S$199,MATCH(TRUE,ISNUMBER(SEARCH($S$2:$S$199, $A424)),0)))),"United States of America")</f>
        <v/>
      </c>
      <c r="D424" s="18" t="str" cm="1">
        <f t="array" ref="D424">IF(A424="","",IF(ISNUMBER(MATCH(TRUE,ISNUMBER(SEARCH($Q$2:$Q$51, $A424)),0))=TRUE,"",IF(ISNUMBER(MATCH(TRUE,ISNUMBER(SEARCH($S$2:$S$199, $A424)),0))=TRUE,"","미국 확인 필요")))</f>
        <v/>
      </c>
    </row>
    <row r="425" spans="3:4">
      <c r="C425" s="18" t="str" cm="1">
        <f t="array" ref="C425">IFERROR(IF(A425="","",IF(ISNUMBER(MATCH(TRUE,ISNUMBER(SEARCH($Q$2:$Q$51, $A425)),0))=TRUE,"United States of America",INDEX($S$2:$S$199,MATCH(TRUE,ISNUMBER(SEARCH($S$2:$S$199, $A425)),0)))),"United States of America")</f>
        <v/>
      </c>
      <c r="D425" s="18" t="str" cm="1">
        <f t="array" ref="D425">IF(A425="","",IF(ISNUMBER(MATCH(TRUE,ISNUMBER(SEARCH($Q$2:$Q$51, $A425)),0))=TRUE,"",IF(ISNUMBER(MATCH(TRUE,ISNUMBER(SEARCH($S$2:$S$199, $A425)),0))=TRUE,"","미국 확인 필요")))</f>
        <v/>
      </c>
    </row>
    <row r="426" spans="3:4">
      <c r="C426" s="18" t="str" cm="1">
        <f t="array" ref="C426">IFERROR(IF(A426="","",IF(ISNUMBER(MATCH(TRUE,ISNUMBER(SEARCH($Q$2:$Q$51, $A426)),0))=TRUE,"United States of America",INDEX($S$2:$S$199,MATCH(TRUE,ISNUMBER(SEARCH($S$2:$S$199, $A426)),0)))),"United States of America")</f>
        <v/>
      </c>
      <c r="D426" s="18" t="str" cm="1">
        <f t="array" ref="D426">IF(A426="","",IF(ISNUMBER(MATCH(TRUE,ISNUMBER(SEARCH($Q$2:$Q$51, $A426)),0))=TRUE,"",IF(ISNUMBER(MATCH(TRUE,ISNUMBER(SEARCH($S$2:$S$199, $A426)),0))=TRUE,"","미국 확인 필요")))</f>
        <v/>
      </c>
    </row>
    <row r="427" spans="3:4">
      <c r="C427" s="18" t="str" cm="1">
        <f t="array" ref="C427">IFERROR(IF(A427="","",IF(ISNUMBER(MATCH(TRUE,ISNUMBER(SEARCH($Q$2:$Q$51, $A427)),0))=TRUE,"United States of America",INDEX($S$2:$S$199,MATCH(TRUE,ISNUMBER(SEARCH($S$2:$S$199, $A427)),0)))),"United States of America")</f>
        <v/>
      </c>
      <c r="D427" s="18" t="str" cm="1">
        <f t="array" ref="D427">IF(A427="","",IF(ISNUMBER(MATCH(TRUE,ISNUMBER(SEARCH($Q$2:$Q$51, $A427)),0))=TRUE,"",IF(ISNUMBER(MATCH(TRUE,ISNUMBER(SEARCH($S$2:$S$199, $A427)),0))=TRUE,"","미국 확인 필요")))</f>
        <v/>
      </c>
    </row>
    <row r="428" spans="3:4">
      <c r="C428" s="18" t="str" cm="1">
        <f t="array" ref="C428">IFERROR(IF(A428="","",IF(ISNUMBER(MATCH(TRUE,ISNUMBER(SEARCH($Q$2:$Q$51, $A428)),0))=TRUE,"United States of America",INDEX($S$2:$S$199,MATCH(TRUE,ISNUMBER(SEARCH($S$2:$S$199, $A428)),0)))),"United States of America")</f>
        <v/>
      </c>
      <c r="D428" s="18" t="str" cm="1">
        <f t="array" ref="D428">IF(A428="","",IF(ISNUMBER(MATCH(TRUE,ISNUMBER(SEARCH($Q$2:$Q$51, $A428)),0))=TRUE,"",IF(ISNUMBER(MATCH(TRUE,ISNUMBER(SEARCH($S$2:$S$199, $A428)),0))=TRUE,"","미국 확인 필요")))</f>
        <v/>
      </c>
    </row>
    <row r="429" spans="3:4">
      <c r="C429" s="18" t="str" cm="1">
        <f t="array" ref="C429">IFERROR(IF(A429="","",IF(ISNUMBER(MATCH(TRUE,ISNUMBER(SEARCH($Q$2:$Q$51, $A429)),0))=TRUE,"United States of America",INDEX($S$2:$S$199,MATCH(TRUE,ISNUMBER(SEARCH($S$2:$S$199, $A429)),0)))),"United States of America")</f>
        <v/>
      </c>
      <c r="D429" s="18" t="str" cm="1">
        <f t="array" ref="D429">IF(A429="","",IF(ISNUMBER(MATCH(TRUE,ISNUMBER(SEARCH($Q$2:$Q$51, $A429)),0))=TRUE,"",IF(ISNUMBER(MATCH(TRUE,ISNUMBER(SEARCH($S$2:$S$199, $A429)),0))=TRUE,"","미국 확인 필요")))</f>
        <v/>
      </c>
    </row>
    <row r="430" spans="3:4">
      <c r="C430" s="18" t="str" cm="1">
        <f t="array" ref="C430">IFERROR(IF(A430="","",IF(ISNUMBER(MATCH(TRUE,ISNUMBER(SEARCH($Q$2:$Q$51, $A430)),0))=TRUE,"United States of America",INDEX($S$2:$S$199,MATCH(TRUE,ISNUMBER(SEARCH($S$2:$S$199, $A430)),0)))),"United States of America")</f>
        <v/>
      </c>
      <c r="D430" s="18" t="str" cm="1">
        <f t="array" ref="D430">IF(A430="","",IF(ISNUMBER(MATCH(TRUE,ISNUMBER(SEARCH($Q$2:$Q$51, $A430)),0))=TRUE,"",IF(ISNUMBER(MATCH(TRUE,ISNUMBER(SEARCH($S$2:$S$199, $A430)),0))=TRUE,"","미국 확인 필요")))</f>
        <v/>
      </c>
    </row>
    <row r="431" spans="3:4">
      <c r="C431" s="18" t="str" cm="1">
        <f t="array" ref="C431">IFERROR(IF(A431="","",IF(ISNUMBER(MATCH(TRUE,ISNUMBER(SEARCH($Q$2:$Q$51, $A431)),0))=TRUE,"United States of America",INDEX($S$2:$S$199,MATCH(TRUE,ISNUMBER(SEARCH($S$2:$S$199, $A431)),0)))),"United States of America")</f>
        <v/>
      </c>
      <c r="D431" s="18" t="str" cm="1">
        <f t="array" ref="D431">IF(A431="","",IF(ISNUMBER(MATCH(TRUE,ISNUMBER(SEARCH($Q$2:$Q$51, $A431)),0))=TRUE,"",IF(ISNUMBER(MATCH(TRUE,ISNUMBER(SEARCH($S$2:$S$199, $A431)),0))=TRUE,"","미국 확인 필요")))</f>
        <v/>
      </c>
    </row>
    <row r="432" spans="3:4">
      <c r="C432" s="18" t="str" cm="1">
        <f t="array" ref="C432">IFERROR(IF(A432="","",IF(ISNUMBER(MATCH(TRUE,ISNUMBER(SEARCH($Q$2:$Q$51, $A432)),0))=TRUE,"United States of America",INDEX($S$2:$S$199,MATCH(TRUE,ISNUMBER(SEARCH($S$2:$S$199, $A432)),0)))),"United States of America")</f>
        <v/>
      </c>
      <c r="D432" s="18" t="str" cm="1">
        <f t="array" ref="D432">IF(A432="","",IF(ISNUMBER(MATCH(TRUE,ISNUMBER(SEARCH($Q$2:$Q$51, $A432)),0))=TRUE,"",IF(ISNUMBER(MATCH(TRUE,ISNUMBER(SEARCH($S$2:$S$199, $A432)),0))=TRUE,"","미국 확인 필요")))</f>
        <v/>
      </c>
    </row>
    <row r="433" spans="3:4">
      <c r="C433" s="18" t="str" cm="1">
        <f t="array" ref="C433">IFERROR(IF(A433="","",IF(ISNUMBER(MATCH(TRUE,ISNUMBER(SEARCH($Q$2:$Q$51, $A433)),0))=TRUE,"United States of America",INDEX($S$2:$S$199,MATCH(TRUE,ISNUMBER(SEARCH($S$2:$S$199, $A433)),0)))),"United States of America")</f>
        <v/>
      </c>
      <c r="D433" s="18" t="str" cm="1">
        <f t="array" ref="D433">IF(A433="","",IF(ISNUMBER(MATCH(TRUE,ISNUMBER(SEARCH($Q$2:$Q$51, $A433)),0))=TRUE,"",IF(ISNUMBER(MATCH(TRUE,ISNUMBER(SEARCH($S$2:$S$199, $A433)),0))=TRUE,"","미국 확인 필요")))</f>
        <v/>
      </c>
    </row>
    <row r="434" spans="3:4">
      <c r="C434" s="18" t="str" cm="1">
        <f t="array" ref="C434">IFERROR(IF(A434="","",IF(ISNUMBER(MATCH(TRUE,ISNUMBER(SEARCH($Q$2:$Q$51, $A434)),0))=TRUE,"United States of America",INDEX($S$2:$S$199,MATCH(TRUE,ISNUMBER(SEARCH($S$2:$S$199, $A434)),0)))),"United States of America")</f>
        <v/>
      </c>
      <c r="D434" s="18" t="str" cm="1">
        <f t="array" ref="D434">IF(A434="","",IF(ISNUMBER(MATCH(TRUE,ISNUMBER(SEARCH($Q$2:$Q$51, $A434)),0))=TRUE,"",IF(ISNUMBER(MATCH(TRUE,ISNUMBER(SEARCH($S$2:$S$199, $A434)),0))=TRUE,"","미국 확인 필요")))</f>
        <v/>
      </c>
    </row>
    <row r="435" spans="3:4">
      <c r="C435" s="18" t="str" cm="1">
        <f t="array" ref="C435">IFERROR(IF(A435="","",IF(ISNUMBER(MATCH(TRUE,ISNUMBER(SEARCH($Q$2:$Q$51, $A435)),0))=TRUE,"United States of America",INDEX($S$2:$S$199,MATCH(TRUE,ISNUMBER(SEARCH($S$2:$S$199, $A435)),0)))),"United States of America")</f>
        <v/>
      </c>
      <c r="D435" s="18" t="str" cm="1">
        <f t="array" ref="D435">IF(A435="","",IF(ISNUMBER(MATCH(TRUE,ISNUMBER(SEARCH($Q$2:$Q$51, $A435)),0))=TRUE,"",IF(ISNUMBER(MATCH(TRUE,ISNUMBER(SEARCH($S$2:$S$199, $A435)),0))=TRUE,"","미국 확인 필요")))</f>
        <v/>
      </c>
    </row>
    <row r="436" spans="3:4">
      <c r="C436" s="18" t="str" cm="1">
        <f t="array" ref="C436">IFERROR(IF(A436="","",IF(ISNUMBER(MATCH(TRUE,ISNUMBER(SEARCH($Q$2:$Q$51, $A436)),0))=TRUE,"United States of America",INDEX($S$2:$S$199,MATCH(TRUE,ISNUMBER(SEARCH($S$2:$S$199, $A436)),0)))),"United States of America")</f>
        <v/>
      </c>
      <c r="D436" s="18" t="str" cm="1">
        <f t="array" ref="D436">IF(A436="","",IF(ISNUMBER(MATCH(TRUE,ISNUMBER(SEARCH($Q$2:$Q$51, $A436)),0))=TRUE,"",IF(ISNUMBER(MATCH(TRUE,ISNUMBER(SEARCH($S$2:$S$199, $A436)),0))=TRUE,"","미국 확인 필요")))</f>
        <v/>
      </c>
    </row>
    <row r="437" spans="3:4">
      <c r="C437" s="18" t="str" cm="1">
        <f t="array" ref="C437">IFERROR(IF(A437="","",IF(ISNUMBER(MATCH(TRUE,ISNUMBER(SEARCH($Q$2:$Q$51, $A437)),0))=TRUE,"United States of America",INDEX($S$2:$S$199,MATCH(TRUE,ISNUMBER(SEARCH($S$2:$S$199, $A437)),0)))),"United States of America")</f>
        <v/>
      </c>
      <c r="D437" s="18" t="str" cm="1">
        <f t="array" ref="D437">IF(A437="","",IF(ISNUMBER(MATCH(TRUE,ISNUMBER(SEARCH($Q$2:$Q$51, $A437)),0))=TRUE,"",IF(ISNUMBER(MATCH(TRUE,ISNUMBER(SEARCH($S$2:$S$199, $A437)),0))=TRUE,"","미국 확인 필요")))</f>
        <v/>
      </c>
    </row>
    <row r="438" spans="3:4">
      <c r="C438" s="18" t="str" cm="1">
        <f t="array" ref="C438">IFERROR(IF(A438="","",IF(ISNUMBER(MATCH(TRUE,ISNUMBER(SEARCH($Q$2:$Q$51, $A438)),0))=TRUE,"United States of America",INDEX($S$2:$S$199,MATCH(TRUE,ISNUMBER(SEARCH($S$2:$S$199, $A438)),0)))),"United States of America")</f>
        <v/>
      </c>
      <c r="D438" s="18" t="str" cm="1">
        <f t="array" ref="D438">IF(A438="","",IF(ISNUMBER(MATCH(TRUE,ISNUMBER(SEARCH($Q$2:$Q$51, $A438)),0))=TRUE,"",IF(ISNUMBER(MATCH(TRUE,ISNUMBER(SEARCH($S$2:$S$199, $A438)),0))=TRUE,"","미국 확인 필요")))</f>
        <v/>
      </c>
    </row>
    <row r="439" spans="3:4">
      <c r="C439" s="18" t="str" cm="1">
        <f t="array" ref="C439">IFERROR(IF(A439="","",IF(ISNUMBER(MATCH(TRUE,ISNUMBER(SEARCH($Q$2:$Q$51, $A439)),0))=TRUE,"United States of America",INDEX($S$2:$S$199,MATCH(TRUE,ISNUMBER(SEARCH($S$2:$S$199, $A439)),0)))),"United States of America")</f>
        <v/>
      </c>
      <c r="D439" s="18" t="str" cm="1">
        <f t="array" ref="D439">IF(A439="","",IF(ISNUMBER(MATCH(TRUE,ISNUMBER(SEARCH($Q$2:$Q$51, $A439)),0))=TRUE,"",IF(ISNUMBER(MATCH(TRUE,ISNUMBER(SEARCH($S$2:$S$199, $A439)),0))=TRUE,"","미국 확인 필요")))</f>
        <v/>
      </c>
    </row>
    <row r="440" spans="3:4">
      <c r="C440" s="18" t="str" cm="1">
        <f t="array" ref="C440">IFERROR(IF(A440="","",IF(ISNUMBER(MATCH(TRUE,ISNUMBER(SEARCH($Q$2:$Q$51, $A440)),0))=TRUE,"United States of America",INDEX($S$2:$S$199,MATCH(TRUE,ISNUMBER(SEARCH($S$2:$S$199, $A440)),0)))),"United States of America")</f>
        <v/>
      </c>
      <c r="D440" s="18" t="str" cm="1">
        <f t="array" ref="D440">IF(A440="","",IF(ISNUMBER(MATCH(TRUE,ISNUMBER(SEARCH($Q$2:$Q$51, $A440)),0))=TRUE,"",IF(ISNUMBER(MATCH(TRUE,ISNUMBER(SEARCH($S$2:$S$199, $A440)),0))=TRUE,"","미국 확인 필요")))</f>
        <v/>
      </c>
    </row>
    <row r="441" spans="3:4">
      <c r="C441" s="18" t="str" cm="1">
        <f t="array" ref="C441">IFERROR(IF(A441="","",IF(ISNUMBER(MATCH(TRUE,ISNUMBER(SEARCH($Q$2:$Q$51, $A441)),0))=TRUE,"United States of America",INDEX($S$2:$S$199,MATCH(TRUE,ISNUMBER(SEARCH($S$2:$S$199, $A441)),0)))),"United States of America")</f>
        <v/>
      </c>
      <c r="D441" s="18" t="str" cm="1">
        <f t="array" ref="D441">IF(A441="","",IF(ISNUMBER(MATCH(TRUE,ISNUMBER(SEARCH($Q$2:$Q$51, $A441)),0))=TRUE,"",IF(ISNUMBER(MATCH(TRUE,ISNUMBER(SEARCH($S$2:$S$199, $A441)),0))=TRUE,"","미국 확인 필요")))</f>
        <v/>
      </c>
    </row>
    <row r="442" spans="3:4">
      <c r="C442" s="18" t="str" cm="1">
        <f t="array" ref="C442">IFERROR(IF(A442="","",IF(ISNUMBER(MATCH(TRUE,ISNUMBER(SEARCH($Q$2:$Q$51, $A442)),0))=TRUE,"United States of America",INDEX($S$2:$S$199,MATCH(TRUE,ISNUMBER(SEARCH($S$2:$S$199, $A442)),0)))),"United States of America")</f>
        <v/>
      </c>
      <c r="D442" s="18" t="str" cm="1">
        <f t="array" ref="D442">IF(A442="","",IF(ISNUMBER(MATCH(TRUE,ISNUMBER(SEARCH($Q$2:$Q$51, $A442)),0))=TRUE,"",IF(ISNUMBER(MATCH(TRUE,ISNUMBER(SEARCH($S$2:$S$199, $A442)),0))=TRUE,"","미국 확인 필요")))</f>
        <v/>
      </c>
    </row>
    <row r="443" spans="3:4">
      <c r="C443" s="18" t="str" cm="1">
        <f t="array" ref="C443">IFERROR(IF(A443="","",IF(ISNUMBER(MATCH(TRUE,ISNUMBER(SEARCH($Q$2:$Q$51, $A443)),0))=TRUE,"United States of America",INDEX($S$2:$S$199,MATCH(TRUE,ISNUMBER(SEARCH($S$2:$S$199, $A443)),0)))),"United States of America")</f>
        <v/>
      </c>
      <c r="D443" s="18" t="str" cm="1">
        <f t="array" ref="D443">IF(A443="","",IF(ISNUMBER(MATCH(TRUE,ISNUMBER(SEARCH($Q$2:$Q$51, $A443)),0))=TRUE,"",IF(ISNUMBER(MATCH(TRUE,ISNUMBER(SEARCH($S$2:$S$199, $A443)),0))=TRUE,"","미국 확인 필요")))</f>
        <v/>
      </c>
    </row>
    <row r="444" spans="3:4">
      <c r="C444" s="18" t="str" cm="1">
        <f t="array" ref="C444">IFERROR(IF(A444="","",IF(ISNUMBER(MATCH(TRUE,ISNUMBER(SEARCH($Q$2:$Q$51, $A444)),0))=TRUE,"United States of America",INDEX($S$2:$S$199,MATCH(TRUE,ISNUMBER(SEARCH($S$2:$S$199, $A444)),0)))),"United States of America")</f>
        <v/>
      </c>
      <c r="D444" s="18" t="str" cm="1">
        <f t="array" ref="D444">IF(A444="","",IF(ISNUMBER(MATCH(TRUE,ISNUMBER(SEARCH($Q$2:$Q$51, $A444)),0))=TRUE,"",IF(ISNUMBER(MATCH(TRUE,ISNUMBER(SEARCH($S$2:$S$199, $A444)),0))=TRUE,"","미국 확인 필요")))</f>
        <v/>
      </c>
    </row>
    <row r="445" spans="3:4">
      <c r="C445" s="18" t="str" cm="1">
        <f t="array" ref="C445">IFERROR(IF(A445="","",IF(ISNUMBER(MATCH(TRUE,ISNUMBER(SEARCH($Q$2:$Q$51, $A445)),0))=TRUE,"United States of America",INDEX($S$2:$S$199,MATCH(TRUE,ISNUMBER(SEARCH($S$2:$S$199, $A445)),0)))),"United States of America")</f>
        <v/>
      </c>
      <c r="D445" s="18" t="str" cm="1">
        <f t="array" ref="D445">IF(A445="","",IF(ISNUMBER(MATCH(TRUE,ISNUMBER(SEARCH($Q$2:$Q$51, $A445)),0))=TRUE,"",IF(ISNUMBER(MATCH(TRUE,ISNUMBER(SEARCH($S$2:$S$199, $A445)),0))=TRUE,"","미국 확인 필요")))</f>
        <v/>
      </c>
    </row>
    <row r="446" spans="3:4">
      <c r="C446" s="18" t="str" cm="1">
        <f t="array" ref="C446">IFERROR(IF(A446="","",IF(ISNUMBER(MATCH(TRUE,ISNUMBER(SEARCH($Q$2:$Q$51, $A446)),0))=TRUE,"United States of America",INDEX($S$2:$S$199,MATCH(TRUE,ISNUMBER(SEARCH($S$2:$S$199, $A446)),0)))),"United States of America")</f>
        <v/>
      </c>
      <c r="D446" s="18" t="str" cm="1">
        <f t="array" ref="D446">IF(A446="","",IF(ISNUMBER(MATCH(TRUE,ISNUMBER(SEARCH($Q$2:$Q$51, $A446)),0))=TRUE,"",IF(ISNUMBER(MATCH(TRUE,ISNUMBER(SEARCH($S$2:$S$199, $A446)),0))=TRUE,"","미국 확인 필요")))</f>
        <v/>
      </c>
    </row>
    <row r="447" spans="3:4">
      <c r="C447" s="18" t="str" cm="1">
        <f t="array" ref="C447">IFERROR(IF(A447="","",IF(ISNUMBER(MATCH(TRUE,ISNUMBER(SEARCH($Q$2:$Q$51, $A447)),0))=TRUE,"United States of America",INDEX($S$2:$S$199,MATCH(TRUE,ISNUMBER(SEARCH($S$2:$S$199, $A447)),0)))),"United States of America")</f>
        <v/>
      </c>
      <c r="D447" s="18" t="str" cm="1">
        <f t="array" ref="D447">IF(A447="","",IF(ISNUMBER(MATCH(TRUE,ISNUMBER(SEARCH($Q$2:$Q$51, $A447)),0))=TRUE,"",IF(ISNUMBER(MATCH(TRUE,ISNUMBER(SEARCH($S$2:$S$199, $A447)),0))=TRUE,"","미국 확인 필요")))</f>
        <v/>
      </c>
    </row>
    <row r="448" spans="3:4">
      <c r="C448" s="18" t="str" cm="1">
        <f t="array" ref="C448">IFERROR(IF(A448="","",IF(ISNUMBER(MATCH(TRUE,ISNUMBER(SEARCH($Q$2:$Q$51, $A448)),0))=TRUE,"United States of America",INDEX($S$2:$S$199,MATCH(TRUE,ISNUMBER(SEARCH($S$2:$S$199, $A448)),0)))),"United States of America")</f>
        <v/>
      </c>
      <c r="D448" s="18" t="str" cm="1">
        <f t="array" ref="D448">IF(A448="","",IF(ISNUMBER(MATCH(TRUE,ISNUMBER(SEARCH($Q$2:$Q$51, $A448)),0))=TRUE,"",IF(ISNUMBER(MATCH(TRUE,ISNUMBER(SEARCH($S$2:$S$199, $A448)),0))=TRUE,"","미국 확인 필요")))</f>
        <v/>
      </c>
    </row>
    <row r="449" spans="3:4">
      <c r="C449" s="18" t="str" cm="1">
        <f t="array" ref="C449">IFERROR(IF(A449="","",IF(ISNUMBER(MATCH(TRUE,ISNUMBER(SEARCH($Q$2:$Q$51, $A449)),0))=TRUE,"United States of America",INDEX($S$2:$S$199,MATCH(TRUE,ISNUMBER(SEARCH($S$2:$S$199, $A449)),0)))),"United States of America")</f>
        <v/>
      </c>
      <c r="D449" s="18" t="str" cm="1">
        <f t="array" ref="D449">IF(A449="","",IF(ISNUMBER(MATCH(TRUE,ISNUMBER(SEARCH($Q$2:$Q$51, $A449)),0))=TRUE,"",IF(ISNUMBER(MATCH(TRUE,ISNUMBER(SEARCH($S$2:$S$199, $A449)),0))=TRUE,"","미국 확인 필요")))</f>
        <v/>
      </c>
    </row>
    <row r="450" spans="3:4">
      <c r="C450" s="18" t="str" cm="1">
        <f t="array" ref="C450">IFERROR(IF(A450="","",IF(ISNUMBER(MATCH(TRUE,ISNUMBER(SEARCH($Q$2:$Q$51, $A450)),0))=TRUE,"United States of America",INDEX($S$2:$S$199,MATCH(TRUE,ISNUMBER(SEARCH($S$2:$S$199, $A450)),0)))),"United States of America")</f>
        <v/>
      </c>
      <c r="D450" s="18" t="str" cm="1">
        <f t="array" ref="D450">IF(A450="","",IF(ISNUMBER(MATCH(TRUE,ISNUMBER(SEARCH($Q$2:$Q$51, $A450)),0))=TRUE,"",IF(ISNUMBER(MATCH(TRUE,ISNUMBER(SEARCH($S$2:$S$199, $A450)),0))=TRUE,"","미국 확인 필요")))</f>
        <v/>
      </c>
    </row>
    <row r="451" spans="3:4">
      <c r="C451" s="18" t="str" cm="1">
        <f t="array" ref="C451">IFERROR(IF(A451="","",IF(ISNUMBER(MATCH(TRUE,ISNUMBER(SEARCH($Q$2:$Q$51, $A451)),0))=TRUE,"United States of America",INDEX($S$2:$S$199,MATCH(TRUE,ISNUMBER(SEARCH($S$2:$S$199, $A451)),0)))),"United States of America")</f>
        <v/>
      </c>
      <c r="D451" s="18" t="str" cm="1">
        <f t="array" ref="D451">IF(A451="","",IF(ISNUMBER(MATCH(TRUE,ISNUMBER(SEARCH($Q$2:$Q$51, $A451)),0))=TRUE,"",IF(ISNUMBER(MATCH(TRUE,ISNUMBER(SEARCH($S$2:$S$199, $A451)),0))=TRUE,"","미국 확인 필요")))</f>
        <v/>
      </c>
    </row>
    <row r="452" spans="3:4">
      <c r="C452" s="18" t="str" cm="1">
        <f t="array" ref="C452">IFERROR(IF(A452="","",IF(ISNUMBER(MATCH(TRUE,ISNUMBER(SEARCH($Q$2:$Q$51, $A452)),0))=TRUE,"United States of America",INDEX($S$2:$S$199,MATCH(TRUE,ISNUMBER(SEARCH($S$2:$S$199, $A452)),0)))),"United States of America")</f>
        <v/>
      </c>
      <c r="D452" s="18" t="str" cm="1">
        <f t="array" ref="D452">IF(A452="","",IF(ISNUMBER(MATCH(TRUE,ISNUMBER(SEARCH($Q$2:$Q$51, $A452)),0))=TRUE,"",IF(ISNUMBER(MATCH(TRUE,ISNUMBER(SEARCH($S$2:$S$199, $A452)),0))=TRUE,"","미국 확인 필요")))</f>
        <v/>
      </c>
    </row>
    <row r="453" spans="3:4">
      <c r="C453" s="18" t="str" cm="1">
        <f t="array" ref="C453">IFERROR(IF(A453="","",IF(ISNUMBER(MATCH(TRUE,ISNUMBER(SEARCH($Q$2:$Q$51, $A453)),0))=TRUE,"United States of America",INDEX($S$2:$S$199,MATCH(TRUE,ISNUMBER(SEARCH($S$2:$S$199, $A453)),0)))),"United States of America")</f>
        <v/>
      </c>
      <c r="D453" s="18" t="str" cm="1">
        <f t="array" ref="D453">IF(A453="","",IF(ISNUMBER(MATCH(TRUE,ISNUMBER(SEARCH($Q$2:$Q$51, $A453)),0))=TRUE,"",IF(ISNUMBER(MATCH(TRUE,ISNUMBER(SEARCH($S$2:$S$199, $A453)),0))=TRUE,"","미국 확인 필요")))</f>
        <v/>
      </c>
    </row>
    <row r="454" spans="3:4">
      <c r="C454" s="18" t="str" cm="1">
        <f t="array" ref="C454">IFERROR(IF(A454="","",IF(ISNUMBER(MATCH(TRUE,ISNUMBER(SEARCH($Q$2:$Q$51, $A454)),0))=TRUE,"United States of America",INDEX($S$2:$S$199,MATCH(TRUE,ISNUMBER(SEARCH($S$2:$S$199, $A454)),0)))),"United States of America")</f>
        <v/>
      </c>
      <c r="D454" s="18" t="str" cm="1">
        <f t="array" ref="D454">IF(A454="","",IF(ISNUMBER(MATCH(TRUE,ISNUMBER(SEARCH($Q$2:$Q$51, $A454)),0))=TRUE,"",IF(ISNUMBER(MATCH(TRUE,ISNUMBER(SEARCH($S$2:$S$199, $A454)),0))=TRUE,"","미국 확인 필요")))</f>
        <v/>
      </c>
    </row>
    <row r="455" spans="3:4">
      <c r="C455" s="18" t="str" cm="1">
        <f t="array" ref="C455">IFERROR(IF(A455="","",IF(ISNUMBER(MATCH(TRUE,ISNUMBER(SEARCH($Q$2:$Q$51, $A455)),0))=TRUE,"United States of America",INDEX($S$2:$S$199,MATCH(TRUE,ISNUMBER(SEARCH($S$2:$S$199, $A455)),0)))),"United States of America")</f>
        <v/>
      </c>
      <c r="D455" s="18" t="str" cm="1">
        <f t="array" ref="D455">IF(A455="","",IF(ISNUMBER(MATCH(TRUE,ISNUMBER(SEARCH($Q$2:$Q$51, $A455)),0))=TRUE,"",IF(ISNUMBER(MATCH(TRUE,ISNUMBER(SEARCH($S$2:$S$199, $A455)),0))=TRUE,"","미국 확인 필요")))</f>
        <v/>
      </c>
    </row>
    <row r="456" spans="3:4">
      <c r="C456" s="18" t="str" cm="1">
        <f t="array" ref="C456">IFERROR(IF(A456="","",IF(ISNUMBER(MATCH(TRUE,ISNUMBER(SEARCH($Q$2:$Q$51, $A456)),0))=TRUE,"United States of America",INDEX($S$2:$S$199,MATCH(TRUE,ISNUMBER(SEARCH($S$2:$S$199, $A456)),0)))),"United States of America")</f>
        <v/>
      </c>
      <c r="D456" s="18" t="str" cm="1">
        <f t="array" ref="D456">IF(A456="","",IF(ISNUMBER(MATCH(TRUE,ISNUMBER(SEARCH($Q$2:$Q$51, $A456)),0))=TRUE,"",IF(ISNUMBER(MATCH(TRUE,ISNUMBER(SEARCH($S$2:$S$199, $A456)),0))=TRUE,"","미국 확인 필요")))</f>
        <v/>
      </c>
    </row>
    <row r="457" spans="3:4">
      <c r="C457" s="18" t="str" cm="1">
        <f t="array" ref="C457">IFERROR(IF(A457="","",IF(ISNUMBER(MATCH(TRUE,ISNUMBER(SEARCH($Q$2:$Q$51, $A457)),0))=TRUE,"United States of America",INDEX($S$2:$S$199,MATCH(TRUE,ISNUMBER(SEARCH($S$2:$S$199, $A457)),0)))),"United States of America")</f>
        <v/>
      </c>
      <c r="D457" s="18" t="str" cm="1">
        <f t="array" ref="D457">IF(A457="","",IF(ISNUMBER(MATCH(TRUE,ISNUMBER(SEARCH($Q$2:$Q$51, $A457)),0))=TRUE,"",IF(ISNUMBER(MATCH(TRUE,ISNUMBER(SEARCH($S$2:$S$199, $A457)),0))=TRUE,"","미국 확인 필요")))</f>
        <v/>
      </c>
    </row>
    <row r="458" spans="3:4">
      <c r="C458" s="18" t="str" cm="1">
        <f t="array" ref="C458">IFERROR(IF(A458="","",IF(ISNUMBER(MATCH(TRUE,ISNUMBER(SEARCH($Q$2:$Q$51, $A458)),0))=TRUE,"United States of America",INDEX($S$2:$S$199,MATCH(TRUE,ISNUMBER(SEARCH($S$2:$S$199, $A458)),0)))),"United States of America")</f>
        <v/>
      </c>
      <c r="D458" s="18" t="str" cm="1">
        <f t="array" ref="D458">IF(A458="","",IF(ISNUMBER(MATCH(TRUE,ISNUMBER(SEARCH($Q$2:$Q$51, $A458)),0))=TRUE,"",IF(ISNUMBER(MATCH(TRUE,ISNUMBER(SEARCH($S$2:$S$199, $A458)),0))=TRUE,"","미국 확인 필요")))</f>
        <v/>
      </c>
    </row>
    <row r="459" spans="3:4">
      <c r="C459" s="18" t="str" cm="1">
        <f t="array" ref="C459">IFERROR(IF(A459="","",IF(ISNUMBER(MATCH(TRUE,ISNUMBER(SEARCH($Q$2:$Q$51, $A459)),0))=TRUE,"United States of America",INDEX($S$2:$S$199,MATCH(TRUE,ISNUMBER(SEARCH($S$2:$S$199, $A459)),0)))),"United States of America")</f>
        <v/>
      </c>
      <c r="D459" s="18" t="str" cm="1">
        <f t="array" ref="D459">IF(A459="","",IF(ISNUMBER(MATCH(TRUE,ISNUMBER(SEARCH($Q$2:$Q$51, $A459)),0))=TRUE,"",IF(ISNUMBER(MATCH(TRUE,ISNUMBER(SEARCH($S$2:$S$199, $A459)),0))=TRUE,"","미국 확인 필요")))</f>
        <v/>
      </c>
    </row>
    <row r="460" spans="3:4">
      <c r="C460" s="18" t="str" cm="1">
        <f t="array" ref="C460">IFERROR(IF(A460="","",IF(ISNUMBER(MATCH(TRUE,ISNUMBER(SEARCH($Q$2:$Q$51, $A460)),0))=TRUE,"United States of America",INDEX($S$2:$S$199,MATCH(TRUE,ISNUMBER(SEARCH($S$2:$S$199, $A460)),0)))),"United States of America")</f>
        <v/>
      </c>
      <c r="D460" s="18" t="str" cm="1">
        <f t="array" ref="D460">IF(A460="","",IF(ISNUMBER(MATCH(TRUE,ISNUMBER(SEARCH($Q$2:$Q$51, $A460)),0))=TRUE,"",IF(ISNUMBER(MATCH(TRUE,ISNUMBER(SEARCH($S$2:$S$199, $A460)),0))=TRUE,"","미국 확인 필요")))</f>
        <v/>
      </c>
    </row>
    <row r="461" spans="3:4">
      <c r="C461" s="18" t="str" cm="1">
        <f t="array" ref="C461">IFERROR(IF(A461="","",IF(ISNUMBER(MATCH(TRUE,ISNUMBER(SEARCH($Q$2:$Q$51, $A461)),0))=TRUE,"United States of America",INDEX($S$2:$S$199,MATCH(TRUE,ISNUMBER(SEARCH($S$2:$S$199, $A461)),0)))),"United States of America")</f>
        <v/>
      </c>
      <c r="D461" s="18" t="str" cm="1">
        <f t="array" ref="D461">IF(A461="","",IF(ISNUMBER(MATCH(TRUE,ISNUMBER(SEARCH($Q$2:$Q$51, $A461)),0))=TRUE,"",IF(ISNUMBER(MATCH(TRUE,ISNUMBER(SEARCH($S$2:$S$199, $A461)),0))=TRUE,"","미국 확인 필요")))</f>
        <v/>
      </c>
    </row>
    <row r="462" spans="3:4">
      <c r="C462" s="18" t="str" cm="1">
        <f t="array" ref="C462">IFERROR(IF(A462="","",IF(ISNUMBER(MATCH(TRUE,ISNUMBER(SEARCH($Q$2:$Q$51, $A462)),0))=TRUE,"United States of America",INDEX($S$2:$S$199,MATCH(TRUE,ISNUMBER(SEARCH($S$2:$S$199, $A462)),0)))),"United States of America")</f>
        <v/>
      </c>
      <c r="D462" s="18" t="str" cm="1">
        <f t="array" ref="D462">IF(A462="","",IF(ISNUMBER(MATCH(TRUE,ISNUMBER(SEARCH($Q$2:$Q$51, $A462)),0))=TRUE,"",IF(ISNUMBER(MATCH(TRUE,ISNUMBER(SEARCH($S$2:$S$199, $A462)),0))=TRUE,"","미국 확인 필요")))</f>
        <v/>
      </c>
    </row>
    <row r="463" spans="3:4">
      <c r="C463" s="18" t="str" cm="1">
        <f t="array" ref="C463">IFERROR(IF(A463="","",IF(ISNUMBER(MATCH(TRUE,ISNUMBER(SEARCH($Q$2:$Q$51, $A463)),0))=TRUE,"United States of America",INDEX($S$2:$S$199,MATCH(TRUE,ISNUMBER(SEARCH($S$2:$S$199, $A463)),0)))),"United States of America")</f>
        <v/>
      </c>
      <c r="D463" s="18" t="str" cm="1">
        <f t="array" ref="D463">IF(A463="","",IF(ISNUMBER(MATCH(TRUE,ISNUMBER(SEARCH($Q$2:$Q$51, $A463)),0))=TRUE,"",IF(ISNUMBER(MATCH(TRUE,ISNUMBER(SEARCH($S$2:$S$199, $A463)),0))=TRUE,"","미국 확인 필요")))</f>
        <v/>
      </c>
    </row>
    <row r="464" spans="3:4">
      <c r="C464" s="18" t="str" cm="1">
        <f t="array" ref="C464">IFERROR(IF(A464="","",IF(ISNUMBER(MATCH(TRUE,ISNUMBER(SEARCH($Q$2:$Q$51, $A464)),0))=TRUE,"United States of America",INDEX($S$2:$S$199,MATCH(TRUE,ISNUMBER(SEARCH($S$2:$S$199, $A464)),0)))),"United States of America")</f>
        <v/>
      </c>
      <c r="D464" s="18" t="str" cm="1">
        <f t="array" ref="D464">IF(A464="","",IF(ISNUMBER(MATCH(TRUE,ISNUMBER(SEARCH($Q$2:$Q$51, $A464)),0))=TRUE,"",IF(ISNUMBER(MATCH(TRUE,ISNUMBER(SEARCH($S$2:$S$199, $A464)),0))=TRUE,"","미국 확인 필요")))</f>
        <v/>
      </c>
    </row>
    <row r="465" spans="3:4">
      <c r="C465" s="18" t="str" cm="1">
        <f t="array" ref="C465">IFERROR(IF(A465="","",IF(ISNUMBER(MATCH(TRUE,ISNUMBER(SEARCH($Q$2:$Q$51, $A465)),0))=TRUE,"United States of America",INDEX($S$2:$S$199,MATCH(TRUE,ISNUMBER(SEARCH($S$2:$S$199, $A465)),0)))),"United States of America")</f>
        <v/>
      </c>
      <c r="D465" s="18" t="str" cm="1">
        <f t="array" ref="D465">IF(A465="","",IF(ISNUMBER(MATCH(TRUE,ISNUMBER(SEARCH($Q$2:$Q$51, $A465)),0))=TRUE,"",IF(ISNUMBER(MATCH(TRUE,ISNUMBER(SEARCH($S$2:$S$199, $A465)),0))=TRUE,"","미국 확인 필요")))</f>
        <v/>
      </c>
    </row>
    <row r="466" spans="3:4">
      <c r="C466" s="18" t="str" cm="1">
        <f t="array" ref="C466">IFERROR(IF(A466="","",IF(ISNUMBER(MATCH(TRUE,ISNUMBER(SEARCH($Q$2:$Q$51, $A466)),0))=TRUE,"United States of America",INDEX($S$2:$S$199,MATCH(TRUE,ISNUMBER(SEARCH($S$2:$S$199, $A466)),0)))),"United States of America")</f>
        <v/>
      </c>
      <c r="D466" s="18" t="str" cm="1">
        <f t="array" ref="D466">IF(A466="","",IF(ISNUMBER(MATCH(TRUE,ISNUMBER(SEARCH($Q$2:$Q$51, $A466)),0))=TRUE,"",IF(ISNUMBER(MATCH(TRUE,ISNUMBER(SEARCH($S$2:$S$199, $A466)),0))=TRUE,"","미국 확인 필요")))</f>
        <v/>
      </c>
    </row>
    <row r="467" spans="3:4">
      <c r="C467" s="18" t="str" cm="1">
        <f t="array" ref="C467">IFERROR(IF(A467="","",IF(ISNUMBER(MATCH(TRUE,ISNUMBER(SEARCH($Q$2:$Q$51, $A467)),0))=TRUE,"United States of America",INDEX($S$2:$S$199,MATCH(TRUE,ISNUMBER(SEARCH($S$2:$S$199, $A467)),0)))),"United States of America")</f>
        <v/>
      </c>
      <c r="D467" s="18" t="str" cm="1">
        <f t="array" ref="D467">IF(A467="","",IF(ISNUMBER(MATCH(TRUE,ISNUMBER(SEARCH($Q$2:$Q$51, $A467)),0))=TRUE,"",IF(ISNUMBER(MATCH(TRUE,ISNUMBER(SEARCH($S$2:$S$199, $A467)),0))=TRUE,"","미국 확인 필요")))</f>
        <v/>
      </c>
    </row>
    <row r="468" spans="3:4">
      <c r="C468" s="18" t="str" cm="1">
        <f t="array" ref="C468">IFERROR(IF(A468="","",IF(ISNUMBER(MATCH(TRUE,ISNUMBER(SEARCH($Q$2:$Q$51, $A468)),0))=TRUE,"United States of America",INDEX($S$2:$S$199,MATCH(TRUE,ISNUMBER(SEARCH($S$2:$S$199, $A468)),0)))),"United States of America")</f>
        <v/>
      </c>
      <c r="D468" s="18" t="str" cm="1">
        <f t="array" ref="D468">IF(A468="","",IF(ISNUMBER(MATCH(TRUE,ISNUMBER(SEARCH($Q$2:$Q$51, $A468)),0))=TRUE,"",IF(ISNUMBER(MATCH(TRUE,ISNUMBER(SEARCH($S$2:$S$199, $A468)),0))=TRUE,"","미국 확인 필요")))</f>
        <v/>
      </c>
    </row>
    <row r="469" spans="3:4">
      <c r="C469" s="18" t="str" cm="1">
        <f t="array" ref="C469">IFERROR(IF(A469="","",IF(ISNUMBER(MATCH(TRUE,ISNUMBER(SEARCH($Q$2:$Q$51, $A469)),0))=TRUE,"United States of America",INDEX($S$2:$S$199,MATCH(TRUE,ISNUMBER(SEARCH($S$2:$S$199, $A469)),0)))),"United States of America")</f>
        <v/>
      </c>
      <c r="D469" s="18" t="str" cm="1">
        <f t="array" ref="D469">IF(A469="","",IF(ISNUMBER(MATCH(TRUE,ISNUMBER(SEARCH($Q$2:$Q$51, $A469)),0))=TRUE,"",IF(ISNUMBER(MATCH(TRUE,ISNUMBER(SEARCH($S$2:$S$199, $A469)),0))=TRUE,"","미국 확인 필요")))</f>
        <v/>
      </c>
    </row>
    <row r="470" spans="3:4">
      <c r="C470" s="18" t="str" cm="1">
        <f t="array" ref="C470">IFERROR(IF(A470="","",IF(ISNUMBER(MATCH(TRUE,ISNUMBER(SEARCH($Q$2:$Q$51, $A470)),0))=TRUE,"United States of America",INDEX($S$2:$S$199,MATCH(TRUE,ISNUMBER(SEARCH($S$2:$S$199, $A470)),0)))),"United States of America")</f>
        <v/>
      </c>
      <c r="D470" s="18" t="str" cm="1">
        <f t="array" ref="D470">IF(A470="","",IF(ISNUMBER(MATCH(TRUE,ISNUMBER(SEARCH($Q$2:$Q$51, $A470)),0))=TRUE,"",IF(ISNUMBER(MATCH(TRUE,ISNUMBER(SEARCH($S$2:$S$199, $A470)),0))=TRUE,"","미국 확인 필요")))</f>
        <v/>
      </c>
    </row>
    <row r="471" spans="3:4">
      <c r="C471" s="18" t="str" cm="1">
        <f t="array" ref="C471">IFERROR(IF(A471="","",IF(ISNUMBER(MATCH(TRUE,ISNUMBER(SEARCH($Q$2:$Q$51, $A471)),0))=TRUE,"United States of America",INDEX($S$2:$S$199,MATCH(TRUE,ISNUMBER(SEARCH($S$2:$S$199, $A471)),0)))),"United States of America")</f>
        <v/>
      </c>
      <c r="D471" s="18" t="str" cm="1">
        <f t="array" ref="D471">IF(A471="","",IF(ISNUMBER(MATCH(TRUE,ISNUMBER(SEARCH($Q$2:$Q$51, $A471)),0))=TRUE,"",IF(ISNUMBER(MATCH(TRUE,ISNUMBER(SEARCH($S$2:$S$199, $A471)),0))=TRUE,"","미국 확인 필요")))</f>
        <v/>
      </c>
    </row>
    <row r="472" spans="3:4">
      <c r="C472" s="18" t="str" cm="1">
        <f t="array" ref="C472">IFERROR(IF(A472="","",IF(ISNUMBER(MATCH(TRUE,ISNUMBER(SEARCH($Q$2:$Q$51, $A472)),0))=TRUE,"United States of America",INDEX($S$2:$S$199,MATCH(TRUE,ISNUMBER(SEARCH($S$2:$S$199, $A472)),0)))),"United States of America")</f>
        <v/>
      </c>
      <c r="D472" s="18" t="str" cm="1">
        <f t="array" ref="D472">IF(A472="","",IF(ISNUMBER(MATCH(TRUE,ISNUMBER(SEARCH($Q$2:$Q$51, $A472)),0))=TRUE,"",IF(ISNUMBER(MATCH(TRUE,ISNUMBER(SEARCH($S$2:$S$199, $A472)),0))=TRUE,"","미국 확인 필요")))</f>
        <v/>
      </c>
    </row>
    <row r="473" spans="3:4">
      <c r="C473" s="18" t="str" cm="1">
        <f t="array" ref="C473">IFERROR(IF(A473="","",IF(ISNUMBER(MATCH(TRUE,ISNUMBER(SEARCH($Q$2:$Q$51, $A473)),0))=TRUE,"United States of America",INDEX($S$2:$S$199,MATCH(TRUE,ISNUMBER(SEARCH($S$2:$S$199, $A473)),0)))),"United States of America")</f>
        <v/>
      </c>
      <c r="D473" s="18" t="str" cm="1">
        <f t="array" ref="D473">IF(A473="","",IF(ISNUMBER(MATCH(TRUE,ISNUMBER(SEARCH($Q$2:$Q$51, $A473)),0))=TRUE,"",IF(ISNUMBER(MATCH(TRUE,ISNUMBER(SEARCH($S$2:$S$199, $A473)),0))=TRUE,"","미국 확인 필요")))</f>
        <v/>
      </c>
    </row>
    <row r="474" spans="3:4">
      <c r="C474" s="18" t="str" cm="1">
        <f t="array" ref="C474">IFERROR(IF(A474="","",IF(ISNUMBER(MATCH(TRUE,ISNUMBER(SEARCH($Q$2:$Q$51, $A474)),0))=TRUE,"United States of America",INDEX($S$2:$S$199,MATCH(TRUE,ISNUMBER(SEARCH($S$2:$S$199, $A474)),0)))),"United States of America")</f>
        <v/>
      </c>
      <c r="D474" s="18" t="str" cm="1">
        <f t="array" ref="D474">IF(A474="","",IF(ISNUMBER(MATCH(TRUE,ISNUMBER(SEARCH($Q$2:$Q$51, $A474)),0))=TRUE,"",IF(ISNUMBER(MATCH(TRUE,ISNUMBER(SEARCH($S$2:$S$199, $A474)),0))=TRUE,"","미국 확인 필요")))</f>
        <v/>
      </c>
    </row>
    <row r="475" spans="3:4">
      <c r="C475" s="18" t="str" cm="1">
        <f t="array" ref="C475">IFERROR(IF(A475="","",IF(ISNUMBER(MATCH(TRUE,ISNUMBER(SEARCH($Q$2:$Q$51, $A475)),0))=TRUE,"United States of America",INDEX($S$2:$S$199,MATCH(TRUE,ISNUMBER(SEARCH($S$2:$S$199, $A475)),0)))),"United States of America")</f>
        <v/>
      </c>
      <c r="D475" s="18" t="str" cm="1">
        <f t="array" ref="D475">IF(A475="","",IF(ISNUMBER(MATCH(TRUE,ISNUMBER(SEARCH($Q$2:$Q$51, $A475)),0))=TRUE,"",IF(ISNUMBER(MATCH(TRUE,ISNUMBER(SEARCH($S$2:$S$199, $A475)),0))=TRUE,"","미국 확인 필요")))</f>
        <v/>
      </c>
    </row>
    <row r="476" spans="3:4">
      <c r="C476" s="18" t="str" cm="1">
        <f t="array" ref="C476">IFERROR(IF(A476="","",IF(ISNUMBER(MATCH(TRUE,ISNUMBER(SEARCH($Q$2:$Q$51, $A476)),0))=TRUE,"United States of America",INDEX($S$2:$S$199,MATCH(TRUE,ISNUMBER(SEARCH($S$2:$S$199, $A476)),0)))),"United States of America")</f>
        <v/>
      </c>
      <c r="D476" s="18" t="str" cm="1">
        <f t="array" ref="D476">IF(A476="","",IF(ISNUMBER(MATCH(TRUE,ISNUMBER(SEARCH($Q$2:$Q$51, $A476)),0))=TRUE,"",IF(ISNUMBER(MATCH(TRUE,ISNUMBER(SEARCH($S$2:$S$199, $A476)),0))=TRUE,"","미국 확인 필요")))</f>
        <v/>
      </c>
    </row>
    <row r="477" spans="3:4">
      <c r="C477" s="18" t="str" cm="1">
        <f t="array" ref="C477">IFERROR(IF(A477="","",IF(ISNUMBER(MATCH(TRUE,ISNUMBER(SEARCH($Q$2:$Q$51, $A477)),0))=TRUE,"United States of America",INDEX($S$2:$S$199,MATCH(TRUE,ISNUMBER(SEARCH($S$2:$S$199, $A477)),0)))),"United States of America")</f>
        <v/>
      </c>
      <c r="D477" s="18" t="str" cm="1">
        <f t="array" ref="D477">IF(A477="","",IF(ISNUMBER(MATCH(TRUE,ISNUMBER(SEARCH($Q$2:$Q$51, $A477)),0))=TRUE,"",IF(ISNUMBER(MATCH(TRUE,ISNUMBER(SEARCH($S$2:$S$199, $A477)),0))=TRUE,"","미국 확인 필요")))</f>
        <v/>
      </c>
    </row>
    <row r="478" spans="3:4">
      <c r="C478" s="18" t="str" cm="1">
        <f t="array" ref="C478">IFERROR(IF(A478="","",IF(ISNUMBER(MATCH(TRUE,ISNUMBER(SEARCH($Q$2:$Q$51, $A478)),0))=TRUE,"United States of America",INDEX($S$2:$S$199,MATCH(TRUE,ISNUMBER(SEARCH($S$2:$S$199, $A478)),0)))),"United States of America")</f>
        <v/>
      </c>
      <c r="D478" s="18" t="str" cm="1">
        <f t="array" ref="D478">IF(A478="","",IF(ISNUMBER(MATCH(TRUE,ISNUMBER(SEARCH($Q$2:$Q$51, $A478)),0))=TRUE,"",IF(ISNUMBER(MATCH(TRUE,ISNUMBER(SEARCH($S$2:$S$199, $A478)),0))=TRUE,"","미국 확인 필요")))</f>
        <v/>
      </c>
    </row>
    <row r="479" spans="3:4">
      <c r="C479" s="18" t="str" cm="1">
        <f t="array" ref="C479">IFERROR(IF(A479="","",IF(ISNUMBER(MATCH(TRUE,ISNUMBER(SEARCH($Q$2:$Q$51, $A479)),0))=TRUE,"United States of America",INDEX($S$2:$S$199,MATCH(TRUE,ISNUMBER(SEARCH($S$2:$S$199, $A479)),0)))),"United States of America")</f>
        <v/>
      </c>
      <c r="D479" s="18" t="str" cm="1">
        <f t="array" ref="D479">IF(A479="","",IF(ISNUMBER(MATCH(TRUE,ISNUMBER(SEARCH($Q$2:$Q$51, $A479)),0))=TRUE,"",IF(ISNUMBER(MATCH(TRUE,ISNUMBER(SEARCH($S$2:$S$199, $A479)),0))=TRUE,"","미국 확인 필요")))</f>
        <v/>
      </c>
    </row>
    <row r="480" spans="3:4">
      <c r="C480" s="18" t="str" cm="1">
        <f t="array" ref="C480">IFERROR(IF(A480="","",IF(ISNUMBER(MATCH(TRUE,ISNUMBER(SEARCH($Q$2:$Q$51, $A480)),0))=TRUE,"United States of America",INDEX($S$2:$S$199,MATCH(TRUE,ISNUMBER(SEARCH($S$2:$S$199, $A480)),0)))),"United States of America")</f>
        <v/>
      </c>
      <c r="D480" s="18" t="str" cm="1">
        <f t="array" ref="D480">IF(A480="","",IF(ISNUMBER(MATCH(TRUE,ISNUMBER(SEARCH($Q$2:$Q$51, $A480)),0))=TRUE,"",IF(ISNUMBER(MATCH(TRUE,ISNUMBER(SEARCH($S$2:$S$199, $A480)),0))=TRUE,"","미국 확인 필요")))</f>
        <v/>
      </c>
    </row>
    <row r="481" spans="3:4">
      <c r="C481" s="18" t="str" cm="1">
        <f t="array" ref="C481">IFERROR(IF(A481="","",IF(ISNUMBER(MATCH(TRUE,ISNUMBER(SEARCH($Q$2:$Q$51, $A481)),0))=TRUE,"United States of America",INDEX($S$2:$S$199,MATCH(TRUE,ISNUMBER(SEARCH($S$2:$S$199, $A481)),0)))),"United States of America")</f>
        <v/>
      </c>
      <c r="D481" s="18" t="str" cm="1">
        <f t="array" ref="D481">IF(A481="","",IF(ISNUMBER(MATCH(TRUE,ISNUMBER(SEARCH($Q$2:$Q$51, $A481)),0))=TRUE,"",IF(ISNUMBER(MATCH(TRUE,ISNUMBER(SEARCH($S$2:$S$199, $A481)),0))=TRUE,"","미국 확인 필요")))</f>
        <v/>
      </c>
    </row>
    <row r="482" spans="3:4">
      <c r="C482" s="18" t="str" cm="1">
        <f t="array" ref="C482">IFERROR(IF(A482="","",IF(ISNUMBER(MATCH(TRUE,ISNUMBER(SEARCH($Q$2:$Q$51, $A482)),0))=TRUE,"United States of America",INDEX($S$2:$S$199,MATCH(TRUE,ISNUMBER(SEARCH($S$2:$S$199, $A482)),0)))),"United States of America")</f>
        <v/>
      </c>
      <c r="D482" s="18" t="str" cm="1">
        <f t="array" ref="D482">IF(A482="","",IF(ISNUMBER(MATCH(TRUE,ISNUMBER(SEARCH($Q$2:$Q$51, $A482)),0))=TRUE,"",IF(ISNUMBER(MATCH(TRUE,ISNUMBER(SEARCH($S$2:$S$199, $A482)),0))=TRUE,"","미국 확인 필요")))</f>
        <v/>
      </c>
    </row>
    <row r="483" spans="3:4">
      <c r="C483" s="18" t="str" cm="1">
        <f t="array" ref="C483">IFERROR(IF(A483="","",IF(ISNUMBER(MATCH(TRUE,ISNUMBER(SEARCH($Q$2:$Q$51, $A483)),0))=TRUE,"United States of America",INDEX($S$2:$S$199,MATCH(TRUE,ISNUMBER(SEARCH($S$2:$S$199, $A483)),0)))),"United States of America")</f>
        <v/>
      </c>
      <c r="D483" s="18" t="str" cm="1">
        <f t="array" ref="D483">IF(A483="","",IF(ISNUMBER(MATCH(TRUE,ISNUMBER(SEARCH($Q$2:$Q$51, $A483)),0))=TRUE,"",IF(ISNUMBER(MATCH(TRUE,ISNUMBER(SEARCH($S$2:$S$199, $A483)),0))=TRUE,"","미국 확인 필요")))</f>
        <v/>
      </c>
    </row>
    <row r="484" spans="3:4">
      <c r="C484" s="18" t="str" cm="1">
        <f t="array" ref="C484">IFERROR(IF(A484="","",IF(ISNUMBER(MATCH(TRUE,ISNUMBER(SEARCH($Q$2:$Q$51, $A484)),0))=TRUE,"United States of America",INDEX($S$2:$S$199,MATCH(TRUE,ISNUMBER(SEARCH($S$2:$S$199, $A484)),0)))),"United States of America")</f>
        <v/>
      </c>
      <c r="D484" s="18" t="str" cm="1">
        <f t="array" ref="D484">IF(A484="","",IF(ISNUMBER(MATCH(TRUE,ISNUMBER(SEARCH($Q$2:$Q$51, $A484)),0))=TRUE,"",IF(ISNUMBER(MATCH(TRUE,ISNUMBER(SEARCH($S$2:$S$199, $A484)),0))=TRUE,"","미국 확인 필요")))</f>
        <v/>
      </c>
    </row>
    <row r="485" spans="3:4">
      <c r="C485" s="18" t="str" cm="1">
        <f t="array" ref="C485">IFERROR(IF(A485="","",IF(ISNUMBER(MATCH(TRUE,ISNUMBER(SEARCH($Q$2:$Q$51, $A485)),0))=TRUE,"United States of America",INDEX($S$2:$S$199,MATCH(TRUE,ISNUMBER(SEARCH($S$2:$S$199, $A485)),0)))),"United States of America")</f>
        <v/>
      </c>
      <c r="D485" s="18" t="str" cm="1">
        <f t="array" ref="D485">IF(A485="","",IF(ISNUMBER(MATCH(TRUE,ISNUMBER(SEARCH($Q$2:$Q$51, $A485)),0))=TRUE,"",IF(ISNUMBER(MATCH(TRUE,ISNUMBER(SEARCH($S$2:$S$199, $A485)),0))=TRUE,"","미국 확인 필요")))</f>
        <v/>
      </c>
    </row>
    <row r="486" spans="3:4">
      <c r="C486" s="18" t="str" cm="1">
        <f t="array" ref="C486">IFERROR(IF(A486="","",IF(ISNUMBER(MATCH(TRUE,ISNUMBER(SEARCH($Q$2:$Q$51, $A486)),0))=TRUE,"United States of America",INDEX($S$2:$S$199,MATCH(TRUE,ISNUMBER(SEARCH($S$2:$S$199, $A486)),0)))),"United States of America")</f>
        <v/>
      </c>
      <c r="D486" s="18" t="str" cm="1">
        <f t="array" ref="D486">IF(A486="","",IF(ISNUMBER(MATCH(TRUE,ISNUMBER(SEARCH($Q$2:$Q$51, $A486)),0))=TRUE,"",IF(ISNUMBER(MATCH(TRUE,ISNUMBER(SEARCH($S$2:$S$199, $A486)),0))=TRUE,"","미국 확인 필요")))</f>
        <v/>
      </c>
    </row>
    <row r="487" spans="3:4">
      <c r="C487" s="18" t="str" cm="1">
        <f t="array" ref="C487">IFERROR(IF(A487="","",IF(ISNUMBER(MATCH(TRUE,ISNUMBER(SEARCH($Q$2:$Q$51, $A487)),0))=TRUE,"United States of America",INDEX($S$2:$S$199,MATCH(TRUE,ISNUMBER(SEARCH($S$2:$S$199, $A487)),0)))),"United States of America")</f>
        <v/>
      </c>
      <c r="D487" s="18" t="str" cm="1">
        <f t="array" ref="D487">IF(A487="","",IF(ISNUMBER(MATCH(TRUE,ISNUMBER(SEARCH($Q$2:$Q$51, $A487)),0))=TRUE,"",IF(ISNUMBER(MATCH(TRUE,ISNUMBER(SEARCH($S$2:$S$199, $A487)),0))=TRUE,"","미국 확인 필요")))</f>
        <v/>
      </c>
    </row>
    <row r="488" spans="3:4">
      <c r="C488" s="18" t="str" cm="1">
        <f t="array" ref="C488">IFERROR(IF(A488="","",IF(ISNUMBER(MATCH(TRUE,ISNUMBER(SEARCH($Q$2:$Q$51, $A488)),0))=TRUE,"United States of America",INDEX($S$2:$S$199,MATCH(TRUE,ISNUMBER(SEARCH($S$2:$S$199, $A488)),0)))),"United States of America")</f>
        <v/>
      </c>
      <c r="D488" s="18" t="str" cm="1">
        <f t="array" ref="D488">IF(A488="","",IF(ISNUMBER(MATCH(TRUE,ISNUMBER(SEARCH($Q$2:$Q$51, $A488)),0))=TRUE,"",IF(ISNUMBER(MATCH(TRUE,ISNUMBER(SEARCH($S$2:$S$199, $A488)),0))=TRUE,"","미국 확인 필요")))</f>
        <v/>
      </c>
    </row>
    <row r="489" spans="3:4">
      <c r="C489" s="18" t="str" cm="1">
        <f t="array" ref="C489">IFERROR(IF(A489="","",IF(ISNUMBER(MATCH(TRUE,ISNUMBER(SEARCH($Q$2:$Q$51, $A489)),0))=TRUE,"United States of America",INDEX($S$2:$S$199,MATCH(TRUE,ISNUMBER(SEARCH($S$2:$S$199, $A489)),0)))),"United States of America")</f>
        <v/>
      </c>
      <c r="D489" s="18" t="str" cm="1">
        <f t="array" ref="D489">IF(A489="","",IF(ISNUMBER(MATCH(TRUE,ISNUMBER(SEARCH($Q$2:$Q$51, $A489)),0))=TRUE,"",IF(ISNUMBER(MATCH(TRUE,ISNUMBER(SEARCH($S$2:$S$199, $A489)),0))=TRUE,"","미국 확인 필요")))</f>
        <v/>
      </c>
    </row>
    <row r="490" spans="3:4">
      <c r="C490" s="18" t="str" cm="1">
        <f t="array" ref="C490">IFERROR(IF(A490="","",IF(ISNUMBER(MATCH(TRUE,ISNUMBER(SEARCH($Q$2:$Q$51, $A490)),0))=TRUE,"United States of America",INDEX($S$2:$S$199,MATCH(TRUE,ISNUMBER(SEARCH($S$2:$S$199, $A490)),0)))),"United States of America")</f>
        <v/>
      </c>
      <c r="D490" s="18" t="str" cm="1">
        <f t="array" ref="D490">IF(A490="","",IF(ISNUMBER(MATCH(TRUE,ISNUMBER(SEARCH($Q$2:$Q$51, $A490)),0))=TRUE,"",IF(ISNUMBER(MATCH(TRUE,ISNUMBER(SEARCH($S$2:$S$199, $A490)),0))=TRUE,"","미국 확인 필요")))</f>
        <v/>
      </c>
    </row>
    <row r="491" spans="3:4">
      <c r="C491" s="18" t="str" cm="1">
        <f t="array" ref="C491">IFERROR(IF(A491="","",IF(ISNUMBER(MATCH(TRUE,ISNUMBER(SEARCH($Q$2:$Q$51, $A491)),0))=TRUE,"United States of America",INDEX($S$2:$S$199,MATCH(TRUE,ISNUMBER(SEARCH($S$2:$S$199, $A491)),0)))),"United States of America")</f>
        <v/>
      </c>
      <c r="D491" s="18" t="str" cm="1">
        <f t="array" ref="D491">IF(A491="","",IF(ISNUMBER(MATCH(TRUE,ISNUMBER(SEARCH($Q$2:$Q$51, $A491)),0))=TRUE,"",IF(ISNUMBER(MATCH(TRUE,ISNUMBER(SEARCH($S$2:$S$199, $A491)),0))=TRUE,"","미국 확인 필요")))</f>
        <v/>
      </c>
    </row>
    <row r="492" spans="3:4">
      <c r="C492" s="18" t="str" cm="1">
        <f t="array" ref="C492">IFERROR(IF(A492="","",IF(ISNUMBER(MATCH(TRUE,ISNUMBER(SEARCH($Q$2:$Q$51, $A492)),0))=TRUE,"United States of America",INDEX($S$2:$S$199,MATCH(TRUE,ISNUMBER(SEARCH($S$2:$S$199, $A492)),0)))),"United States of America")</f>
        <v/>
      </c>
      <c r="D492" s="18" t="str" cm="1">
        <f t="array" ref="D492">IF(A492="","",IF(ISNUMBER(MATCH(TRUE,ISNUMBER(SEARCH($Q$2:$Q$51, $A492)),0))=TRUE,"",IF(ISNUMBER(MATCH(TRUE,ISNUMBER(SEARCH($S$2:$S$199, $A492)),0))=TRUE,"","미국 확인 필요")))</f>
        <v/>
      </c>
    </row>
    <row r="493" spans="3:4">
      <c r="C493" s="18" t="str" cm="1">
        <f t="array" ref="C493">IFERROR(IF(A493="","",IF(ISNUMBER(MATCH(TRUE,ISNUMBER(SEARCH($Q$2:$Q$51, $A493)),0))=TRUE,"United States of America",INDEX($S$2:$S$199,MATCH(TRUE,ISNUMBER(SEARCH($S$2:$S$199, $A493)),0)))),"United States of America")</f>
        <v/>
      </c>
      <c r="D493" s="18" t="str" cm="1">
        <f t="array" ref="D493">IF(A493="","",IF(ISNUMBER(MATCH(TRUE,ISNUMBER(SEARCH($Q$2:$Q$51, $A493)),0))=TRUE,"",IF(ISNUMBER(MATCH(TRUE,ISNUMBER(SEARCH($S$2:$S$199, $A493)),0))=TRUE,"","미국 확인 필요")))</f>
        <v/>
      </c>
    </row>
    <row r="494" spans="3:4">
      <c r="C494" s="18" t="str" cm="1">
        <f t="array" ref="C494">IFERROR(IF(A494="","",IF(ISNUMBER(MATCH(TRUE,ISNUMBER(SEARCH($Q$2:$Q$51, $A494)),0))=TRUE,"United States of America",INDEX($S$2:$S$199,MATCH(TRUE,ISNUMBER(SEARCH($S$2:$S$199, $A494)),0)))),"United States of America")</f>
        <v/>
      </c>
      <c r="D494" s="18" t="str" cm="1">
        <f t="array" ref="D494">IF(A494="","",IF(ISNUMBER(MATCH(TRUE,ISNUMBER(SEARCH($Q$2:$Q$51, $A494)),0))=TRUE,"",IF(ISNUMBER(MATCH(TRUE,ISNUMBER(SEARCH($S$2:$S$199, $A494)),0))=TRUE,"","미국 확인 필요")))</f>
        <v/>
      </c>
    </row>
    <row r="495" spans="3:4">
      <c r="C495" s="18" t="str" cm="1">
        <f t="array" ref="C495">IFERROR(IF(A495="","",IF(ISNUMBER(MATCH(TRUE,ISNUMBER(SEARCH($Q$2:$Q$51, $A495)),0))=TRUE,"United States of America",INDEX($S$2:$S$199,MATCH(TRUE,ISNUMBER(SEARCH($S$2:$S$199, $A495)),0)))),"United States of America")</f>
        <v/>
      </c>
      <c r="D495" s="18" t="str" cm="1">
        <f t="array" ref="D495">IF(A495="","",IF(ISNUMBER(MATCH(TRUE,ISNUMBER(SEARCH($Q$2:$Q$51, $A495)),0))=TRUE,"",IF(ISNUMBER(MATCH(TRUE,ISNUMBER(SEARCH($S$2:$S$199, $A495)),0))=TRUE,"","미국 확인 필요")))</f>
        <v/>
      </c>
    </row>
    <row r="496" spans="3:4">
      <c r="C496" s="18" t="str" cm="1">
        <f t="array" ref="C496">IFERROR(IF(A496="","",IF(ISNUMBER(MATCH(TRUE,ISNUMBER(SEARCH($Q$2:$Q$51, $A496)),0))=TRUE,"United States of America",INDEX($S$2:$S$199,MATCH(TRUE,ISNUMBER(SEARCH($S$2:$S$199, $A496)),0)))),"United States of America")</f>
        <v/>
      </c>
      <c r="D496" s="18" t="str" cm="1">
        <f t="array" ref="D496">IF(A496="","",IF(ISNUMBER(MATCH(TRUE,ISNUMBER(SEARCH($Q$2:$Q$51, $A496)),0))=TRUE,"",IF(ISNUMBER(MATCH(TRUE,ISNUMBER(SEARCH($S$2:$S$199, $A496)),0))=TRUE,"","미국 확인 필요")))</f>
        <v/>
      </c>
    </row>
    <row r="497" spans="3:4">
      <c r="C497" s="18" t="str" cm="1">
        <f t="array" ref="C497">IFERROR(IF(A497="","",IF(ISNUMBER(MATCH(TRUE,ISNUMBER(SEARCH($Q$2:$Q$51, $A497)),0))=TRUE,"United States of America",INDEX($S$2:$S$199,MATCH(TRUE,ISNUMBER(SEARCH($S$2:$S$199, $A497)),0)))),"United States of America")</f>
        <v/>
      </c>
      <c r="D497" s="18" t="str" cm="1">
        <f t="array" ref="D497">IF(A497="","",IF(ISNUMBER(MATCH(TRUE,ISNUMBER(SEARCH($Q$2:$Q$51, $A497)),0))=TRUE,"",IF(ISNUMBER(MATCH(TRUE,ISNUMBER(SEARCH($S$2:$S$199, $A497)),0))=TRUE,"","미국 확인 필요")))</f>
        <v/>
      </c>
    </row>
    <row r="498" spans="3:4">
      <c r="C498" s="18" t="str" cm="1">
        <f t="array" ref="C498">IFERROR(IF(A498="","",IF(ISNUMBER(MATCH(TRUE,ISNUMBER(SEARCH($Q$2:$Q$51, $A498)),0))=TRUE,"United States of America",INDEX($S$2:$S$199,MATCH(TRUE,ISNUMBER(SEARCH($S$2:$S$199, $A498)),0)))),"United States of America")</f>
        <v/>
      </c>
      <c r="D498" s="18" t="str" cm="1">
        <f t="array" ref="D498">IF(A498="","",IF(ISNUMBER(MATCH(TRUE,ISNUMBER(SEARCH($Q$2:$Q$51, $A498)),0))=TRUE,"",IF(ISNUMBER(MATCH(TRUE,ISNUMBER(SEARCH($S$2:$S$199, $A498)),0))=TRUE,"","미국 확인 필요")))</f>
        <v/>
      </c>
    </row>
    <row r="499" spans="3:4">
      <c r="C499" s="18" t="str" cm="1">
        <f t="array" ref="C499">IFERROR(IF(A499="","",IF(ISNUMBER(MATCH(TRUE,ISNUMBER(SEARCH($Q$2:$Q$51, $A499)),0))=TRUE,"United States of America",INDEX($S$2:$S$199,MATCH(TRUE,ISNUMBER(SEARCH($S$2:$S$199, $A499)),0)))),"United States of America")</f>
        <v/>
      </c>
      <c r="D499" s="18" t="str" cm="1">
        <f t="array" ref="D499">IF(A499="","",IF(ISNUMBER(MATCH(TRUE,ISNUMBER(SEARCH($Q$2:$Q$51, $A499)),0))=TRUE,"",IF(ISNUMBER(MATCH(TRUE,ISNUMBER(SEARCH($S$2:$S$199, $A499)),0))=TRUE,"","미국 확인 필요")))</f>
        <v/>
      </c>
    </row>
    <row r="500" spans="3:4">
      <c r="C500" s="18" t="str" cm="1">
        <f t="array" ref="C500">IFERROR(IF(A500="","",IF(ISNUMBER(MATCH(TRUE,ISNUMBER(SEARCH($Q$2:$Q$51, $A500)),0))=TRUE,"United States of America",INDEX($S$2:$S$199,MATCH(TRUE,ISNUMBER(SEARCH($S$2:$S$199, $A500)),0)))),"United States of America")</f>
        <v/>
      </c>
      <c r="D500" s="18" t="str" cm="1">
        <f t="array" ref="D500">IF(A500="","",IF(ISNUMBER(MATCH(TRUE,ISNUMBER(SEARCH($Q$2:$Q$51, $A500)),0))=TRUE,"",IF(ISNUMBER(MATCH(TRUE,ISNUMBER(SEARCH($S$2:$S$199, $A500)),0))=TRUE,"","미국 확인 필요")))</f>
        <v/>
      </c>
    </row>
  </sheetData>
  <mergeCells count="4">
    <mergeCell ref="L15:M15"/>
    <mergeCell ref="L33:M33"/>
    <mergeCell ref="L21:N21"/>
    <mergeCell ref="L3:N3"/>
  </mergeCells>
  <phoneticPr fontId="2" type="noConversion"/>
  <conditionalFormatting sqref="S1:S1048576">
    <cfRule type="duplicateValues" dxfId="0" priority="1"/>
  </conditionalFormatting>
  <pageMargins left="0.7" right="0.7" top="0.75" bottom="0.75" header="0.3" footer="0.3"/>
  <ignoredErrors>
    <ignoredError sqref="V2:V206" formula="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93EAB-D5D2-40AD-A131-CDA644E7817B}">
  <sheetPr>
    <tabColor theme="7" tint="0.79998168889431442"/>
  </sheetPr>
  <dimension ref="A1:W33"/>
  <sheetViews>
    <sheetView topLeftCell="H1" workbookViewId="0">
      <selection activeCell="W5" sqref="W5:W14"/>
    </sheetView>
  </sheetViews>
  <sheetFormatPr defaultRowHeight="16.5"/>
  <cols>
    <col min="1" max="1" width="15" style="4" customWidth="1"/>
    <col min="2" max="8" width="8.625" style="4"/>
    <col min="14" max="14" width="22.625" bestFit="1" customWidth="1"/>
    <col min="15" max="15" width="22.75" bestFit="1" customWidth="1"/>
    <col min="16" max="19" width="17.625" customWidth="1"/>
    <col min="23" max="23" width="16.625" customWidth="1"/>
  </cols>
  <sheetData>
    <row r="1" spans="1:23">
      <c r="A1" s="4" t="s">
        <v>791</v>
      </c>
      <c r="B1" s="4" t="s">
        <v>787</v>
      </c>
    </row>
    <row r="2" spans="1:23">
      <c r="A2" s="4" t="s">
        <v>309</v>
      </c>
      <c r="B2" s="4" t="s">
        <v>310</v>
      </c>
      <c r="C2" s="4" t="s">
        <v>311</v>
      </c>
      <c r="D2" s="4" t="s">
        <v>312</v>
      </c>
      <c r="E2" s="4" t="s">
        <v>313</v>
      </c>
    </row>
    <row r="3" spans="1:23" ht="17.25" thickBot="1">
      <c r="A3" s="4" t="s">
        <v>314</v>
      </c>
      <c r="B3" s="4">
        <v>98476</v>
      </c>
      <c r="C3" s="4">
        <v>1940</v>
      </c>
      <c r="D3" s="4">
        <v>2632</v>
      </c>
      <c r="E3" s="4">
        <v>29</v>
      </c>
      <c r="I3">
        <f>RANK(C3,C:C,0)</f>
        <v>6</v>
      </c>
    </row>
    <row r="4" spans="1:23" ht="17.25" thickBot="1">
      <c r="A4" s="4" t="s">
        <v>319</v>
      </c>
      <c r="B4" s="4">
        <v>19914</v>
      </c>
      <c r="C4" s="4">
        <v>304</v>
      </c>
      <c r="D4" s="4">
        <v>375</v>
      </c>
      <c r="E4" s="4">
        <v>17</v>
      </c>
      <c r="I4">
        <f t="shared" ref="I4:I20" si="0">RANK(C4,C:C,0)</f>
        <v>9</v>
      </c>
      <c r="N4" s="221" t="s">
        <v>327</v>
      </c>
      <c r="O4" s="222" t="s">
        <v>326</v>
      </c>
      <c r="P4" s="222" t="s">
        <v>324</v>
      </c>
      <c r="Q4" s="222" t="s">
        <v>325</v>
      </c>
      <c r="R4" s="222" t="s">
        <v>337</v>
      </c>
      <c r="S4" s="223" t="s">
        <v>792</v>
      </c>
    </row>
    <row r="5" spans="1:23">
      <c r="A5" s="4" t="s">
        <v>318</v>
      </c>
      <c r="B5" s="4">
        <v>459651</v>
      </c>
      <c r="C5" s="4">
        <v>4314</v>
      </c>
      <c r="D5" s="4">
        <v>1790</v>
      </c>
      <c r="E5" s="4">
        <v>17</v>
      </c>
      <c r="I5">
        <f t="shared" si="0"/>
        <v>5</v>
      </c>
      <c r="N5" s="217">
        <v>1</v>
      </c>
      <c r="O5" s="218" t="s">
        <v>316</v>
      </c>
      <c r="P5" s="219">
        <v>3399369</v>
      </c>
      <c r="Q5" s="219">
        <v>3443244</v>
      </c>
      <c r="R5" s="219">
        <v>3477914</v>
      </c>
      <c r="S5" s="220">
        <v>3527538</v>
      </c>
      <c r="V5" s="199">
        <f t="shared" ref="V5:V14" si="1">(S5-R5)/R5</f>
        <v>1.426832290850205E-2</v>
      </c>
      <c r="W5" s="208" t="str">
        <f>TEXT(S5,"#,###")&amp;" (▲ "&amp;TEXT(V5,"0.##%")&amp;")"</f>
        <v>3,527,538 (▲ 1.43%)</v>
      </c>
    </row>
    <row r="6" spans="1:23">
      <c r="A6" s="4" t="s">
        <v>320</v>
      </c>
      <c r="B6" s="4">
        <v>21396</v>
      </c>
      <c r="C6" s="4">
        <v>445</v>
      </c>
      <c r="D6" s="4">
        <v>1027</v>
      </c>
      <c r="E6" s="4">
        <v>16</v>
      </c>
      <c r="I6">
        <f t="shared" si="0"/>
        <v>8</v>
      </c>
      <c r="N6" s="200">
        <v>2</v>
      </c>
      <c r="O6" s="201" t="s">
        <v>315</v>
      </c>
      <c r="P6" s="202">
        <v>556990</v>
      </c>
      <c r="Q6" s="202">
        <v>568238</v>
      </c>
      <c r="R6" s="202">
        <v>577328</v>
      </c>
      <c r="S6" s="203">
        <v>592692</v>
      </c>
      <c r="V6" s="199">
        <f t="shared" si="1"/>
        <v>2.6612255078568854E-2</v>
      </c>
      <c r="W6" s="208" t="str">
        <f t="shared" ref="W6:W14" si="2">TEXT(S6,"#,###")&amp;" (▲ "&amp;TEXT(V6,"0.##%")&amp;")"</f>
        <v>592,692 (▲ 2.66%)</v>
      </c>
    </row>
    <row r="7" spans="1:23">
      <c r="A7" s="4" t="s">
        <v>323</v>
      </c>
      <c r="B7" s="4">
        <v>2352</v>
      </c>
      <c r="C7" s="4">
        <v>22</v>
      </c>
      <c r="D7" s="4">
        <v>0</v>
      </c>
      <c r="E7" s="4">
        <v>0</v>
      </c>
      <c r="I7">
        <f t="shared" si="0"/>
        <v>10</v>
      </c>
      <c r="N7" s="200">
        <v>3</v>
      </c>
      <c r="O7" s="201" t="s">
        <v>321</v>
      </c>
      <c r="P7" s="202">
        <v>313872</v>
      </c>
      <c r="Q7" s="202">
        <v>323185</v>
      </c>
      <c r="R7" s="202">
        <v>332336</v>
      </c>
      <c r="S7" s="203">
        <v>342777</v>
      </c>
      <c r="V7" s="199">
        <f t="shared" si="1"/>
        <v>3.141699966299167E-2</v>
      </c>
      <c r="W7" s="208" t="str">
        <f t="shared" si="2"/>
        <v>342,777 (▲ 3.14%)</v>
      </c>
    </row>
    <row r="8" spans="1:23">
      <c r="A8" s="4" t="s">
        <v>317</v>
      </c>
      <c r="B8" s="4">
        <v>27038</v>
      </c>
      <c r="C8" s="4">
        <v>500</v>
      </c>
      <c r="D8" s="4">
        <v>1003</v>
      </c>
      <c r="E8" s="4">
        <v>70</v>
      </c>
      <c r="I8">
        <f t="shared" si="0"/>
        <v>7</v>
      </c>
      <c r="N8" s="200">
        <v>4</v>
      </c>
      <c r="O8" s="201" t="s">
        <v>314</v>
      </c>
      <c r="P8" s="202">
        <v>93109</v>
      </c>
      <c r="Q8" s="202">
        <v>94737</v>
      </c>
      <c r="R8" s="202">
        <v>96708</v>
      </c>
      <c r="S8" s="203">
        <v>98476</v>
      </c>
      <c r="V8" s="199">
        <f t="shared" si="1"/>
        <v>1.8281838110600985E-2</v>
      </c>
      <c r="W8" s="208" t="str">
        <f t="shared" si="2"/>
        <v>98,476 (▲ 1.83%)</v>
      </c>
    </row>
    <row r="9" spans="1:23">
      <c r="A9" s="4" t="s">
        <v>322</v>
      </c>
      <c r="B9" s="4">
        <v>2389545</v>
      </c>
      <c r="C9" s="4">
        <v>208491</v>
      </c>
      <c r="D9" s="4">
        <v>43287</v>
      </c>
      <c r="E9" s="4">
        <v>47</v>
      </c>
      <c r="I9">
        <f t="shared" si="0"/>
        <v>1</v>
      </c>
      <c r="N9" s="200">
        <v>5</v>
      </c>
      <c r="O9" s="201" t="s">
        <v>317</v>
      </c>
      <c r="P9" s="202"/>
      <c r="Q9" s="202">
        <v>26171</v>
      </c>
      <c r="R9" s="202">
        <v>26558</v>
      </c>
      <c r="S9" s="203">
        <v>27038</v>
      </c>
      <c r="V9" s="199">
        <f t="shared" si="1"/>
        <v>1.8073650124256345E-2</v>
      </c>
      <c r="W9" s="208" t="str">
        <f t="shared" si="2"/>
        <v>27,038 (▲ 1.81%)</v>
      </c>
    </row>
    <row r="10" spans="1:23">
      <c r="A10" s="4" t="s">
        <v>315</v>
      </c>
      <c r="B10" s="4">
        <v>592692</v>
      </c>
      <c r="C10" s="4">
        <v>16326</v>
      </c>
      <c r="D10" s="4">
        <v>10092</v>
      </c>
      <c r="E10" s="4">
        <v>28</v>
      </c>
      <c r="I10">
        <f t="shared" si="0"/>
        <v>3</v>
      </c>
      <c r="N10" s="200">
        <v>6</v>
      </c>
      <c r="O10" s="201" t="s">
        <v>318</v>
      </c>
      <c r="P10" s="202"/>
      <c r="Q10" s="202">
        <v>448724</v>
      </c>
      <c r="R10" s="202">
        <v>455750</v>
      </c>
      <c r="S10" s="203">
        <v>459651</v>
      </c>
      <c r="V10" s="199">
        <f t="shared" si="1"/>
        <v>8.5595172792100934E-3</v>
      </c>
      <c r="W10" s="208" t="str">
        <f t="shared" si="2"/>
        <v>459,651 (▲ 0.86%)</v>
      </c>
    </row>
    <row r="11" spans="1:23">
      <c r="A11" s="4" t="s">
        <v>321</v>
      </c>
      <c r="B11" s="4">
        <v>342777</v>
      </c>
      <c r="C11" s="4">
        <v>11012</v>
      </c>
      <c r="D11" s="4">
        <v>14443</v>
      </c>
      <c r="E11" s="4">
        <v>63</v>
      </c>
      <c r="I11">
        <f t="shared" si="0"/>
        <v>4</v>
      </c>
      <c r="N11" s="200">
        <v>7</v>
      </c>
      <c r="O11" s="201" t="s">
        <v>319</v>
      </c>
      <c r="P11" s="202"/>
      <c r="Q11" s="202">
        <v>19331</v>
      </c>
      <c r="R11" s="202">
        <v>19625</v>
      </c>
      <c r="S11" s="203">
        <v>19914</v>
      </c>
      <c r="V11" s="199">
        <f t="shared" si="1"/>
        <v>1.4726114649681529E-2</v>
      </c>
      <c r="W11" s="208" t="str">
        <f t="shared" si="2"/>
        <v>19,914 (▲ 1.47%)</v>
      </c>
    </row>
    <row r="12" spans="1:23">
      <c r="A12" s="4" t="s">
        <v>316</v>
      </c>
      <c r="B12" s="4">
        <v>3527538</v>
      </c>
      <c r="C12" s="4">
        <v>55363</v>
      </c>
      <c r="D12" s="4">
        <v>45422</v>
      </c>
      <c r="E12" s="4">
        <v>95</v>
      </c>
      <c r="I12">
        <f t="shared" si="0"/>
        <v>2</v>
      </c>
      <c r="N12" s="200">
        <v>8</v>
      </c>
      <c r="O12" s="201" t="s">
        <v>320</v>
      </c>
      <c r="P12" s="202"/>
      <c r="Q12" s="202">
        <v>20624</v>
      </c>
      <c r="R12" s="202">
        <v>20929</v>
      </c>
      <c r="S12" s="203">
        <v>21396</v>
      </c>
      <c r="V12" s="199">
        <f t="shared" si="1"/>
        <v>2.2313536241578672E-2</v>
      </c>
      <c r="W12" s="208" t="str">
        <f t="shared" si="2"/>
        <v>21,396 (▲ 2.23%)</v>
      </c>
    </row>
    <row r="13" spans="1:23">
      <c r="I13" t="e">
        <f t="shared" si="0"/>
        <v>#N/A</v>
      </c>
      <c r="N13" s="200">
        <v>9</v>
      </c>
      <c r="O13" s="201" t="s">
        <v>322</v>
      </c>
      <c r="P13" s="202"/>
      <c r="Q13" s="202">
        <v>2096575</v>
      </c>
      <c r="R13" s="202">
        <v>2187326</v>
      </c>
      <c r="S13" s="203">
        <v>2389545</v>
      </c>
      <c r="V13" s="199">
        <f t="shared" si="1"/>
        <v>9.2450325191580959E-2</v>
      </c>
      <c r="W13" s="208" t="str">
        <f t="shared" si="2"/>
        <v>2,389,545 (▲ 9.25%)</v>
      </c>
    </row>
    <row r="14" spans="1:23" ht="17.25" thickBot="1">
      <c r="I14" t="e">
        <f t="shared" si="0"/>
        <v>#N/A</v>
      </c>
      <c r="N14" s="204">
        <v>10</v>
      </c>
      <c r="O14" s="205" t="s">
        <v>323</v>
      </c>
      <c r="P14" s="206"/>
      <c r="Q14" s="206">
        <v>2317</v>
      </c>
      <c r="R14" s="206">
        <v>2330</v>
      </c>
      <c r="S14" s="207">
        <v>2352</v>
      </c>
      <c r="V14" s="199">
        <f t="shared" si="1"/>
        <v>9.4420600858369091E-3</v>
      </c>
      <c r="W14" s="208" t="str">
        <f t="shared" si="2"/>
        <v>2,352 (▲ 0.94%)</v>
      </c>
    </row>
    <row r="15" spans="1:23">
      <c r="I15" t="e">
        <f t="shared" si="0"/>
        <v>#N/A</v>
      </c>
    </row>
    <row r="16" spans="1:23">
      <c r="I16" t="e">
        <f t="shared" si="0"/>
        <v>#N/A</v>
      </c>
    </row>
    <row r="17" spans="9:16">
      <c r="I17" t="e">
        <f t="shared" si="0"/>
        <v>#N/A</v>
      </c>
    </row>
    <row r="18" spans="9:16">
      <c r="I18" t="e">
        <f t="shared" si="0"/>
        <v>#N/A</v>
      </c>
    </row>
    <row r="19" spans="9:16">
      <c r="I19" t="e">
        <f t="shared" si="0"/>
        <v>#N/A</v>
      </c>
    </row>
    <row r="20" spans="9:16">
      <c r="I20" t="e">
        <f t="shared" si="0"/>
        <v>#N/A</v>
      </c>
    </row>
    <row r="21" spans="9:16" ht="17.25" thickBot="1"/>
    <row r="22" spans="9:16">
      <c r="N22" s="365" t="s">
        <v>311</v>
      </c>
      <c r="O22" s="366"/>
      <c r="P22" s="367"/>
    </row>
    <row r="23" spans="9:16">
      <c r="N23" s="265" t="s">
        <v>345</v>
      </c>
      <c r="O23" s="264" t="s">
        <v>619</v>
      </c>
      <c r="P23" s="273" t="s">
        <v>746</v>
      </c>
    </row>
    <row r="24" spans="9:16">
      <c r="N24" s="266">
        <v>1</v>
      </c>
      <c r="O24" s="269" t="str">
        <f>INDEX(A:A,MATCH(N24,I:I,0))</f>
        <v>NVIDIA</v>
      </c>
      <c r="P24" s="270">
        <f>INDEX(C:C,MATCH(N24,I:I,0))</f>
        <v>208491</v>
      </c>
    </row>
    <row r="25" spans="9:16">
      <c r="N25" s="266">
        <v>2</v>
      </c>
      <c r="O25" s="269" t="str">
        <f t="shared" ref="O25:O33" si="3">INDEX(A:A,MATCH(N25,I:I,0))</f>
        <v>Intel Corporation</v>
      </c>
      <c r="P25" s="270">
        <f t="shared" ref="P25:P33" si="4">INDEX(C:C,MATCH(N25,I:I,0))</f>
        <v>55363</v>
      </c>
    </row>
    <row r="26" spans="9:16">
      <c r="N26" s="266">
        <v>3</v>
      </c>
      <c r="O26" s="269" t="str">
        <f t="shared" si="3"/>
        <v>Micron Technology</v>
      </c>
      <c r="P26" s="270">
        <f t="shared" si="4"/>
        <v>16326</v>
      </c>
    </row>
    <row r="27" spans="9:16">
      <c r="N27" s="267">
        <v>4</v>
      </c>
      <c r="O27" s="269" t="str">
        <f t="shared" si="3"/>
        <v>Samsung Semiconductor</v>
      </c>
      <c r="P27" s="270">
        <f t="shared" si="4"/>
        <v>11012</v>
      </c>
    </row>
    <row r="28" spans="9:16">
      <c r="N28" s="266">
        <v>5</v>
      </c>
      <c r="O28" s="269" t="str">
        <f t="shared" si="3"/>
        <v>Western Digital</v>
      </c>
      <c r="P28" s="270">
        <f t="shared" si="4"/>
        <v>4314</v>
      </c>
    </row>
    <row r="29" spans="9:16">
      <c r="N29" s="266">
        <v>6</v>
      </c>
      <c r="O29" s="269" t="str">
        <f t="shared" si="3"/>
        <v>SK hynix</v>
      </c>
      <c r="P29" s="270">
        <f t="shared" si="4"/>
        <v>1940</v>
      </c>
    </row>
    <row r="30" spans="9:16">
      <c r="N30" s="266">
        <v>7</v>
      </c>
      <c r="O30" s="269" t="str">
        <f t="shared" si="3"/>
        <v>KIOXIA America, Inc.</v>
      </c>
      <c r="P30" s="270">
        <f t="shared" si="4"/>
        <v>500</v>
      </c>
    </row>
    <row r="31" spans="9:16">
      <c r="N31" s="266">
        <v>8</v>
      </c>
      <c r="O31" s="269" t="str">
        <f t="shared" si="3"/>
        <v>Solidigm</v>
      </c>
      <c r="P31" s="270">
        <f t="shared" si="4"/>
        <v>445</v>
      </c>
    </row>
    <row r="32" spans="9:16">
      <c r="N32" s="266">
        <v>9</v>
      </c>
      <c r="O32" s="269" t="str">
        <f t="shared" si="3"/>
        <v>SK hynix America</v>
      </c>
      <c r="P32" s="270">
        <f t="shared" si="4"/>
        <v>304</v>
      </c>
    </row>
    <row r="33" spans="14:16" ht="17.25" thickBot="1">
      <c r="N33" s="268">
        <v>10</v>
      </c>
      <c r="O33" s="271" t="str">
        <f t="shared" si="3"/>
        <v>SK hynix Italy s.r.l.</v>
      </c>
      <c r="P33" s="272">
        <f t="shared" si="4"/>
        <v>22</v>
      </c>
    </row>
  </sheetData>
  <mergeCells count="1">
    <mergeCell ref="N22:P22"/>
  </mergeCells>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7" tint="0.79998168889431442"/>
  </sheetPr>
  <dimension ref="A1:AC49"/>
  <sheetViews>
    <sheetView topLeftCell="A29" zoomScale="55" zoomScaleNormal="55" workbookViewId="0">
      <selection activeCell="A33" sqref="A33"/>
    </sheetView>
  </sheetViews>
  <sheetFormatPr defaultRowHeight="16.5"/>
  <cols>
    <col min="1" max="1" width="121.75" style="81" customWidth="1"/>
    <col min="2" max="2" width="37.875" style="4" customWidth="1"/>
    <col min="3" max="3" width="9" style="4" customWidth="1"/>
    <col min="4" max="11" width="9" style="4"/>
    <col min="12" max="12" width="8.875" style="4"/>
    <col min="13" max="20" width="9" style="4"/>
    <col min="23" max="23" width="22.875" customWidth="1"/>
    <col min="26" max="26" width="19.625" bestFit="1" customWidth="1"/>
    <col min="27" max="27" width="12.125" bestFit="1" customWidth="1"/>
  </cols>
  <sheetData>
    <row r="1" spans="1:29" ht="17.25" thickBot="1">
      <c r="A1" s="81" t="s">
        <v>97</v>
      </c>
      <c r="B1" s="4" t="s">
        <v>118</v>
      </c>
      <c r="D1" s="4" t="s">
        <v>120</v>
      </c>
      <c r="E1" s="4" t="s">
        <v>119</v>
      </c>
    </row>
    <row r="2" spans="1:29">
      <c r="A2" s="82" t="s">
        <v>23</v>
      </c>
      <c r="B2" s="83" t="s">
        <v>329</v>
      </c>
      <c r="C2" s="83" t="s">
        <v>330</v>
      </c>
      <c r="D2" s="83" t="s">
        <v>24</v>
      </c>
      <c r="E2" s="83" t="s">
        <v>331</v>
      </c>
      <c r="F2" s="83" t="s">
        <v>25</v>
      </c>
      <c r="G2" s="83" t="s">
        <v>26</v>
      </c>
      <c r="H2" s="83" t="s">
        <v>27</v>
      </c>
      <c r="I2" s="83" t="s">
        <v>28</v>
      </c>
      <c r="J2" s="83" t="s">
        <v>29</v>
      </c>
      <c r="K2" s="83" t="s">
        <v>332</v>
      </c>
      <c r="L2" s="83" t="s">
        <v>333</v>
      </c>
      <c r="M2" s="83" t="s">
        <v>30</v>
      </c>
      <c r="N2" s="83" t="s">
        <v>31</v>
      </c>
      <c r="O2" s="83" t="s">
        <v>32</v>
      </c>
      <c r="P2" s="83" t="s">
        <v>33</v>
      </c>
      <c r="Q2" s="83" t="s">
        <v>34</v>
      </c>
      <c r="R2" s="83" t="s">
        <v>35</v>
      </c>
      <c r="S2" s="83" t="s">
        <v>36</v>
      </c>
      <c r="T2" s="83" t="s">
        <v>37</v>
      </c>
      <c r="U2" s="84" t="s">
        <v>85</v>
      </c>
      <c r="V2" s="84" t="s">
        <v>86</v>
      </c>
      <c r="W2" s="84"/>
      <c r="X2" s="84" t="s">
        <v>87</v>
      </c>
      <c r="Y2" s="84" t="s">
        <v>88</v>
      </c>
      <c r="Z2" t="s">
        <v>614</v>
      </c>
      <c r="AB2" t="s">
        <v>615</v>
      </c>
      <c r="AC2" t="s">
        <v>616</v>
      </c>
    </row>
    <row r="3" spans="1:29" ht="115.5">
      <c r="A3" s="85" t="s">
        <v>654</v>
      </c>
      <c r="B3" s="209" t="s">
        <v>655</v>
      </c>
      <c r="C3" s="87" t="s">
        <v>38</v>
      </c>
      <c r="D3" s="87" t="s">
        <v>39</v>
      </c>
      <c r="E3" s="87" t="s">
        <v>334</v>
      </c>
      <c r="F3" s="87" t="s">
        <v>651</v>
      </c>
      <c r="G3" s="87" t="s">
        <v>39</v>
      </c>
      <c r="H3" s="87" t="s">
        <v>39</v>
      </c>
      <c r="I3" s="87" t="s">
        <v>40</v>
      </c>
      <c r="J3" s="87">
        <v>2103</v>
      </c>
      <c r="K3" s="87">
        <v>708</v>
      </c>
      <c r="L3" s="87" t="s">
        <v>39</v>
      </c>
      <c r="M3" s="87">
        <v>29</v>
      </c>
      <c r="N3" s="87">
        <v>1.3789824210107327E-2</v>
      </c>
      <c r="O3" s="87">
        <v>26</v>
      </c>
      <c r="P3" s="87">
        <v>0</v>
      </c>
      <c r="Q3" s="87">
        <v>0</v>
      </c>
      <c r="R3" s="87" t="s">
        <v>39</v>
      </c>
      <c r="S3" s="87">
        <v>2.6153113692998886E-2</v>
      </c>
      <c r="T3" s="87" t="s">
        <v>41</v>
      </c>
      <c r="U3" s="214">
        <f t="shared" ref="U3:U20" si="0">IF(Y3="","",_xlfn.RANK.EQ(Y3,Y:Y,0))</f>
        <v>27</v>
      </c>
      <c r="V3" s="214">
        <f t="shared" ref="V3:V20" si="1">IF(U3="","",_xlfn.RANK.EQ(U3,U:U,1))</f>
        <v>27</v>
      </c>
      <c r="W3" s="215">
        <f>IF(C3&lt;&gt;"Organic","",IF(B3="","",DATE(RIGHT(F3,4),LEFT(F3,2),MID(F3,4,2))))</f>
        <v>45380</v>
      </c>
      <c r="X3" s="214">
        <f>IF(C3&lt;&gt;"Organic","",IF(B3="","",SUM(O3:Q3,M3)))</f>
        <v>55</v>
      </c>
      <c r="Y3" s="216">
        <f>IFERROR(IF(C3&lt;&gt;"Organic","",X3/J3),"")</f>
        <v>2.6153114598193059E-2</v>
      </c>
      <c r="Z3" s="18">
        <f t="shared" ref="Z3:Z39" si="2">IF(C3="","",IFERROR(IF(OR(C3="Sponsored",C3="total"),"",IF(C4="sponsored",K4-K5,K3)),""))</f>
        <v>708</v>
      </c>
      <c r="AA3" s="51">
        <f t="shared" ref="AA3:AA48" si="3">DATE(RIGHT(F3,4),LEFT(F3,2),MID(F3,4,2))</f>
        <v>45380</v>
      </c>
      <c r="AB3" s="18">
        <f>IF(Z3="","",RANK(Z3,Z:Z,0)+COUNTIF($Z$1:Z2,Z3))</f>
        <v>3</v>
      </c>
      <c r="AC3" s="18">
        <f>IFERROR((0.6*Z3+1.4*M3+O3+P3+Q3)/J3,"")</f>
        <v>0.23366619115549214</v>
      </c>
    </row>
    <row r="4" spans="1:29" ht="99">
      <c r="A4" s="85" t="s">
        <v>656</v>
      </c>
      <c r="B4" s="209" t="s">
        <v>657</v>
      </c>
      <c r="C4" s="87" t="s">
        <v>38</v>
      </c>
      <c r="D4" s="87" t="s">
        <v>39</v>
      </c>
      <c r="E4" s="87" t="s">
        <v>334</v>
      </c>
      <c r="F4" s="87" t="s">
        <v>651</v>
      </c>
      <c r="G4" s="87" t="s">
        <v>39</v>
      </c>
      <c r="H4" s="87" t="s">
        <v>39</v>
      </c>
      <c r="I4" s="87" t="s">
        <v>40</v>
      </c>
      <c r="J4" s="87">
        <v>1844</v>
      </c>
      <c r="K4" s="87" t="s">
        <v>39</v>
      </c>
      <c r="L4" s="87" t="s">
        <v>39</v>
      </c>
      <c r="M4" s="87">
        <v>54</v>
      </c>
      <c r="N4" s="87">
        <v>2.9284164309501648E-2</v>
      </c>
      <c r="O4" s="87">
        <v>16</v>
      </c>
      <c r="P4" s="87">
        <v>0</v>
      </c>
      <c r="Q4" s="87">
        <v>2</v>
      </c>
      <c r="R4" s="87" t="s">
        <v>39</v>
      </c>
      <c r="S4" s="87">
        <v>3.9045553654432297E-2</v>
      </c>
      <c r="T4" s="87" t="s">
        <v>39</v>
      </c>
      <c r="U4" s="214">
        <f t="shared" si="0"/>
        <v>19</v>
      </c>
      <c r="V4" s="214">
        <f t="shared" si="1"/>
        <v>19</v>
      </c>
      <c r="W4" s="215">
        <f t="shared" ref="W4:W20" si="4">IF(C4&lt;&gt;"Organic","",IF(B4="","",DATE(RIGHT(F4,4),LEFT(F4,2),MID(F4,4,2))))</f>
        <v>45380</v>
      </c>
      <c r="X4" s="214">
        <f t="shared" ref="X4:X20" si="5">IF(C4&lt;&gt;"Organic","",IF(B4="","",SUM(O4:Q4,M4)))</f>
        <v>72</v>
      </c>
      <c r="Y4" s="216">
        <f t="shared" ref="Y4:Y20" si="6">IFERROR(IF(C4&lt;&gt;"Organic","",X4/J4),"")</f>
        <v>3.9045553145336226E-2</v>
      </c>
      <c r="Z4" s="18" t="str">
        <f t="shared" si="2"/>
        <v/>
      </c>
      <c r="AA4" s="51">
        <f t="shared" si="3"/>
        <v>45380</v>
      </c>
      <c r="AB4" s="18" t="str">
        <f>IF(Z4="","",RANK(Z4,Z:Z,0)+COUNTIF($Z$1:Z3,Z4))</f>
        <v/>
      </c>
      <c r="AC4" s="18" t="str">
        <f t="shared" ref="AC4:AC48" si="7">IFERROR((0.6*Z4+1.4*M4+O4+P4+Q4)/J4,"")</f>
        <v/>
      </c>
    </row>
    <row r="5" spans="1:29" ht="82.5">
      <c r="A5" s="85" t="s">
        <v>658</v>
      </c>
      <c r="B5" s="209" t="s">
        <v>659</v>
      </c>
      <c r="C5" s="87" t="s">
        <v>38</v>
      </c>
      <c r="D5" s="87" t="s">
        <v>39</v>
      </c>
      <c r="E5" s="87" t="s">
        <v>334</v>
      </c>
      <c r="F5" s="87" t="s">
        <v>651</v>
      </c>
      <c r="G5" s="87" t="s">
        <v>39</v>
      </c>
      <c r="H5" s="87" t="s">
        <v>39</v>
      </c>
      <c r="I5" s="87" t="s">
        <v>40</v>
      </c>
      <c r="J5" s="87">
        <v>2083</v>
      </c>
      <c r="K5" s="87" t="s">
        <v>39</v>
      </c>
      <c r="L5" s="87" t="s">
        <v>39</v>
      </c>
      <c r="M5" s="87">
        <v>524</v>
      </c>
      <c r="N5" s="87">
        <v>0.25156024098396301</v>
      </c>
      <c r="O5" s="87">
        <v>10</v>
      </c>
      <c r="P5" s="87">
        <v>0</v>
      </c>
      <c r="Q5" s="87">
        <v>0</v>
      </c>
      <c r="R5" s="87" t="s">
        <v>39</v>
      </c>
      <c r="S5" s="87">
        <v>0.25636100769042969</v>
      </c>
      <c r="T5" s="87" t="s">
        <v>39</v>
      </c>
      <c r="U5" s="214">
        <f t="shared" si="0"/>
        <v>4</v>
      </c>
      <c r="V5" s="214">
        <f t="shared" si="1"/>
        <v>4</v>
      </c>
      <c r="W5" s="215">
        <f t="shared" si="4"/>
        <v>45380</v>
      </c>
      <c r="X5" s="214">
        <f t="shared" si="5"/>
        <v>534</v>
      </c>
      <c r="Y5" s="216">
        <f t="shared" si="6"/>
        <v>0.25636101776284204</v>
      </c>
      <c r="Z5" s="18" t="str">
        <f t="shared" si="2"/>
        <v/>
      </c>
      <c r="AA5" s="51">
        <f t="shared" si="3"/>
        <v>45380</v>
      </c>
      <c r="AB5" s="18" t="str">
        <f>IF(Z5="","",RANK(Z5,Z:Z,0)+COUNTIF($Z$1:Z4,Z5))</f>
        <v/>
      </c>
      <c r="AC5" s="18" t="str">
        <f t="shared" si="7"/>
        <v/>
      </c>
    </row>
    <row r="6" spans="1:29" ht="181.5">
      <c r="A6" s="85" t="s">
        <v>660</v>
      </c>
      <c r="B6" s="209" t="s">
        <v>661</v>
      </c>
      <c r="C6" s="87" t="s">
        <v>38</v>
      </c>
      <c r="D6" s="87" t="s">
        <v>39</v>
      </c>
      <c r="E6" s="87" t="s">
        <v>334</v>
      </c>
      <c r="F6" s="87" t="s">
        <v>650</v>
      </c>
      <c r="G6" s="87" t="s">
        <v>39</v>
      </c>
      <c r="H6" s="87" t="s">
        <v>39</v>
      </c>
      <c r="I6" s="87" t="s">
        <v>40</v>
      </c>
      <c r="J6" s="87">
        <v>3801</v>
      </c>
      <c r="K6" s="87" t="s">
        <v>39</v>
      </c>
      <c r="L6" s="87" t="s">
        <v>39</v>
      </c>
      <c r="M6" s="87">
        <v>171</v>
      </c>
      <c r="N6" s="87">
        <v>4.4988162815570831E-2</v>
      </c>
      <c r="O6" s="87">
        <v>44</v>
      </c>
      <c r="P6" s="87">
        <v>0</v>
      </c>
      <c r="Q6" s="87">
        <v>0</v>
      </c>
      <c r="R6" s="87" t="s">
        <v>39</v>
      </c>
      <c r="S6" s="87">
        <v>5.6564062833786011E-2</v>
      </c>
      <c r="T6" s="87" t="s">
        <v>39</v>
      </c>
      <c r="U6" s="214">
        <f t="shared" si="0"/>
        <v>13</v>
      </c>
      <c r="V6" s="214">
        <f t="shared" si="1"/>
        <v>13</v>
      </c>
      <c r="W6" s="215">
        <f t="shared" si="4"/>
        <v>45379</v>
      </c>
      <c r="X6" s="214">
        <f t="shared" si="5"/>
        <v>215</v>
      </c>
      <c r="Y6" s="216">
        <f t="shared" si="6"/>
        <v>5.6564062088923971E-2</v>
      </c>
      <c r="Z6" s="18" t="str">
        <f t="shared" si="2"/>
        <v/>
      </c>
      <c r="AA6" s="51">
        <f t="shared" si="3"/>
        <v>45379</v>
      </c>
      <c r="AB6" s="18" t="str">
        <f>IF(Z6="","",RANK(Z6,Z:Z,0)+COUNTIF($Z$1:Z5,Z6))</f>
        <v/>
      </c>
      <c r="AC6" s="18" t="str">
        <f t="shared" si="7"/>
        <v/>
      </c>
    </row>
    <row r="7" spans="1:29" ht="99">
      <c r="A7" s="85" t="s">
        <v>662</v>
      </c>
      <c r="B7" s="209" t="s">
        <v>663</v>
      </c>
      <c r="C7" s="87" t="s">
        <v>38</v>
      </c>
      <c r="D7" s="87" t="s">
        <v>39</v>
      </c>
      <c r="E7" s="87" t="s">
        <v>334</v>
      </c>
      <c r="F7" s="87" t="s">
        <v>649</v>
      </c>
      <c r="G7" s="87" t="s">
        <v>39</v>
      </c>
      <c r="H7" s="87" t="s">
        <v>39</v>
      </c>
      <c r="I7" s="87" t="s">
        <v>40</v>
      </c>
      <c r="J7" s="87">
        <v>5109</v>
      </c>
      <c r="K7" s="87" t="s">
        <v>39</v>
      </c>
      <c r="L7" s="87" t="s">
        <v>39</v>
      </c>
      <c r="M7" s="87">
        <v>465</v>
      </c>
      <c r="N7" s="87">
        <v>9.1015852987766266E-2</v>
      </c>
      <c r="O7" s="87">
        <v>109</v>
      </c>
      <c r="P7" s="87">
        <v>0</v>
      </c>
      <c r="Q7" s="87">
        <v>1</v>
      </c>
      <c r="R7" s="87" t="s">
        <v>39</v>
      </c>
      <c r="S7" s="87">
        <v>0.11254648864269257</v>
      </c>
      <c r="T7" s="87" t="s">
        <v>39</v>
      </c>
      <c r="U7" s="214">
        <f t="shared" si="0"/>
        <v>10</v>
      </c>
      <c r="V7" s="214">
        <f t="shared" si="1"/>
        <v>10</v>
      </c>
      <c r="W7" s="215">
        <f t="shared" si="4"/>
        <v>45378</v>
      </c>
      <c r="X7" s="214">
        <f t="shared" si="5"/>
        <v>575</v>
      </c>
      <c r="Y7" s="216">
        <f t="shared" si="6"/>
        <v>0.11254648659228812</v>
      </c>
      <c r="Z7" s="18" t="str">
        <f t="shared" si="2"/>
        <v/>
      </c>
      <c r="AA7" s="51">
        <f t="shared" si="3"/>
        <v>45378</v>
      </c>
      <c r="AB7" s="18" t="str">
        <f>IF(Z7="","",RANK(Z7,Z:Z,0)+COUNTIF($Z$1:Z6,Z7))</f>
        <v/>
      </c>
      <c r="AC7" s="18" t="str">
        <f t="shared" si="7"/>
        <v/>
      </c>
    </row>
    <row r="8" spans="1:29" ht="165">
      <c r="A8" s="85" t="s">
        <v>664</v>
      </c>
      <c r="B8" s="209" t="s">
        <v>665</v>
      </c>
      <c r="C8" s="87" t="s">
        <v>38</v>
      </c>
      <c r="D8" s="87" t="s">
        <v>39</v>
      </c>
      <c r="E8" s="87" t="s">
        <v>334</v>
      </c>
      <c r="F8" s="87" t="s">
        <v>648</v>
      </c>
      <c r="G8" s="87" t="s">
        <v>39</v>
      </c>
      <c r="H8" s="87" t="s">
        <v>39</v>
      </c>
      <c r="I8" s="87" t="s">
        <v>40</v>
      </c>
      <c r="J8" s="87">
        <v>4445</v>
      </c>
      <c r="K8" s="87" t="s">
        <v>39</v>
      </c>
      <c r="L8" s="87" t="s">
        <v>39</v>
      </c>
      <c r="M8" s="87">
        <v>1045</v>
      </c>
      <c r="N8" s="87">
        <v>0.23509562015533447</v>
      </c>
      <c r="O8" s="87">
        <v>39</v>
      </c>
      <c r="P8" s="87">
        <v>1</v>
      </c>
      <c r="Q8" s="87">
        <v>0</v>
      </c>
      <c r="R8" s="87" t="s">
        <v>39</v>
      </c>
      <c r="S8" s="87">
        <v>0.24409449100494385</v>
      </c>
      <c r="T8" s="87" t="s">
        <v>39</v>
      </c>
      <c r="U8" s="214">
        <f t="shared" si="0"/>
        <v>5</v>
      </c>
      <c r="V8" s="214">
        <f t="shared" si="1"/>
        <v>5</v>
      </c>
      <c r="W8" s="215">
        <f t="shared" si="4"/>
        <v>45377</v>
      </c>
      <c r="X8" s="214">
        <f t="shared" si="5"/>
        <v>1085</v>
      </c>
      <c r="Y8" s="216">
        <f t="shared" si="6"/>
        <v>0.24409448818897639</v>
      </c>
      <c r="Z8" s="18" t="str">
        <f t="shared" si="2"/>
        <v/>
      </c>
      <c r="AA8" s="51">
        <f t="shared" si="3"/>
        <v>45377</v>
      </c>
      <c r="AB8" s="18" t="str">
        <f>IF(Z8="","",RANK(Z8,Z:Z,0)+COUNTIF($Z$1:Z7,Z8))</f>
        <v/>
      </c>
      <c r="AC8" s="18" t="str">
        <f t="shared" si="7"/>
        <v/>
      </c>
    </row>
    <row r="9" spans="1:29" ht="132">
      <c r="A9" s="85" t="s">
        <v>666</v>
      </c>
      <c r="B9" s="209" t="s">
        <v>667</v>
      </c>
      <c r="C9" s="87" t="s">
        <v>38</v>
      </c>
      <c r="D9" s="87" t="s">
        <v>39</v>
      </c>
      <c r="E9" s="87" t="s">
        <v>334</v>
      </c>
      <c r="F9" s="87" t="s">
        <v>647</v>
      </c>
      <c r="G9" s="87" t="s">
        <v>39</v>
      </c>
      <c r="H9" s="87" t="s">
        <v>39</v>
      </c>
      <c r="I9" s="87" t="s">
        <v>40</v>
      </c>
      <c r="J9" s="87">
        <v>10329</v>
      </c>
      <c r="K9" s="87" t="s">
        <v>39</v>
      </c>
      <c r="L9" s="87" t="s">
        <v>39</v>
      </c>
      <c r="M9" s="87">
        <v>3430</v>
      </c>
      <c r="N9" s="87">
        <v>0.33207473158836365</v>
      </c>
      <c r="O9" s="87">
        <v>80</v>
      </c>
      <c r="P9" s="87">
        <v>3</v>
      </c>
      <c r="Q9" s="87">
        <v>4</v>
      </c>
      <c r="R9" s="87" t="s">
        <v>39</v>
      </c>
      <c r="S9" s="87">
        <v>0.34049764275550842</v>
      </c>
      <c r="T9" s="87" t="s">
        <v>39</v>
      </c>
      <c r="U9" s="214">
        <f t="shared" si="0"/>
        <v>2</v>
      </c>
      <c r="V9" s="214">
        <f t="shared" si="1"/>
        <v>2</v>
      </c>
      <c r="W9" s="215">
        <f t="shared" si="4"/>
        <v>45376</v>
      </c>
      <c r="X9" s="214">
        <f t="shared" si="5"/>
        <v>3517</v>
      </c>
      <c r="Y9" s="216">
        <f t="shared" si="6"/>
        <v>0.34049762803756412</v>
      </c>
      <c r="Z9" s="18" t="str">
        <f t="shared" si="2"/>
        <v/>
      </c>
      <c r="AA9" s="51">
        <f t="shared" si="3"/>
        <v>45376</v>
      </c>
      <c r="AB9" s="18" t="str">
        <f>IF(Z9="","",RANK(Z9,Z:Z,0)+COUNTIF($Z$1:Z8,Z9))</f>
        <v/>
      </c>
      <c r="AC9" s="18" t="str">
        <f t="shared" si="7"/>
        <v/>
      </c>
    </row>
    <row r="10" spans="1:29" ht="132">
      <c r="A10" s="85" t="s">
        <v>666</v>
      </c>
      <c r="B10" s="209" t="s">
        <v>667</v>
      </c>
      <c r="C10" s="87" t="s">
        <v>151</v>
      </c>
      <c r="D10" s="87" t="s">
        <v>668</v>
      </c>
      <c r="E10" s="87" t="s">
        <v>334</v>
      </c>
      <c r="F10" s="87" t="s">
        <v>647</v>
      </c>
      <c r="G10" s="87" t="s">
        <v>669</v>
      </c>
      <c r="H10" s="87" t="s">
        <v>670</v>
      </c>
      <c r="I10" s="87" t="s">
        <v>40</v>
      </c>
      <c r="J10" s="87">
        <v>14069</v>
      </c>
      <c r="K10" s="87" t="s">
        <v>39</v>
      </c>
      <c r="L10" s="87" t="s">
        <v>39</v>
      </c>
      <c r="M10" s="87">
        <v>714</v>
      </c>
      <c r="N10" s="87">
        <v>5.0749875605106354E-2</v>
      </c>
      <c r="O10" s="87">
        <v>2</v>
      </c>
      <c r="P10" s="87">
        <v>0</v>
      </c>
      <c r="Q10" s="87">
        <v>0</v>
      </c>
      <c r="R10" s="87">
        <v>8</v>
      </c>
      <c r="S10" s="87">
        <v>9.8656624555587769E-2</v>
      </c>
      <c r="T10" s="87" t="s">
        <v>39</v>
      </c>
      <c r="U10" s="214" t="str">
        <f t="shared" si="0"/>
        <v/>
      </c>
      <c r="V10" s="214" t="str">
        <f t="shared" si="1"/>
        <v/>
      </c>
      <c r="W10" s="215" t="str">
        <f t="shared" si="4"/>
        <v/>
      </c>
      <c r="X10" s="214" t="str">
        <f t="shared" si="5"/>
        <v/>
      </c>
      <c r="Y10" s="216" t="str">
        <f t="shared" si="6"/>
        <v/>
      </c>
      <c r="Z10" s="18" t="str">
        <f t="shared" si="2"/>
        <v/>
      </c>
      <c r="AA10" s="51">
        <f t="shared" si="3"/>
        <v>45376</v>
      </c>
      <c r="AB10" s="18" t="str">
        <f>IF(Z10="","",RANK(Z10,Z:Z,0)+COUNTIF($Z$1:Z9,Z10))</f>
        <v/>
      </c>
      <c r="AC10" s="18" t="str">
        <f t="shared" si="7"/>
        <v/>
      </c>
    </row>
    <row r="11" spans="1:29" ht="132">
      <c r="A11" s="85" t="s">
        <v>666</v>
      </c>
      <c r="B11" s="209" t="s">
        <v>667</v>
      </c>
      <c r="C11" s="87" t="s">
        <v>153</v>
      </c>
      <c r="D11" s="87" t="s">
        <v>39</v>
      </c>
      <c r="E11" s="87" t="s">
        <v>334</v>
      </c>
      <c r="F11" s="87" t="s">
        <v>647</v>
      </c>
      <c r="G11" s="87" t="s">
        <v>39</v>
      </c>
      <c r="H11" s="87" t="s">
        <v>39</v>
      </c>
      <c r="I11" s="87" t="s">
        <v>40</v>
      </c>
      <c r="J11" s="87">
        <v>24398</v>
      </c>
      <c r="K11" s="87" t="s">
        <v>39</v>
      </c>
      <c r="L11" s="87" t="s">
        <v>39</v>
      </c>
      <c r="M11" s="87">
        <v>4144</v>
      </c>
      <c r="N11" s="87">
        <v>0.16984999179840088</v>
      </c>
      <c r="O11" s="87">
        <v>82</v>
      </c>
      <c r="P11" s="87">
        <v>3</v>
      </c>
      <c r="Q11" s="87">
        <v>4</v>
      </c>
      <c r="R11" s="87">
        <v>8</v>
      </c>
      <c r="S11" s="87">
        <v>0.20104107260704041</v>
      </c>
      <c r="T11" s="87" t="s">
        <v>39</v>
      </c>
      <c r="U11" s="214" t="str">
        <f t="shared" si="0"/>
        <v/>
      </c>
      <c r="V11" s="214" t="str">
        <f t="shared" si="1"/>
        <v/>
      </c>
      <c r="W11" s="215" t="str">
        <f t="shared" si="4"/>
        <v/>
      </c>
      <c r="X11" s="214" t="str">
        <f t="shared" si="5"/>
        <v/>
      </c>
      <c r="Y11" s="216" t="str">
        <f t="shared" si="6"/>
        <v/>
      </c>
      <c r="Z11" s="18" t="str">
        <f t="shared" si="2"/>
        <v/>
      </c>
      <c r="AA11" s="51">
        <f t="shared" si="3"/>
        <v>45376</v>
      </c>
      <c r="AB11" s="18" t="str">
        <f>IF(Z11="","",RANK(Z11,Z:Z,0)+COUNTIF($Z$1:Z10,Z11))</f>
        <v/>
      </c>
      <c r="AC11" s="18" t="str">
        <f t="shared" si="7"/>
        <v/>
      </c>
    </row>
    <row r="12" spans="1:29" ht="132">
      <c r="A12" s="85" t="s">
        <v>671</v>
      </c>
      <c r="B12" s="209" t="s">
        <v>672</v>
      </c>
      <c r="C12" s="87" t="s">
        <v>38</v>
      </c>
      <c r="D12" s="87" t="s">
        <v>39</v>
      </c>
      <c r="E12" s="87" t="s">
        <v>334</v>
      </c>
      <c r="F12" s="87" t="s">
        <v>644</v>
      </c>
      <c r="G12" s="87" t="s">
        <v>39</v>
      </c>
      <c r="H12" s="87" t="s">
        <v>39</v>
      </c>
      <c r="I12" s="87" t="s">
        <v>40</v>
      </c>
      <c r="J12" s="87">
        <v>1328</v>
      </c>
      <c r="K12" s="87" t="s">
        <v>39</v>
      </c>
      <c r="L12" s="87" t="s">
        <v>39</v>
      </c>
      <c r="M12" s="87">
        <v>26</v>
      </c>
      <c r="N12" s="87">
        <v>1.9578313454985619E-2</v>
      </c>
      <c r="O12" s="87">
        <v>24</v>
      </c>
      <c r="P12" s="87">
        <v>0</v>
      </c>
      <c r="Q12" s="87">
        <v>1</v>
      </c>
      <c r="R12" s="87" t="s">
        <v>39</v>
      </c>
      <c r="S12" s="87">
        <v>3.8403615355491638E-2</v>
      </c>
      <c r="T12" s="87" t="s">
        <v>39</v>
      </c>
      <c r="U12" s="214">
        <f t="shared" si="0"/>
        <v>20</v>
      </c>
      <c r="V12" s="214">
        <f t="shared" si="1"/>
        <v>20</v>
      </c>
      <c r="W12" s="215">
        <f t="shared" si="4"/>
        <v>45373</v>
      </c>
      <c r="X12" s="214">
        <f t="shared" si="5"/>
        <v>51</v>
      </c>
      <c r="Y12" s="216">
        <f t="shared" si="6"/>
        <v>3.8403614457831324E-2</v>
      </c>
      <c r="Z12" s="18" t="str">
        <f t="shared" si="2"/>
        <v/>
      </c>
      <c r="AA12" s="51">
        <f t="shared" si="3"/>
        <v>45373</v>
      </c>
      <c r="AB12" s="18" t="str">
        <f>IF(Z12="","",RANK(Z12,Z:Z,0)+COUNTIF($Z$1:Z11,Z12))</f>
        <v/>
      </c>
      <c r="AC12" s="18" t="str">
        <f t="shared" si="7"/>
        <v/>
      </c>
    </row>
    <row r="13" spans="1:29" ht="148.5">
      <c r="A13" s="85" t="s">
        <v>673</v>
      </c>
      <c r="B13" s="209" t="s">
        <v>674</v>
      </c>
      <c r="C13" s="87" t="s">
        <v>38</v>
      </c>
      <c r="D13" s="87" t="s">
        <v>39</v>
      </c>
      <c r="E13" s="87" t="s">
        <v>334</v>
      </c>
      <c r="F13" s="87" t="s">
        <v>643</v>
      </c>
      <c r="G13" s="87" t="s">
        <v>39</v>
      </c>
      <c r="H13" s="87" t="s">
        <v>39</v>
      </c>
      <c r="I13" s="87" t="s">
        <v>40</v>
      </c>
      <c r="J13" s="87">
        <v>2981</v>
      </c>
      <c r="K13" s="87" t="s">
        <v>39</v>
      </c>
      <c r="L13" s="87" t="s">
        <v>39</v>
      </c>
      <c r="M13" s="87">
        <v>76</v>
      </c>
      <c r="N13" s="87">
        <v>2.5494800880551338E-2</v>
      </c>
      <c r="O13" s="87">
        <v>57</v>
      </c>
      <c r="P13" s="87">
        <v>0</v>
      </c>
      <c r="Q13" s="87">
        <v>1</v>
      </c>
      <c r="R13" s="87" t="s">
        <v>39</v>
      </c>
      <c r="S13" s="87">
        <v>4.4951356947422028E-2</v>
      </c>
      <c r="T13" s="87" t="s">
        <v>39</v>
      </c>
      <c r="U13" s="214">
        <f t="shared" si="0"/>
        <v>15</v>
      </c>
      <c r="V13" s="214">
        <f t="shared" si="1"/>
        <v>15</v>
      </c>
      <c r="W13" s="215">
        <f t="shared" si="4"/>
        <v>45372</v>
      </c>
      <c r="X13" s="214">
        <f t="shared" si="5"/>
        <v>134</v>
      </c>
      <c r="Y13" s="216">
        <f t="shared" si="6"/>
        <v>4.4951358604495138E-2</v>
      </c>
      <c r="Z13" s="18" t="str">
        <f t="shared" si="2"/>
        <v/>
      </c>
      <c r="AA13" s="51">
        <f t="shared" si="3"/>
        <v>45372</v>
      </c>
      <c r="AB13" s="18" t="str">
        <f>IF(Z13="","",RANK(Z13,Z:Z,0)+COUNTIF($Z$1:Z12,Z13))</f>
        <v/>
      </c>
      <c r="AC13" s="18" t="str">
        <f t="shared" si="7"/>
        <v/>
      </c>
    </row>
    <row r="14" spans="1:29" ht="99">
      <c r="A14" s="85" t="s">
        <v>675</v>
      </c>
      <c r="B14" s="209" t="s">
        <v>676</v>
      </c>
      <c r="C14" s="87" t="s">
        <v>38</v>
      </c>
      <c r="D14" s="87" t="s">
        <v>39</v>
      </c>
      <c r="E14" s="87" t="s">
        <v>334</v>
      </c>
      <c r="F14" s="87" t="s">
        <v>642</v>
      </c>
      <c r="G14" s="87" t="s">
        <v>39</v>
      </c>
      <c r="H14" s="87" t="s">
        <v>39</v>
      </c>
      <c r="I14" s="87" t="s">
        <v>40</v>
      </c>
      <c r="J14" s="87">
        <v>5740</v>
      </c>
      <c r="K14" s="87" t="s">
        <v>39</v>
      </c>
      <c r="L14" s="87" t="s">
        <v>39</v>
      </c>
      <c r="M14" s="87">
        <v>655</v>
      </c>
      <c r="N14" s="87">
        <v>0.11411149799823761</v>
      </c>
      <c r="O14" s="87">
        <v>71</v>
      </c>
      <c r="P14" s="87">
        <v>1</v>
      </c>
      <c r="Q14" s="87">
        <v>4</v>
      </c>
      <c r="R14" s="87" t="s">
        <v>39</v>
      </c>
      <c r="S14" s="87">
        <v>0.12735190987586975</v>
      </c>
      <c r="T14" s="87" t="s">
        <v>39</v>
      </c>
      <c r="U14" s="214">
        <f t="shared" si="0"/>
        <v>8</v>
      </c>
      <c r="V14" s="214">
        <f t="shared" si="1"/>
        <v>8</v>
      </c>
      <c r="W14" s="215">
        <f t="shared" si="4"/>
        <v>45371</v>
      </c>
      <c r="X14" s="214">
        <f t="shared" si="5"/>
        <v>731</v>
      </c>
      <c r="Y14" s="216">
        <f t="shared" si="6"/>
        <v>0.12735191637630661</v>
      </c>
      <c r="Z14" s="18" t="str">
        <f t="shared" si="2"/>
        <v/>
      </c>
      <c r="AA14" s="51">
        <f t="shared" si="3"/>
        <v>45371</v>
      </c>
      <c r="AB14" s="18" t="str">
        <f>IF(Z14="","",RANK(Z14,Z:Z,0)+COUNTIF($Z$1:Z13,Z14))</f>
        <v/>
      </c>
      <c r="AC14" s="18" t="str">
        <f t="shared" si="7"/>
        <v/>
      </c>
    </row>
    <row r="15" spans="1:29" ht="132">
      <c r="A15" s="85" t="s">
        <v>677</v>
      </c>
      <c r="B15" s="209" t="s">
        <v>678</v>
      </c>
      <c r="C15" s="87" t="s">
        <v>38</v>
      </c>
      <c r="D15" s="87" t="s">
        <v>39</v>
      </c>
      <c r="E15" s="87" t="s">
        <v>334</v>
      </c>
      <c r="F15" s="87" t="s">
        <v>642</v>
      </c>
      <c r="G15" s="87" t="s">
        <v>39</v>
      </c>
      <c r="H15" s="87" t="s">
        <v>39</v>
      </c>
      <c r="I15" s="87" t="s">
        <v>40</v>
      </c>
      <c r="J15" s="87">
        <v>4328</v>
      </c>
      <c r="K15" s="87" t="s">
        <v>39</v>
      </c>
      <c r="L15" s="87" t="s">
        <v>39</v>
      </c>
      <c r="M15" s="87">
        <v>133</v>
      </c>
      <c r="N15" s="87">
        <v>3.0730130150914192E-2</v>
      </c>
      <c r="O15" s="87">
        <v>61</v>
      </c>
      <c r="P15" s="87">
        <v>1</v>
      </c>
      <c r="Q15" s="87">
        <v>4</v>
      </c>
      <c r="R15" s="87" t="s">
        <v>39</v>
      </c>
      <c r="S15" s="87">
        <v>4.5979667454957962E-2</v>
      </c>
      <c r="T15" s="87" t="s">
        <v>39</v>
      </c>
      <c r="U15" s="214">
        <f t="shared" si="0"/>
        <v>14</v>
      </c>
      <c r="V15" s="214">
        <f t="shared" si="1"/>
        <v>14</v>
      </c>
      <c r="W15" s="215">
        <f t="shared" si="4"/>
        <v>45371</v>
      </c>
      <c r="X15" s="214">
        <f t="shared" si="5"/>
        <v>199</v>
      </c>
      <c r="Y15" s="216">
        <f t="shared" si="6"/>
        <v>4.5979667282809611E-2</v>
      </c>
      <c r="Z15" s="18" t="str">
        <f t="shared" si="2"/>
        <v/>
      </c>
      <c r="AA15" s="51">
        <f t="shared" si="3"/>
        <v>45371</v>
      </c>
      <c r="AB15" s="18" t="str">
        <f>IF(Z15="","",RANK(Z15,Z:Z,0)+COUNTIF($Z$1:Z14,Z15))</f>
        <v/>
      </c>
      <c r="AC15" s="18" t="str">
        <f t="shared" si="7"/>
        <v/>
      </c>
    </row>
    <row r="16" spans="1:29" ht="115.5">
      <c r="A16" s="85" t="s">
        <v>679</v>
      </c>
      <c r="B16" s="209" t="s">
        <v>680</v>
      </c>
      <c r="C16" s="87" t="s">
        <v>38</v>
      </c>
      <c r="D16" s="87" t="s">
        <v>39</v>
      </c>
      <c r="E16" s="87" t="s">
        <v>334</v>
      </c>
      <c r="F16" s="87" t="s">
        <v>641</v>
      </c>
      <c r="G16" s="87" t="s">
        <v>39</v>
      </c>
      <c r="H16" s="87" t="s">
        <v>39</v>
      </c>
      <c r="I16" s="87" t="s">
        <v>40</v>
      </c>
      <c r="J16" s="87">
        <v>8595</v>
      </c>
      <c r="K16" s="87" t="s">
        <v>39</v>
      </c>
      <c r="L16" s="87" t="s">
        <v>39</v>
      </c>
      <c r="M16" s="87">
        <v>3124</v>
      </c>
      <c r="N16" s="87">
        <v>0.36346712708473206</v>
      </c>
      <c r="O16" s="87">
        <v>83</v>
      </c>
      <c r="P16" s="87">
        <v>0</v>
      </c>
      <c r="Q16" s="87">
        <v>4</v>
      </c>
      <c r="R16" s="87" t="s">
        <v>39</v>
      </c>
      <c r="S16" s="87">
        <v>0.37358930706977844</v>
      </c>
      <c r="T16" s="87" t="s">
        <v>39</v>
      </c>
      <c r="U16" s="214">
        <f t="shared" si="0"/>
        <v>1</v>
      </c>
      <c r="V16" s="214">
        <f t="shared" si="1"/>
        <v>1</v>
      </c>
      <c r="W16" s="215">
        <f t="shared" si="4"/>
        <v>45370</v>
      </c>
      <c r="X16" s="214">
        <f t="shared" si="5"/>
        <v>3211</v>
      </c>
      <c r="Y16" s="216">
        <f t="shared" si="6"/>
        <v>0.37358929610238512</v>
      </c>
      <c r="Z16" s="18" t="str">
        <f t="shared" si="2"/>
        <v/>
      </c>
      <c r="AA16" s="51">
        <f t="shared" si="3"/>
        <v>45370</v>
      </c>
      <c r="AB16" s="18" t="str">
        <f>IF(Z16="","",RANK(Z16,Z:Z,0)+COUNTIF($Z$1:Z15,Z16))</f>
        <v/>
      </c>
      <c r="AC16" s="18" t="str">
        <f t="shared" si="7"/>
        <v/>
      </c>
    </row>
    <row r="17" spans="1:29" ht="148.5">
      <c r="A17" s="85" t="s">
        <v>681</v>
      </c>
      <c r="B17" s="209" t="s">
        <v>682</v>
      </c>
      <c r="C17" s="87" t="s">
        <v>38</v>
      </c>
      <c r="D17" s="87" t="s">
        <v>39</v>
      </c>
      <c r="E17" s="87" t="s">
        <v>334</v>
      </c>
      <c r="F17" s="87" t="s">
        <v>641</v>
      </c>
      <c r="G17" s="87" t="s">
        <v>39</v>
      </c>
      <c r="H17" s="87" t="s">
        <v>39</v>
      </c>
      <c r="I17" s="87" t="s">
        <v>40</v>
      </c>
      <c r="J17" s="87">
        <v>4521</v>
      </c>
      <c r="K17" s="87" t="s">
        <v>39</v>
      </c>
      <c r="L17" s="87" t="s">
        <v>39</v>
      </c>
      <c r="M17" s="87">
        <v>100</v>
      </c>
      <c r="N17" s="87">
        <v>2.2119000554084778E-2</v>
      </c>
      <c r="O17" s="87">
        <v>96</v>
      </c>
      <c r="P17" s="87">
        <v>3</v>
      </c>
      <c r="Q17" s="87">
        <v>4</v>
      </c>
      <c r="R17" s="87" t="s">
        <v>39</v>
      </c>
      <c r="S17" s="87">
        <v>4.4901572167873383E-2</v>
      </c>
      <c r="T17" s="87" t="s">
        <v>39</v>
      </c>
      <c r="U17" s="214">
        <f t="shared" si="0"/>
        <v>16</v>
      </c>
      <c r="V17" s="214">
        <f t="shared" si="1"/>
        <v>16</v>
      </c>
      <c r="W17" s="215">
        <f t="shared" si="4"/>
        <v>45370</v>
      </c>
      <c r="X17" s="214">
        <f t="shared" si="5"/>
        <v>203</v>
      </c>
      <c r="Y17" s="216">
        <f t="shared" si="6"/>
        <v>4.4901570449015701E-2</v>
      </c>
      <c r="Z17" s="18" t="str">
        <f t="shared" si="2"/>
        <v/>
      </c>
      <c r="AA17" s="51">
        <f t="shared" si="3"/>
        <v>45370</v>
      </c>
      <c r="AB17" s="18" t="str">
        <f>IF(Z17="","",RANK(Z17,Z:Z,0)+COUNTIF($Z$1:Z16,Z17))</f>
        <v/>
      </c>
      <c r="AC17" s="18" t="str">
        <f t="shared" si="7"/>
        <v/>
      </c>
    </row>
    <row r="18" spans="1:29" ht="66">
      <c r="A18" s="85" t="s">
        <v>683</v>
      </c>
      <c r="B18" s="209" t="s">
        <v>684</v>
      </c>
      <c r="C18" s="87" t="s">
        <v>38</v>
      </c>
      <c r="D18" s="87" t="s">
        <v>39</v>
      </c>
      <c r="E18" s="87" t="s">
        <v>334</v>
      </c>
      <c r="F18" s="87" t="s">
        <v>640</v>
      </c>
      <c r="G18" s="87" t="s">
        <v>39</v>
      </c>
      <c r="H18" s="87" t="s">
        <v>39</v>
      </c>
      <c r="I18" s="87" t="s">
        <v>40</v>
      </c>
      <c r="J18" s="87">
        <v>12815</v>
      </c>
      <c r="K18" s="87" t="s">
        <v>39</v>
      </c>
      <c r="L18" s="87" t="s">
        <v>39</v>
      </c>
      <c r="M18" s="87">
        <v>264</v>
      </c>
      <c r="N18" s="87">
        <v>2.0600859075784683E-2</v>
      </c>
      <c r="O18" s="87">
        <v>10</v>
      </c>
      <c r="P18" s="87">
        <v>0</v>
      </c>
      <c r="Q18" s="87">
        <v>1</v>
      </c>
      <c r="R18" s="87" t="s">
        <v>39</v>
      </c>
      <c r="S18" s="87">
        <v>2.1459227427840233E-2</v>
      </c>
      <c r="T18" s="87" t="s">
        <v>39</v>
      </c>
      <c r="U18" s="214">
        <f t="shared" si="0"/>
        <v>28</v>
      </c>
      <c r="V18" s="214">
        <f t="shared" si="1"/>
        <v>28</v>
      </c>
      <c r="W18" s="215">
        <f t="shared" si="4"/>
        <v>45369</v>
      </c>
      <c r="X18" s="214">
        <f t="shared" si="5"/>
        <v>275</v>
      </c>
      <c r="Y18" s="216">
        <f t="shared" si="6"/>
        <v>2.1459227467811159E-2</v>
      </c>
      <c r="Z18" s="18" t="str">
        <f t="shared" si="2"/>
        <v/>
      </c>
      <c r="AA18" s="51">
        <f t="shared" si="3"/>
        <v>45369</v>
      </c>
      <c r="AB18" s="18" t="str">
        <f>IF(Z18="","",RANK(Z18,Z:Z,0)+COUNTIF($Z$1:Z17,Z18))</f>
        <v/>
      </c>
      <c r="AC18" s="18" t="str">
        <f t="shared" si="7"/>
        <v/>
      </c>
    </row>
    <row r="19" spans="1:29" ht="99">
      <c r="A19" s="85" t="s">
        <v>685</v>
      </c>
      <c r="B19" s="209" t="s">
        <v>686</v>
      </c>
      <c r="C19" s="87" t="s">
        <v>38</v>
      </c>
      <c r="D19" s="87" t="s">
        <v>39</v>
      </c>
      <c r="E19" s="87" t="s">
        <v>334</v>
      </c>
      <c r="F19" s="87" t="s">
        <v>640</v>
      </c>
      <c r="G19" s="87" t="s">
        <v>39</v>
      </c>
      <c r="H19" s="87" t="s">
        <v>39</v>
      </c>
      <c r="I19" s="87" t="s">
        <v>40</v>
      </c>
      <c r="J19" s="87">
        <v>4007</v>
      </c>
      <c r="K19" s="87" t="s">
        <v>39</v>
      </c>
      <c r="L19" s="87" t="s">
        <v>39</v>
      </c>
      <c r="M19" s="87">
        <v>321</v>
      </c>
      <c r="N19" s="87">
        <v>8.010980486869812E-2</v>
      </c>
      <c r="O19" s="87">
        <v>58</v>
      </c>
      <c r="P19" s="87">
        <v>0</v>
      </c>
      <c r="Q19" s="87">
        <v>3</v>
      </c>
      <c r="R19" s="87" t="s">
        <v>39</v>
      </c>
      <c r="S19" s="87">
        <v>9.5333166420459747E-2</v>
      </c>
      <c r="T19" s="87" t="s">
        <v>39</v>
      </c>
      <c r="U19" s="214">
        <f t="shared" si="0"/>
        <v>11</v>
      </c>
      <c r="V19" s="214">
        <f t="shared" si="1"/>
        <v>11</v>
      </c>
      <c r="W19" s="215">
        <f t="shared" si="4"/>
        <v>45369</v>
      </c>
      <c r="X19" s="214">
        <f t="shared" si="5"/>
        <v>382</v>
      </c>
      <c r="Y19" s="216">
        <f t="shared" si="6"/>
        <v>9.5333166957823803E-2</v>
      </c>
      <c r="Z19" s="18" t="str">
        <f t="shared" si="2"/>
        <v/>
      </c>
      <c r="AA19" s="51">
        <f t="shared" si="3"/>
        <v>45369</v>
      </c>
      <c r="AB19" s="18" t="str">
        <f>IF(Z19="","",RANK(Z19,Z:Z,0)+COUNTIF($Z$1:Z18,Z19))</f>
        <v/>
      </c>
      <c r="AC19" s="18" t="str">
        <f t="shared" si="7"/>
        <v/>
      </c>
    </row>
    <row r="20" spans="1:29" ht="82.5">
      <c r="A20" s="85" t="s">
        <v>687</v>
      </c>
      <c r="B20" s="209" t="s">
        <v>688</v>
      </c>
      <c r="C20" s="87" t="s">
        <v>38</v>
      </c>
      <c r="D20" s="87" t="s">
        <v>39</v>
      </c>
      <c r="E20" s="85" t="s">
        <v>334</v>
      </c>
      <c r="F20" s="87" t="s">
        <v>637</v>
      </c>
      <c r="G20" s="87" t="s">
        <v>39</v>
      </c>
      <c r="H20" s="87" t="s">
        <v>39</v>
      </c>
      <c r="I20" s="87" t="s">
        <v>40</v>
      </c>
      <c r="J20" s="87">
        <v>6668</v>
      </c>
      <c r="K20" s="87" t="s">
        <v>39</v>
      </c>
      <c r="L20" s="87" t="s">
        <v>39</v>
      </c>
      <c r="M20" s="87">
        <v>951</v>
      </c>
      <c r="N20" s="87">
        <v>0.1426214724779129</v>
      </c>
      <c r="O20" s="87">
        <v>88</v>
      </c>
      <c r="P20" s="87">
        <v>0</v>
      </c>
      <c r="Q20" s="87">
        <v>8</v>
      </c>
      <c r="R20" s="87" t="s">
        <v>39</v>
      </c>
      <c r="S20" s="87">
        <v>0.15701860189437866</v>
      </c>
      <c r="T20" s="87" t="s">
        <v>39</v>
      </c>
      <c r="U20" s="214">
        <f t="shared" si="0"/>
        <v>7</v>
      </c>
      <c r="V20" s="214">
        <f t="shared" si="1"/>
        <v>7</v>
      </c>
      <c r="W20" s="215">
        <f t="shared" si="4"/>
        <v>45366</v>
      </c>
      <c r="X20" s="214">
        <f t="shared" si="5"/>
        <v>1047</v>
      </c>
      <c r="Y20" s="216">
        <f t="shared" si="6"/>
        <v>0.15701859628074386</v>
      </c>
      <c r="Z20" s="18" t="str">
        <f t="shared" si="2"/>
        <v/>
      </c>
      <c r="AA20" s="51">
        <f t="shared" si="3"/>
        <v>45366</v>
      </c>
      <c r="AB20" s="18" t="str">
        <f>IF(Z20="","",RANK(Z20,Z:Z,0)+COUNTIF($Z$1:Z19,Z20))</f>
        <v/>
      </c>
      <c r="AC20" s="18" t="str">
        <f t="shared" si="7"/>
        <v/>
      </c>
    </row>
    <row r="21" spans="1:29" ht="66">
      <c r="A21" s="85" t="s">
        <v>689</v>
      </c>
      <c r="B21" s="209" t="s">
        <v>690</v>
      </c>
      <c r="C21" s="87" t="s">
        <v>38</v>
      </c>
      <c r="D21" s="85" t="s">
        <v>39</v>
      </c>
      <c r="E21" s="85" t="s">
        <v>334</v>
      </c>
      <c r="F21" s="87" t="s">
        <v>636</v>
      </c>
      <c r="G21" s="87" t="s">
        <v>39</v>
      </c>
      <c r="H21" s="87" t="s">
        <v>39</v>
      </c>
      <c r="I21" s="87" t="s">
        <v>40</v>
      </c>
      <c r="J21" s="87">
        <v>1714</v>
      </c>
      <c r="K21" s="87" t="s">
        <v>39</v>
      </c>
      <c r="L21" s="87" t="s">
        <v>39</v>
      </c>
      <c r="M21" s="87">
        <v>32</v>
      </c>
      <c r="N21" s="87">
        <v>1.8669778481125832E-2</v>
      </c>
      <c r="O21" s="87">
        <v>15</v>
      </c>
      <c r="P21" s="87">
        <v>0</v>
      </c>
      <c r="Q21" s="87">
        <v>0</v>
      </c>
      <c r="R21" s="87" t="s">
        <v>39</v>
      </c>
      <c r="S21" s="87">
        <v>2.7421236038208008E-2</v>
      </c>
      <c r="T21" s="87" t="s">
        <v>39</v>
      </c>
      <c r="U21" s="214">
        <f t="shared" ref="U21:U49" si="8">IF(Y21="","",_xlfn.RANK.EQ(Y21,Y:Y,0))</f>
        <v>24</v>
      </c>
      <c r="V21" s="214">
        <f t="shared" ref="V21:V49" si="9">IF(U21="","",_xlfn.RANK.EQ(U21,U:U,1))</f>
        <v>24</v>
      </c>
      <c r="W21" s="215">
        <f t="shared" ref="W21:W49" si="10">IF(C21&lt;&gt;"Organic","",IF(B21="","",DATE(RIGHT(F21,4),LEFT(F21,2),MID(F21,4,2))))</f>
        <v>45365</v>
      </c>
      <c r="X21" s="214">
        <f t="shared" ref="X21:X49" si="11">IF(C21&lt;&gt;"Organic","",IF(B21="","",SUM(O21:Q21,M21)))</f>
        <v>47</v>
      </c>
      <c r="Y21" s="216">
        <f t="shared" ref="Y21:Y49" si="12">IFERROR(IF(C21&lt;&gt;"Organic","",X21/J21),"")</f>
        <v>2.7421236872812137E-2</v>
      </c>
      <c r="Z21" s="18" t="str">
        <f t="shared" si="2"/>
        <v/>
      </c>
      <c r="AA21" s="51">
        <f t="shared" si="3"/>
        <v>45365</v>
      </c>
      <c r="AB21" s="18" t="str">
        <f>IF(Z21="","",RANK(Z21,Z:Z,0)+COUNTIF($Z$1:Z20,Z21))</f>
        <v/>
      </c>
      <c r="AC21" s="18" t="str">
        <f t="shared" si="7"/>
        <v/>
      </c>
    </row>
    <row r="22" spans="1:29" ht="82.5">
      <c r="A22" s="85" t="s">
        <v>691</v>
      </c>
      <c r="B22" s="209" t="s">
        <v>692</v>
      </c>
      <c r="C22" s="87" t="s">
        <v>38</v>
      </c>
      <c r="D22" s="87" t="s">
        <v>39</v>
      </c>
      <c r="E22" s="85" t="s">
        <v>334</v>
      </c>
      <c r="F22" s="87" t="s">
        <v>636</v>
      </c>
      <c r="G22" s="87" t="s">
        <v>39</v>
      </c>
      <c r="H22" s="87" t="s">
        <v>39</v>
      </c>
      <c r="I22" s="87" t="s">
        <v>40</v>
      </c>
      <c r="J22" s="87">
        <v>2303</v>
      </c>
      <c r="K22" s="87" t="s">
        <v>39</v>
      </c>
      <c r="L22" s="87" t="s">
        <v>39</v>
      </c>
      <c r="M22" s="87">
        <v>55</v>
      </c>
      <c r="N22" s="87">
        <v>2.388189360499382E-2</v>
      </c>
      <c r="O22" s="87">
        <v>35</v>
      </c>
      <c r="P22" s="87">
        <v>0</v>
      </c>
      <c r="Q22" s="87">
        <v>0</v>
      </c>
      <c r="R22" s="87" t="s">
        <v>39</v>
      </c>
      <c r="S22" s="87">
        <v>3.9079461246728897E-2</v>
      </c>
      <c r="T22" s="87" t="s">
        <v>39</v>
      </c>
      <c r="U22" s="214">
        <f t="shared" si="8"/>
        <v>18</v>
      </c>
      <c r="V22" s="214">
        <f t="shared" si="9"/>
        <v>18</v>
      </c>
      <c r="W22" s="215">
        <f t="shared" si="10"/>
        <v>45365</v>
      </c>
      <c r="X22" s="214">
        <f t="shared" si="11"/>
        <v>90</v>
      </c>
      <c r="Y22" s="216">
        <f t="shared" si="12"/>
        <v>3.9079461571862789E-2</v>
      </c>
      <c r="Z22" s="18" t="str">
        <f t="shared" si="2"/>
        <v/>
      </c>
      <c r="AA22" s="51">
        <f t="shared" si="3"/>
        <v>45365</v>
      </c>
      <c r="AB22" s="18" t="str">
        <f>IF(Z22="","",RANK(Z22,Z:Z,0)+COUNTIF($Z$1:Z21,Z22))</f>
        <v/>
      </c>
      <c r="AC22" s="18" t="str">
        <f t="shared" si="7"/>
        <v/>
      </c>
    </row>
    <row r="23" spans="1:29" ht="99">
      <c r="A23" s="85" t="s">
        <v>693</v>
      </c>
      <c r="B23" s="209" t="s">
        <v>694</v>
      </c>
      <c r="C23" s="87" t="s">
        <v>38</v>
      </c>
      <c r="D23" s="85" t="s">
        <v>39</v>
      </c>
      <c r="E23" s="85" t="s">
        <v>334</v>
      </c>
      <c r="F23" s="87" t="s">
        <v>635</v>
      </c>
      <c r="G23" s="87" t="s">
        <v>39</v>
      </c>
      <c r="H23" s="87" t="s">
        <v>39</v>
      </c>
      <c r="I23" s="87" t="s">
        <v>40</v>
      </c>
      <c r="J23" s="87">
        <v>7548</v>
      </c>
      <c r="K23" s="87" t="s">
        <v>39</v>
      </c>
      <c r="L23" s="87" t="s">
        <v>39</v>
      </c>
      <c r="M23" s="87">
        <v>1122</v>
      </c>
      <c r="N23" s="87">
        <v>0.14864864945411682</v>
      </c>
      <c r="O23" s="87">
        <v>77</v>
      </c>
      <c r="P23" s="87">
        <v>0</v>
      </c>
      <c r="Q23" s="87">
        <v>3</v>
      </c>
      <c r="R23" s="87" t="s">
        <v>39</v>
      </c>
      <c r="S23" s="87">
        <v>0.15924748778343201</v>
      </c>
      <c r="T23" s="87" t="s">
        <v>39</v>
      </c>
      <c r="U23" s="214">
        <f t="shared" si="8"/>
        <v>6</v>
      </c>
      <c r="V23" s="214">
        <f t="shared" si="9"/>
        <v>6</v>
      </c>
      <c r="W23" s="215">
        <f t="shared" si="10"/>
        <v>45364</v>
      </c>
      <c r="X23" s="214">
        <f t="shared" si="11"/>
        <v>1202</v>
      </c>
      <c r="Y23" s="216">
        <f t="shared" si="12"/>
        <v>0.15924748277689454</v>
      </c>
      <c r="Z23" s="18" t="str">
        <f t="shared" si="2"/>
        <v/>
      </c>
      <c r="AA23" s="51">
        <f t="shared" si="3"/>
        <v>45364</v>
      </c>
      <c r="AB23" s="18" t="str">
        <f>IF(Z23="","",RANK(Z23,Z:Z,0)+COUNTIF($Z$1:Z22,Z23))</f>
        <v/>
      </c>
      <c r="AC23" s="18" t="str">
        <f t="shared" si="7"/>
        <v/>
      </c>
    </row>
    <row r="24" spans="1:29" ht="165">
      <c r="A24" s="85" t="s">
        <v>695</v>
      </c>
      <c r="B24" s="209" t="s">
        <v>696</v>
      </c>
      <c r="C24" s="87" t="s">
        <v>38</v>
      </c>
      <c r="D24" s="87" t="s">
        <v>39</v>
      </c>
      <c r="E24" s="85" t="s">
        <v>334</v>
      </c>
      <c r="F24" s="87" t="s">
        <v>635</v>
      </c>
      <c r="G24" s="87" t="s">
        <v>39</v>
      </c>
      <c r="H24" s="87" t="s">
        <v>39</v>
      </c>
      <c r="I24" s="87" t="s">
        <v>40</v>
      </c>
      <c r="J24" s="87">
        <v>2671</v>
      </c>
      <c r="K24" s="87" t="s">
        <v>39</v>
      </c>
      <c r="L24" s="87" t="s">
        <v>39</v>
      </c>
      <c r="M24" s="87">
        <v>68</v>
      </c>
      <c r="N24" s="87">
        <v>2.5458630174398422E-2</v>
      </c>
      <c r="O24" s="87">
        <v>37</v>
      </c>
      <c r="P24" s="87">
        <v>0</v>
      </c>
      <c r="Q24" s="87">
        <v>0</v>
      </c>
      <c r="R24" s="87" t="s">
        <v>39</v>
      </c>
      <c r="S24" s="87">
        <v>3.9311118423938751E-2</v>
      </c>
      <c r="T24" s="87" t="s">
        <v>39</v>
      </c>
      <c r="U24" s="214">
        <f t="shared" si="8"/>
        <v>17</v>
      </c>
      <c r="V24" s="214">
        <f t="shared" si="9"/>
        <v>17</v>
      </c>
      <c r="W24" s="215">
        <f t="shared" si="10"/>
        <v>45364</v>
      </c>
      <c r="X24" s="214">
        <f t="shared" si="11"/>
        <v>105</v>
      </c>
      <c r="Y24" s="216">
        <f t="shared" si="12"/>
        <v>3.9311119430924746E-2</v>
      </c>
      <c r="Z24" s="18" t="str">
        <f t="shared" si="2"/>
        <v/>
      </c>
      <c r="AA24" s="51">
        <f t="shared" si="3"/>
        <v>45364</v>
      </c>
      <c r="AB24" s="18" t="str">
        <f>IF(Z24="","",RANK(Z24,Z:Z,0)+COUNTIF($Z$1:Z23,Z24))</f>
        <v/>
      </c>
      <c r="AC24" s="18" t="str">
        <f t="shared" si="7"/>
        <v/>
      </c>
    </row>
    <row r="25" spans="1:29" ht="99">
      <c r="A25" s="85" t="s">
        <v>697</v>
      </c>
      <c r="B25" s="210" t="s">
        <v>698</v>
      </c>
      <c r="C25" s="87" t="s">
        <v>38</v>
      </c>
      <c r="D25" s="87" t="s">
        <v>39</v>
      </c>
      <c r="E25" s="87" t="s">
        <v>334</v>
      </c>
      <c r="F25" s="87" t="s">
        <v>635</v>
      </c>
      <c r="G25" s="87" t="s">
        <v>39</v>
      </c>
      <c r="H25" s="87" t="s">
        <v>39</v>
      </c>
      <c r="I25" s="87" t="s">
        <v>40</v>
      </c>
      <c r="J25" s="87">
        <v>6939</v>
      </c>
      <c r="K25" s="87" t="s">
        <v>39</v>
      </c>
      <c r="L25" s="87" t="s">
        <v>39</v>
      </c>
      <c r="M25" s="87">
        <v>471</v>
      </c>
      <c r="N25" s="87">
        <v>6.7877218127250671E-2</v>
      </c>
      <c r="O25" s="87">
        <v>78</v>
      </c>
      <c r="P25" s="87">
        <v>0</v>
      </c>
      <c r="Q25" s="87">
        <v>2</v>
      </c>
      <c r="R25" s="87" t="s">
        <v>39</v>
      </c>
      <c r="S25" s="87">
        <v>7.94062539935112E-2</v>
      </c>
      <c r="T25" s="87" t="s">
        <v>39</v>
      </c>
      <c r="U25" s="214">
        <f t="shared" si="8"/>
        <v>12</v>
      </c>
      <c r="V25" s="214">
        <f t="shared" si="9"/>
        <v>12</v>
      </c>
      <c r="W25" s="215">
        <f t="shared" si="10"/>
        <v>45364</v>
      </c>
      <c r="X25" s="214">
        <f t="shared" si="11"/>
        <v>551</v>
      </c>
      <c r="Y25" s="216">
        <f t="shared" si="12"/>
        <v>7.9406254503530768E-2</v>
      </c>
      <c r="Z25" s="18" t="str">
        <f t="shared" si="2"/>
        <v/>
      </c>
      <c r="AA25" s="51">
        <f t="shared" si="3"/>
        <v>45364</v>
      </c>
      <c r="AB25" s="18" t="str">
        <f>IF(Z25="","",RANK(Z25,Z:Z,0)+COUNTIF($Z$1:Z24,Z25))</f>
        <v/>
      </c>
      <c r="AC25" s="18" t="str">
        <f t="shared" si="7"/>
        <v/>
      </c>
    </row>
    <row r="26" spans="1:29" ht="99">
      <c r="A26" s="85" t="s">
        <v>699</v>
      </c>
      <c r="B26" s="209" t="s">
        <v>700</v>
      </c>
      <c r="C26" s="87" t="s">
        <v>38</v>
      </c>
      <c r="D26" s="87" t="s">
        <v>39</v>
      </c>
      <c r="E26" s="87" t="s">
        <v>334</v>
      </c>
      <c r="F26" s="87" t="s">
        <v>633</v>
      </c>
      <c r="G26" s="87" t="s">
        <v>39</v>
      </c>
      <c r="H26" s="87" t="s">
        <v>39</v>
      </c>
      <c r="I26" s="87" t="s">
        <v>40</v>
      </c>
      <c r="J26" s="87">
        <v>4224</v>
      </c>
      <c r="K26" s="87" t="s">
        <v>39</v>
      </c>
      <c r="L26" s="87" t="s">
        <v>39</v>
      </c>
      <c r="M26" s="87">
        <v>469</v>
      </c>
      <c r="N26" s="87">
        <v>0.11103219538927078</v>
      </c>
      <c r="O26" s="87">
        <v>42</v>
      </c>
      <c r="P26" s="87">
        <v>0</v>
      </c>
      <c r="Q26" s="87">
        <v>4</v>
      </c>
      <c r="R26" s="87" t="s">
        <v>39</v>
      </c>
      <c r="S26" s="87">
        <v>0.12192235141992569</v>
      </c>
      <c r="T26" s="87" t="s">
        <v>39</v>
      </c>
      <c r="U26" s="214">
        <f t="shared" si="8"/>
        <v>9</v>
      </c>
      <c r="V26" s="214">
        <f t="shared" si="9"/>
        <v>9</v>
      </c>
      <c r="W26" s="215">
        <f t="shared" si="10"/>
        <v>45362</v>
      </c>
      <c r="X26" s="214">
        <f t="shared" si="11"/>
        <v>515</v>
      </c>
      <c r="Y26" s="216">
        <f t="shared" si="12"/>
        <v>0.12192234848484848</v>
      </c>
      <c r="Z26" s="18" t="str">
        <f t="shared" si="2"/>
        <v/>
      </c>
      <c r="AA26" s="51">
        <f t="shared" si="3"/>
        <v>45362</v>
      </c>
      <c r="AB26" s="18" t="str">
        <f>IF(Z26="","",RANK(Z26,Z:Z,0)+COUNTIF($Z$1:Z25,Z26))</f>
        <v/>
      </c>
      <c r="AC26" s="18" t="str">
        <f t="shared" si="7"/>
        <v/>
      </c>
    </row>
    <row r="27" spans="1:29" ht="82.5">
      <c r="A27" s="85" t="s">
        <v>701</v>
      </c>
      <c r="B27" s="209" t="s">
        <v>702</v>
      </c>
      <c r="C27" s="87" t="s">
        <v>38</v>
      </c>
      <c r="D27" s="87" t="s">
        <v>39</v>
      </c>
      <c r="E27" s="87" t="s">
        <v>334</v>
      </c>
      <c r="F27" s="87" t="s">
        <v>633</v>
      </c>
      <c r="G27" s="87" t="s">
        <v>39</v>
      </c>
      <c r="H27" s="87" t="s">
        <v>39</v>
      </c>
      <c r="I27" s="87" t="s">
        <v>40</v>
      </c>
      <c r="J27" s="87">
        <v>2886</v>
      </c>
      <c r="K27" s="87">
        <v>737</v>
      </c>
      <c r="L27" s="87" t="s">
        <v>39</v>
      </c>
      <c r="M27" s="87">
        <v>40</v>
      </c>
      <c r="N27" s="87">
        <v>1.3860014267265797E-2</v>
      </c>
      <c r="O27" s="87">
        <v>34</v>
      </c>
      <c r="P27" s="87">
        <v>0</v>
      </c>
      <c r="Q27" s="87">
        <v>2</v>
      </c>
      <c r="R27" s="87" t="s">
        <v>39</v>
      </c>
      <c r="S27" s="87">
        <v>2.6334026828408241E-2</v>
      </c>
      <c r="T27" s="87" t="s">
        <v>41</v>
      </c>
      <c r="U27" s="214">
        <f t="shared" si="8"/>
        <v>26</v>
      </c>
      <c r="V27" s="214">
        <f t="shared" si="9"/>
        <v>26</v>
      </c>
      <c r="W27" s="215">
        <f t="shared" si="10"/>
        <v>45362</v>
      </c>
      <c r="X27" s="214">
        <f t="shared" si="11"/>
        <v>76</v>
      </c>
      <c r="Y27" s="216">
        <f t="shared" si="12"/>
        <v>2.6334026334026334E-2</v>
      </c>
      <c r="Z27" s="18">
        <f t="shared" si="2"/>
        <v>737</v>
      </c>
      <c r="AA27" s="51">
        <f t="shared" si="3"/>
        <v>45362</v>
      </c>
      <c r="AB27" s="18">
        <f>IF(Z27="","",RANK(Z27,Z:Z,0)+COUNTIF($Z$1:Z26,Z27))</f>
        <v>2</v>
      </c>
      <c r="AC27" s="18">
        <f t="shared" si="7"/>
        <v>0.18510048510048513</v>
      </c>
    </row>
    <row r="28" spans="1:29" ht="165">
      <c r="A28" s="85" t="s">
        <v>703</v>
      </c>
      <c r="B28" s="209" t="s">
        <v>704</v>
      </c>
      <c r="C28" s="87" t="s">
        <v>38</v>
      </c>
      <c r="D28" s="87" t="s">
        <v>39</v>
      </c>
      <c r="E28" s="87" t="s">
        <v>334</v>
      </c>
      <c r="F28" s="87" t="s">
        <v>630</v>
      </c>
      <c r="G28" s="87" t="s">
        <v>39</v>
      </c>
      <c r="H28" s="87" t="s">
        <v>39</v>
      </c>
      <c r="I28" s="87" t="s">
        <v>40</v>
      </c>
      <c r="J28" s="87">
        <v>1252</v>
      </c>
      <c r="K28" s="87" t="s">
        <v>39</v>
      </c>
      <c r="L28" s="87" t="s">
        <v>39</v>
      </c>
      <c r="M28" s="87">
        <v>29</v>
      </c>
      <c r="N28" s="87">
        <v>2.316293865442276E-2</v>
      </c>
      <c r="O28" s="87">
        <v>18</v>
      </c>
      <c r="P28" s="87">
        <v>0</v>
      </c>
      <c r="Q28" s="87">
        <v>0</v>
      </c>
      <c r="R28" s="87" t="s">
        <v>39</v>
      </c>
      <c r="S28" s="87">
        <v>3.7539936602115631E-2</v>
      </c>
      <c r="T28" s="87" t="s">
        <v>39</v>
      </c>
      <c r="U28" s="214">
        <f t="shared" si="8"/>
        <v>21</v>
      </c>
      <c r="V28" s="214">
        <f t="shared" si="9"/>
        <v>21</v>
      </c>
      <c r="W28" s="215">
        <f t="shared" si="10"/>
        <v>45359</v>
      </c>
      <c r="X28" s="214">
        <f t="shared" si="11"/>
        <v>47</v>
      </c>
      <c r="Y28" s="216">
        <f t="shared" si="12"/>
        <v>3.7539936102236424E-2</v>
      </c>
      <c r="Z28" s="18" t="str">
        <f t="shared" si="2"/>
        <v/>
      </c>
      <c r="AA28" s="51">
        <f t="shared" si="3"/>
        <v>45359</v>
      </c>
      <c r="AB28" s="18" t="str">
        <f>IF(Z28="","",RANK(Z28,Z:Z,0)+COUNTIF($Z$1:Z27,Z28))</f>
        <v/>
      </c>
      <c r="AC28" s="18" t="str">
        <f t="shared" si="7"/>
        <v/>
      </c>
    </row>
    <row r="29" spans="1:29" ht="99">
      <c r="A29" s="85" t="s">
        <v>705</v>
      </c>
      <c r="B29" s="209" t="s">
        <v>706</v>
      </c>
      <c r="C29" s="87" t="s">
        <v>38</v>
      </c>
      <c r="D29" s="87" t="s">
        <v>39</v>
      </c>
      <c r="E29" s="87" t="s">
        <v>334</v>
      </c>
      <c r="F29" s="87" t="s">
        <v>630</v>
      </c>
      <c r="G29" s="87" t="s">
        <v>39</v>
      </c>
      <c r="H29" s="87" t="s">
        <v>39</v>
      </c>
      <c r="I29" s="87" t="s">
        <v>40</v>
      </c>
      <c r="J29" s="87">
        <v>2405</v>
      </c>
      <c r="K29" s="87" t="s">
        <v>39</v>
      </c>
      <c r="L29" s="87" t="s">
        <v>39</v>
      </c>
      <c r="M29" s="87">
        <v>41</v>
      </c>
      <c r="N29" s="87">
        <v>1.7047816887497902E-2</v>
      </c>
      <c r="O29" s="87">
        <v>37</v>
      </c>
      <c r="P29" s="87">
        <v>0</v>
      </c>
      <c r="Q29" s="87">
        <v>1</v>
      </c>
      <c r="R29" s="87" t="s">
        <v>39</v>
      </c>
      <c r="S29" s="87">
        <v>3.2848231494426727E-2</v>
      </c>
      <c r="T29" s="87" t="s">
        <v>39</v>
      </c>
      <c r="U29" s="214">
        <f t="shared" si="8"/>
        <v>23</v>
      </c>
      <c r="V29" s="214">
        <f t="shared" si="9"/>
        <v>23</v>
      </c>
      <c r="W29" s="215">
        <f t="shared" si="10"/>
        <v>45359</v>
      </c>
      <c r="X29" s="214">
        <f t="shared" si="11"/>
        <v>79</v>
      </c>
      <c r="Y29" s="216">
        <f t="shared" si="12"/>
        <v>3.284823284823285E-2</v>
      </c>
      <c r="Z29" s="18" t="str">
        <f t="shared" si="2"/>
        <v/>
      </c>
      <c r="AA29" s="51">
        <f t="shared" si="3"/>
        <v>45359</v>
      </c>
      <c r="AB29" s="18" t="str">
        <f>IF(Z29="","",RANK(Z29,Z:Z,0)+COUNTIF($Z$1:Z28,Z29))</f>
        <v/>
      </c>
      <c r="AC29" s="18" t="str">
        <f t="shared" si="7"/>
        <v/>
      </c>
    </row>
    <row r="30" spans="1:29" ht="181.5">
      <c r="A30" s="85" t="s">
        <v>707</v>
      </c>
      <c r="B30" s="209" t="s">
        <v>708</v>
      </c>
      <c r="C30" s="87" t="s">
        <v>38</v>
      </c>
      <c r="D30" s="87" t="s">
        <v>39</v>
      </c>
      <c r="E30" s="87" t="s">
        <v>334</v>
      </c>
      <c r="F30" s="87" t="s">
        <v>629</v>
      </c>
      <c r="G30" s="87" t="s">
        <v>39</v>
      </c>
      <c r="H30" s="87" t="s">
        <v>39</v>
      </c>
      <c r="I30" s="87" t="s">
        <v>40</v>
      </c>
      <c r="J30" s="87">
        <v>5554</v>
      </c>
      <c r="K30" s="87" t="s">
        <v>39</v>
      </c>
      <c r="L30" s="87" t="s">
        <v>39</v>
      </c>
      <c r="M30" s="87">
        <v>1516</v>
      </c>
      <c r="N30" s="87">
        <v>0.27295643091201782</v>
      </c>
      <c r="O30" s="87">
        <v>47</v>
      </c>
      <c r="P30" s="87">
        <v>0</v>
      </c>
      <c r="Q30" s="87">
        <v>0</v>
      </c>
      <c r="R30" s="87" t="s">
        <v>39</v>
      </c>
      <c r="S30" s="87">
        <v>0.28141880035400391</v>
      </c>
      <c r="T30" s="87" t="s">
        <v>39</v>
      </c>
      <c r="U30" s="214">
        <f t="shared" si="8"/>
        <v>3</v>
      </c>
      <c r="V30" s="214">
        <f t="shared" si="9"/>
        <v>3</v>
      </c>
      <c r="W30" s="215">
        <f t="shared" si="10"/>
        <v>45358</v>
      </c>
      <c r="X30" s="214">
        <f t="shared" si="11"/>
        <v>1563</v>
      </c>
      <c r="Y30" s="216">
        <f t="shared" si="12"/>
        <v>0.28141879726323371</v>
      </c>
      <c r="Z30" s="18" t="str">
        <f t="shared" si="2"/>
        <v/>
      </c>
      <c r="AA30" s="51">
        <f t="shared" si="3"/>
        <v>45358</v>
      </c>
      <c r="AB30" s="18" t="str">
        <f>IF(Z30="","",RANK(Z30,Z:Z,0)+COUNTIF($Z$1:Z29,Z30))</f>
        <v/>
      </c>
      <c r="AC30" s="18" t="str">
        <f t="shared" si="7"/>
        <v/>
      </c>
    </row>
    <row r="31" spans="1:29">
      <c r="A31" s="85" t="s">
        <v>709</v>
      </c>
      <c r="B31" s="209" t="s">
        <v>710</v>
      </c>
      <c r="C31" s="87" t="s">
        <v>38</v>
      </c>
      <c r="D31" s="87" t="s">
        <v>39</v>
      </c>
      <c r="E31" s="87" t="s">
        <v>334</v>
      </c>
      <c r="F31" s="87" t="s">
        <v>627</v>
      </c>
      <c r="G31" s="87" t="s">
        <v>39</v>
      </c>
      <c r="H31" s="87" t="s">
        <v>39</v>
      </c>
      <c r="I31" s="87" t="s">
        <v>40</v>
      </c>
      <c r="J31" s="87">
        <v>1510</v>
      </c>
      <c r="K31" s="87" t="s">
        <v>39</v>
      </c>
      <c r="L31" s="87" t="s">
        <v>39</v>
      </c>
      <c r="M31" s="87">
        <v>19</v>
      </c>
      <c r="N31" s="87">
        <v>1.2582781724631786E-2</v>
      </c>
      <c r="O31" s="87">
        <v>13</v>
      </c>
      <c r="P31" s="87">
        <v>0</v>
      </c>
      <c r="Q31" s="87">
        <v>0</v>
      </c>
      <c r="R31" s="87" t="s">
        <v>39</v>
      </c>
      <c r="S31" s="87">
        <v>2.1192053332924843E-2</v>
      </c>
      <c r="T31" s="87" t="s">
        <v>39</v>
      </c>
      <c r="U31" s="214">
        <f t="shared" si="8"/>
        <v>29</v>
      </c>
      <c r="V31" s="214">
        <f t="shared" si="9"/>
        <v>29</v>
      </c>
      <c r="W31" s="215">
        <f t="shared" si="10"/>
        <v>45356</v>
      </c>
      <c r="X31" s="214">
        <f t="shared" si="11"/>
        <v>32</v>
      </c>
      <c r="Y31" s="216">
        <f t="shared" si="12"/>
        <v>2.119205298013245E-2</v>
      </c>
      <c r="Z31" s="18" t="str">
        <f t="shared" si="2"/>
        <v/>
      </c>
      <c r="AA31" s="51">
        <f t="shared" si="3"/>
        <v>45356</v>
      </c>
      <c r="AB31" s="18" t="str">
        <f>IF(Z31="","",RANK(Z31,Z:Z,0)+COUNTIF($Z$1:Z30,Z31))</f>
        <v/>
      </c>
      <c r="AC31" s="18" t="str">
        <f t="shared" si="7"/>
        <v/>
      </c>
    </row>
    <row r="32" spans="1:29" ht="148.5">
      <c r="A32" s="85" t="s">
        <v>711</v>
      </c>
      <c r="B32" s="209" t="s">
        <v>712</v>
      </c>
      <c r="C32" s="87" t="s">
        <v>38</v>
      </c>
      <c r="D32" s="87" t="s">
        <v>39</v>
      </c>
      <c r="E32" s="87" t="s">
        <v>334</v>
      </c>
      <c r="F32" s="87" t="s">
        <v>626</v>
      </c>
      <c r="G32" s="87" t="s">
        <v>39</v>
      </c>
      <c r="H32" s="87" t="s">
        <v>39</v>
      </c>
      <c r="I32" s="87" t="s">
        <v>40</v>
      </c>
      <c r="J32" s="87">
        <v>4534</v>
      </c>
      <c r="K32" s="87" t="s">
        <v>39</v>
      </c>
      <c r="L32" s="87" t="s">
        <v>39</v>
      </c>
      <c r="M32" s="87">
        <v>97</v>
      </c>
      <c r="N32" s="87">
        <v>2.13939119130373E-2</v>
      </c>
      <c r="O32" s="87">
        <v>55</v>
      </c>
      <c r="P32" s="87">
        <v>1</v>
      </c>
      <c r="Q32" s="87">
        <v>1</v>
      </c>
      <c r="R32" s="87" t="s">
        <v>39</v>
      </c>
      <c r="S32" s="87">
        <v>3.3965595066547394E-2</v>
      </c>
      <c r="T32" s="87" t="s">
        <v>39</v>
      </c>
      <c r="U32" s="214">
        <f t="shared" si="8"/>
        <v>22</v>
      </c>
      <c r="V32" s="214">
        <f t="shared" si="9"/>
        <v>22</v>
      </c>
      <c r="W32" s="215">
        <f t="shared" si="10"/>
        <v>45355</v>
      </c>
      <c r="X32" s="214">
        <f t="shared" si="11"/>
        <v>154</v>
      </c>
      <c r="Y32" s="216">
        <f t="shared" si="12"/>
        <v>3.3965593295103659E-2</v>
      </c>
      <c r="Z32" s="18" t="str">
        <f t="shared" si="2"/>
        <v/>
      </c>
      <c r="AA32" s="51">
        <f t="shared" si="3"/>
        <v>45355</v>
      </c>
      <c r="AB32" s="18" t="str">
        <f>IF(Z32="","",RANK(Z32,Z:Z,0)+COUNTIF($Z$1:Z31,Z32))</f>
        <v/>
      </c>
      <c r="AC32" s="18" t="str">
        <f t="shared" si="7"/>
        <v/>
      </c>
    </row>
    <row r="33" spans="1:29" ht="198">
      <c r="A33" s="85" t="s">
        <v>713</v>
      </c>
      <c r="B33" s="209" t="s">
        <v>714</v>
      </c>
      <c r="C33" s="87" t="s">
        <v>38</v>
      </c>
      <c r="D33" s="87" t="s">
        <v>39</v>
      </c>
      <c r="E33" s="87" t="s">
        <v>334</v>
      </c>
      <c r="F33" s="87" t="s">
        <v>626</v>
      </c>
      <c r="G33" s="87" t="s">
        <v>39</v>
      </c>
      <c r="H33" s="87" t="s">
        <v>39</v>
      </c>
      <c r="I33" s="87" t="s">
        <v>40</v>
      </c>
      <c r="J33" s="87">
        <v>10402</v>
      </c>
      <c r="K33" s="87" t="s">
        <v>39</v>
      </c>
      <c r="L33" s="87" t="s">
        <v>39</v>
      </c>
      <c r="M33" s="87">
        <v>198</v>
      </c>
      <c r="N33" s="87">
        <v>1.9034801051020622E-2</v>
      </c>
      <c r="O33" s="87">
        <v>77</v>
      </c>
      <c r="P33" s="87">
        <v>2</v>
      </c>
      <c r="Q33" s="87">
        <v>4</v>
      </c>
      <c r="R33" s="87" t="s">
        <v>39</v>
      </c>
      <c r="S33" s="87">
        <v>2.7014035731554031E-2</v>
      </c>
      <c r="T33" s="87" t="s">
        <v>39</v>
      </c>
      <c r="U33" s="214">
        <f t="shared" si="8"/>
        <v>25</v>
      </c>
      <c r="V33" s="214">
        <f t="shared" si="9"/>
        <v>25</v>
      </c>
      <c r="W33" s="215">
        <f t="shared" si="10"/>
        <v>45355</v>
      </c>
      <c r="X33" s="214">
        <f t="shared" si="11"/>
        <v>281</v>
      </c>
      <c r="Y33" s="216">
        <f t="shared" si="12"/>
        <v>2.7014035762353394E-2</v>
      </c>
      <c r="Z33" s="18">
        <f t="shared" si="2"/>
        <v>4505</v>
      </c>
      <c r="AA33" s="51">
        <f t="shared" si="3"/>
        <v>45355</v>
      </c>
      <c r="AB33" s="18">
        <f>IF(Z33="","",RANK(Z33,Z:Z,0)+COUNTIF($Z$1:Z32,Z33))</f>
        <v>1</v>
      </c>
      <c r="AC33" s="18">
        <f t="shared" si="7"/>
        <v>0.29448183041722742</v>
      </c>
    </row>
    <row r="34" spans="1:29" ht="198">
      <c r="A34" s="85" t="s">
        <v>713</v>
      </c>
      <c r="B34" s="209" t="s">
        <v>714</v>
      </c>
      <c r="C34" s="87" t="s">
        <v>151</v>
      </c>
      <c r="D34" s="87" t="s">
        <v>715</v>
      </c>
      <c r="E34" s="87" t="s">
        <v>334</v>
      </c>
      <c r="F34" s="87" t="s">
        <v>626</v>
      </c>
      <c r="G34" s="87" t="s">
        <v>669</v>
      </c>
      <c r="H34" s="87" t="s">
        <v>670</v>
      </c>
      <c r="I34" s="87" t="s">
        <v>40</v>
      </c>
      <c r="J34" s="87">
        <v>16782</v>
      </c>
      <c r="K34" s="87">
        <v>7018</v>
      </c>
      <c r="L34" s="87">
        <v>0</v>
      </c>
      <c r="M34" s="87">
        <v>193</v>
      </c>
      <c r="N34" s="87">
        <v>1.150041725486517E-2</v>
      </c>
      <c r="O34" s="87">
        <v>3</v>
      </c>
      <c r="P34" s="87">
        <v>0</v>
      </c>
      <c r="Q34" s="87">
        <v>1</v>
      </c>
      <c r="R34" s="87">
        <v>5</v>
      </c>
      <c r="S34" s="87">
        <v>1.1679179966449738E-2</v>
      </c>
      <c r="T34" s="87" t="s">
        <v>41</v>
      </c>
      <c r="U34" s="214" t="str">
        <f t="shared" si="8"/>
        <v/>
      </c>
      <c r="V34" s="214" t="str">
        <f t="shared" si="9"/>
        <v/>
      </c>
      <c r="W34" s="215" t="str">
        <f t="shared" si="10"/>
        <v/>
      </c>
      <c r="X34" s="214" t="str">
        <f t="shared" si="11"/>
        <v/>
      </c>
      <c r="Y34" s="216" t="str">
        <f t="shared" si="12"/>
        <v/>
      </c>
      <c r="Z34" s="18" t="str">
        <f t="shared" si="2"/>
        <v/>
      </c>
      <c r="AA34" s="51">
        <f t="shared" si="3"/>
        <v>45355</v>
      </c>
      <c r="AB34" s="18" t="str">
        <f>IF(Z34="","",RANK(Z34,Z:Z,0)+COUNTIF($Z$1:Z33,Z34))</f>
        <v/>
      </c>
      <c r="AC34" s="18" t="str">
        <f t="shared" si="7"/>
        <v/>
      </c>
    </row>
    <row r="35" spans="1:29" ht="198">
      <c r="A35" s="85" t="s">
        <v>713</v>
      </c>
      <c r="B35" s="209" t="s">
        <v>714</v>
      </c>
      <c r="C35" s="87" t="s">
        <v>153</v>
      </c>
      <c r="D35" s="87" t="s">
        <v>39</v>
      </c>
      <c r="E35" s="87" t="s">
        <v>334</v>
      </c>
      <c r="F35" s="87" t="s">
        <v>626</v>
      </c>
      <c r="G35" s="87" t="s">
        <v>39</v>
      </c>
      <c r="H35" s="87" t="s">
        <v>39</v>
      </c>
      <c r="I35" s="87" t="s">
        <v>40</v>
      </c>
      <c r="J35" s="87">
        <v>27184</v>
      </c>
      <c r="K35" s="87">
        <v>2513</v>
      </c>
      <c r="L35" s="87" t="s">
        <v>39</v>
      </c>
      <c r="M35" s="87">
        <v>391</v>
      </c>
      <c r="N35" s="87">
        <v>1.4383460395038128E-2</v>
      </c>
      <c r="O35" s="87">
        <v>80</v>
      </c>
      <c r="P35" s="87">
        <v>2</v>
      </c>
      <c r="Q35" s="87">
        <v>5</v>
      </c>
      <c r="R35" s="87">
        <v>5</v>
      </c>
      <c r="S35" s="87">
        <v>1.7547085881233215E-2</v>
      </c>
      <c r="T35" s="87" t="s">
        <v>41</v>
      </c>
      <c r="U35" s="214" t="str">
        <f t="shared" si="8"/>
        <v/>
      </c>
      <c r="V35" s="214" t="str">
        <f t="shared" si="9"/>
        <v/>
      </c>
      <c r="W35" s="215" t="str">
        <f t="shared" si="10"/>
        <v/>
      </c>
      <c r="X35" s="214" t="str">
        <f t="shared" si="11"/>
        <v/>
      </c>
      <c r="Y35" s="216" t="str">
        <f t="shared" si="12"/>
        <v/>
      </c>
      <c r="Z35" s="18" t="str">
        <f t="shared" si="2"/>
        <v/>
      </c>
      <c r="AA35" s="51">
        <f t="shared" si="3"/>
        <v>45355</v>
      </c>
      <c r="AB35" s="18" t="str">
        <f>IF(Z35="","",RANK(Z35,Z:Z,0)+COUNTIF($Z$1:Z34,Z35))</f>
        <v/>
      </c>
      <c r="AC35" s="18" t="str">
        <f t="shared" si="7"/>
        <v/>
      </c>
    </row>
    <row r="36" spans="1:29">
      <c r="A36" s="85"/>
      <c r="B36" s="209"/>
      <c r="C36" s="87"/>
      <c r="D36" s="87"/>
      <c r="E36" s="87"/>
      <c r="F36" s="87"/>
      <c r="G36" s="87"/>
      <c r="H36" s="87"/>
      <c r="I36" s="87"/>
      <c r="J36" s="87"/>
      <c r="K36" s="87"/>
      <c r="L36" s="87"/>
      <c r="M36" s="87"/>
      <c r="N36" s="87"/>
      <c r="O36" s="87"/>
      <c r="P36" s="87"/>
      <c r="Q36" s="87"/>
      <c r="R36" s="87"/>
      <c r="S36" s="87"/>
      <c r="T36" s="87"/>
      <c r="U36" s="214" t="str">
        <f t="shared" si="8"/>
        <v/>
      </c>
      <c r="V36" s="214" t="str">
        <f t="shared" si="9"/>
        <v/>
      </c>
      <c r="W36" s="215" t="str">
        <f t="shared" si="10"/>
        <v/>
      </c>
      <c r="X36" s="214" t="str">
        <f t="shared" si="11"/>
        <v/>
      </c>
      <c r="Y36" s="216" t="str">
        <f t="shared" si="12"/>
        <v/>
      </c>
      <c r="Z36" s="18" t="str">
        <f t="shared" si="2"/>
        <v/>
      </c>
      <c r="AA36" s="51" t="e">
        <f t="shared" si="3"/>
        <v>#VALUE!</v>
      </c>
      <c r="AB36" s="18" t="str">
        <f>IF(Z36="","",RANK(Z36,Z:Z,0)+COUNTIF($Z$1:Z35,Z36))</f>
        <v/>
      </c>
      <c r="AC36" s="18" t="str">
        <f t="shared" si="7"/>
        <v/>
      </c>
    </row>
    <row r="37" spans="1:29">
      <c r="A37" s="85"/>
      <c r="B37" s="209"/>
      <c r="C37" s="87"/>
      <c r="D37" s="87"/>
      <c r="E37" s="87"/>
      <c r="F37" s="87"/>
      <c r="G37" s="87"/>
      <c r="H37" s="87"/>
      <c r="I37" s="87"/>
      <c r="J37" s="87"/>
      <c r="K37" s="87"/>
      <c r="L37" s="87"/>
      <c r="M37" s="87"/>
      <c r="N37" s="87"/>
      <c r="O37" s="87"/>
      <c r="P37" s="87"/>
      <c r="Q37" s="87"/>
      <c r="R37" s="87"/>
      <c r="S37" s="87"/>
      <c r="T37" s="87"/>
      <c r="U37" s="214" t="str">
        <f t="shared" si="8"/>
        <v/>
      </c>
      <c r="V37" s="214" t="str">
        <f t="shared" si="9"/>
        <v/>
      </c>
      <c r="W37" s="215" t="str">
        <f t="shared" si="10"/>
        <v/>
      </c>
      <c r="X37" s="214" t="str">
        <f t="shared" si="11"/>
        <v/>
      </c>
      <c r="Y37" s="216" t="str">
        <f t="shared" si="12"/>
        <v/>
      </c>
      <c r="Z37" s="18" t="str">
        <f t="shared" si="2"/>
        <v/>
      </c>
      <c r="AA37" s="51" t="e">
        <f t="shared" si="3"/>
        <v>#VALUE!</v>
      </c>
      <c r="AB37" s="18" t="str">
        <f>IF(Z37="","",RANK(Z37,Z:Z,0)+COUNTIF($Z$1:Z36,Z37))</f>
        <v/>
      </c>
      <c r="AC37" s="18" t="str">
        <f t="shared" si="7"/>
        <v/>
      </c>
    </row>
    <row r="38" spans="1:29">
      <c r="A38" s="85"/>
      <c r="B38" s="209"/>
      <c r="C38" s="87"/>
      <c r="D38" s="87"/>
      <c r="E38" s="87"/>
      <c r="F38" s="87"/>
      <c r="G38" s="87"/>
      <c r="H38" s="87"/>
      <c r="I38" s="87"/>
      <c r="J38" s="87"/>
      <c r="K38" s="87"/>
      <c r="L38" s="87"/>
      <c r="M38" s="87"/>
      <c r="N38" s="87"/>
      <c r="O38" s="87"/>
      <c r="P38" s="87"/>
      <c r="Q38" s="87"/>
      <c r="R38" s="87"/>
      <c r="S38" s="87"/>
      <c r="T38" s="87"/>
      <c r="U38" s="214" t="str">
        <f t="shared" si="8"/>
        <v/>
      </c>
      <c r="V38" s="214" t="str">
        <f t="shared" si="9"/>
        <v/>
      </c>
      <c r="W38" s="215" t="str">
        <f t="shared" si="10"/>
        <v/>
      </c>
      <c r="X38" s="214" t="str">
        <f t="shared" si="11"/>
        <v/>
      </c>
      <c r="Y38" s="216" t="str">
        <f t="shared" si="12"/>
        <v/>
      </c>
      <c r="Z38" s="18" t="str">
        <f t="shared" si="2"/>
        <v/>
      </c>
      <c r="AA38" s="51" t="e">
        <f t="shared" si="3"/>
        <v>#VALUE!</v>
      </c>
      <c r="AB38" s="18" t="str">
        <f>IF(Z38="","",RANK(Z38,Z:Z,0)+COUNTIF($Z$1:Z37,Z38))</f>
        <v/>
      </c>
      <c r="AC38" s="18" t="str">
        <f t="shared" si="7"/>
        <v/>
      </c>
    </row>
    <row r="39" spans="1:29">
      <c r="A39" s="85"/>
      <c r="B39" s="209"/>
      <c r="C39" s="87"/>
      <c r="D39" s="87"/>
      <c r="E39" s="87"/>
      <c r="F39" s="87"/>
      <c r="G39" s="87"/>
      <c r="H39" s="87"/>
      <c r="I39" s="87"/>
      <c r="J39" s="87"/>
      <c r="K39" s="87"/>
      <c r="L39" s="87"/>
      <c r="M39" s="87"/>
      <c r="N39" s="87"/>
      <c r="O39" s="87"/>
      <c r="P39" s="87"/>
      <c r="Q39" s="87"/>
      <c r="R39" s="87"/>
      <c r="S39" s="87"/>
      <c r="T39" s="87"/>
      <c r="U39" s="214" t="str">
        <f t="shared" si="8"/>
        <v/>
      </c>
      <c r="V39" s="214" t="str">
        <f t="shared" si="9"/>
        <v/>
      </c>
      <c r="W39" s="215" t="str">
        <f t="shared" si="10"/>
        <v/>
      </c>
      <c r="X39" s="214" t="str">
        <f t="shared" si="11"/>
        <v/>
      </c>
      <c r="Y39" s="216" t="str">
        <f t="shared" si="12"/>
        <v/>
      </c>
      <c r="Z39" s="18" t="str">
        <f t="shared" si="2"/>
        <v/>
      </c>
      <c r="AA39" s="51" t="e">
        <f t="shared" si="3"/>
        <v>#VALUE!</v>
      </c>
      <c r="AB39" s="18" t="str">
        <f>IF(Z39="","",RANK(Z39,Z:Z,0)+COUNTIF($Z$1:Z38,Z39))</f>
        <v/>
      </c>
      <c r="AC39" s="18" t="str">
        <f t="shared" si="7"/>
        <v/>
      </c>
    </row>
    <row r="40" spans="1:29">
      <c r="A40" s="85"/>
      <c r="B40" s="87"/>
      <c r="C40" s="87"/>
      <c r="D40" s="87"/>
      <c r="E40" s="87"/>
      <c r="F40" s="87"/>
      <c r="G40" s="87"/>
      <c r="H40" s="87"/>
      <c r="I40" s="87"/>
      <c r="J40" s="87"/>
      <c r="K40" s="87"/>
      <c r="L40" s="87"/>
      <c r="M40" s="87"/>
      <c r="N40" s="87"/>
      <c r="O40" s="87"/>
      <c r="P40" s="87"/>
      <c r="Q40" s="87"/>
      <c r="R40" s="87"/>
      <c r="S40" s="87"/>
      <c r="T40" s="87"/>
      <c r="U40" s="214" t="str">
        <f t="shared" si="8"/>
        <v/>
      </c>
      <c r="V40" s="214" t="str">
        <f t="shared" si="9"/>
        <v/>
      </c>
      <c r="W40" s="215" t="str">
        <f t="shared" si="10"/>
        <v/>
      </c>
      <c r="X40" s="214" t="str">
        <f t="shared" si="11"/>
        <v/>
      </c>
      <c r="Y40" s="216" t="str">
        <f t="shared" si="12"/>
        <v/>
      </c>
      <c r="Z40" s="18" t="str">
        <f>IF(C40="","",IFERROR(IF(OR(C40="Sponsored",C40="total"),"",IF(C41="sponsored",K41-K42,K40)),""))</f>
        <v/>
      </c>
      <c r="AA40" s="51" t="e">
        <f t="shared" si="3"/>
        <v>#VALUE!</v>
      </c>
      <c r="AB40" s="18" t="str">
        <f>IF(Z40="","",RANK(Z40,Z:Z,0)+COUNTIF($Z$1:Z39,Z40))</f>
        <v/>
      </c>
      <c r="AC40" s="18" t="str">
        <f t="shared" si="7"/>
        <v/>
      </c>
    </row>
    <row r="41" spans="1:29">
      <c r="A41" s="85"/>
      <c r="B41" s="87"/>
      <c r="C41" s="87"/>
      <c r="D41" s="87"/>
      <c r="E41" s="87"/>
      <c r="F41" s="87"/>
      <c r="G41" s="87"/>
      <c r="H41" s="87"/>
      <c r="I41" s="87"/>
      <c r="J41" s="87"/>
      <c r="K41" s="87"/>
      <c r="L41" s="87"/>
      <c r="M41" s="87"/>
      <c r="N41" s="87"/>
      <c r="O41" s="87"/>
      <c r="P41" s="87"/>
      <c r="Q41" s="87"/>
      <c r="R41" s="87"/>
      <c r="S41" s="87"/>
      <c r="T41" s="87"/>
      <c r="U41" s="214" t="str">
        <f t="shared" si="8"/>
        <v/>
      </c>
      <c r="V41" s="214" t="str">
        <f t="shared" si="9"/>
        <v/>
      </c>
      <c r="W41" s="215" t="str">
        <f t="shared" si="10"/>
        <v/>
      </c>
      <c r="X41" s="214" t="str">
        <f t="shared" si="11"/>
        <v/>
      </c>
      <c r="Y41" s="216" t="str">
        <f t="shared" si="12"/>
        <v/>
      </c>
      <c r="Z41" s="18" t="str">
        <f t="shared" ref="Z41:Z48" si="13">IF(C41="","",IFERROR(IF(OR(C41="Sponsored",C41="total"),"",IF(C42="sponsored",K42-K43,K41)),""))</f>
        <v/>
      </c>
      <c r="AA41" s="51" t="e">
        <f t="shared" si="3"/>
        <v>#VALUE!</v>
      </c>
      <c r="AB41" s="18" t="str">
        <f>IF(Z41="","",RANK(Z41,Z:Z,0)+COUNTIF($Z$1:Z40,Z41))</f>
        <v/>
      </c>
      <c r="AC41" s="18" t="str">
        <f t="shared" si="7"/>
        <v/>
      </c>
    </row>
    <row r="42" spans="1:29">
      <c r="A42" s="85"/>
      <c r="B42" s="87"/>
      <c r="C42" s="87"/>
      <c r="D42" s="87"/>
      <c r="E42" s="87"/>
      <c r="F42" s="87"/>
      <c r="G42" s="87"/>
      <c r="H42" s="87"/>
      <c r="I42" s="87"/>
      <c r="J42" s="87"/>
      <c r="K42" s="87"/>
      <c r="L42" s="87"/>
      <c r="M42" s="87"/>
      <c r="N42" s="87"/>
      <c r="O42" s="87"/>
      <c r="P42" s="87"/>
      <c r="Q42" s="87"/>
      <c r="R42" s="87"/>
      <c r="S42" s="87"/>
      <c r="T42" s="87"/>
      <c r="U42" s="214" t="str">
        <f t="shared" si="8"/>
        <v/>
      </c>
      <c r="V42" s="214" t="str">
        <f t="shared" si="9"/>
        <v/>
      </c>
      <c r="W42" s="215" t="str">
        <f t="shared" si="10"/>
        <v/>
      </c>
      <c r="X42" s="214" t="str">
        <f t="shared" si="11"/>
        <v/>
      </c>
      <c r="Y42" s="216" t="str">
        <f t="shared" si="12"/>
        <v/>
      </c>
      <c r="Z42" s="18" t="str">
        <f t="shared" si="13"/>
        <v/>
      </c>
      <c r="AA42" s="51" t="e">
        <f t="shared" si="3"/>
        <v>#VALUE!</v>
      </c>
      <c r="AB42" s="18" t="str">
        <f>IF(Z42="","",RANK(Z42,Z:Z,0)+COUNTIF($Z$1:Z41,Z42))</f>
        <v/>
      </c>
      <c r="AC42" s="18" t="str">
        <f t="shared" si="7"/>
        <v/>
      </c>
    </row>
    <row r="43" spans="1:29">
      <c r="A43" s="85"/>
      <c r="B43" s="87"/>
      <c r="C43" s="87"/>
      <c r="D43" s="87"/>
      <c r="E43" s="87"/>
      <c r="F43" s="87"/>
      <c r="G43" s="87"/>
      <c r="H43" s="87"/>
      <c r="I43" s="87"/>
      <c r="J43" s="87"/>
      <c r="K43" s="87"/>
      <c r="L43" s="87"/>
      <c r="M43" s="87"/>
      <c r="N43" s="87"/>
      <c r="O43" s="87"/>
      <c r="P43" s="87"/>
      <c r="Q43" s="87"/>
      <c r="R43" s="87"/>
      <c r="S43" s="87"/>
      <c r="T43" s="87"/>
      <c r="U43" s="214" t="str">
        <f t="shared" si="8"/>
        <v/>
      </c>
      <c r="V43" s="214" t="str">
        <f t="shared" si="9"/>
        <v/>
      </c>
      <c r="W43" s="215" t="str">
        <f t="shared" si="10"/>
        <v/>
      </c>
      <c r="X43" s="214" t="str">
        <f t="shared" si="11"/>
        <v/>
      </c>
      <c r="Y43" s="216" t="str">
        <f t="shared" si="12"/>
        <v/>
      </c>
      <c r="Z43" s="18" t="str">
        <f t="shared" si="13"/>
        <v/>
      </c>
      <c r="AA43" s="51" t="e">
        <f t="shared" si="3"/>
        <v>#VALUE!</v>
      </c>
      <c r="AB43" s="18" t="str">
        <f>IF(Z43="","",RANK(Z43,Z:Z,0)+COUNTIF($Z$1:Z42,Z43))</f>
        <v/>
      </c>
      <c r="AC43" s="18" t="str">
        <f t="shared" si="7"/>
        <v/>
      </c>
    </row>
    <row r="44" spans="1:29">
      <c r="A44" s="85"/>
      <c r="B44" s="87"/>
      <c r="C44" s="87"/>
      <c r="D44" s="87"/>
      <c r="E44" s="87"/>
      <c r="F44" s="87"/>
      <c r="G44" s="87"/>
      <c r="H44" s="87"/>
      <c r="I44" s="87"/>
      <c r="J44" s="87"/>
      <c r="K44" s="87"/>
      <c r="L44" s="87"/>
      <c r="M44" s="87"/>
      <c r="N44" s="87"/>
      <c r="O44" s="87"/>
      <c r="P44" s="87"/>
      <c r="Q44" s="87"/>
      <c r="R44" s="87"/>
      <c r="S44" s="87"/>
      <c r="T44" s="87"/>
      <c r="U44" s="214" t="str">
        <f t="shared" si="8"/>
        <v/>
      </c>
      <c r="V44" s="214" t="str">
        <f t="shared" si="9"/>
        <v/>
      </c>
      <c r="W44" s="215" t="str">
        <f t="shared" si="10"/>
        <v/>
      </c>
      <c r="X44" s="214" t="str">
        <f t="shared" si="11"/>
        <v/>
      </c>
      <c r="Y44" s="216" t="str">
        <f t="shared" si="12"/>
        <v/>
      </c>
      <c r="Z44" s="18" t="str">
        <f t="shared" si="13"/>
        <v/>
      </c>
      <c r="AA44" s="51" t="e">
        <f t="shared" si="3"/>
        <v>#VALUE!</v>
      </c>
      <c r="AB44" s="18" t="str">
        <f>IF(Z44="","",RANK(Z44,Z:Z,0)+COUNTIF($Z$1:Z43,Z44))</f>
        <v/>
      </c>
      <c r="AC44" s="18" t="str">
        <f t="shared" si="7"/>
        <v/>
      </c>
    </row>
    <row r="45" spans="1:29">
      <c r="A45" s="85"/>
      <c r="B45" s="87"/>
      <c r="C45" s="87"/>
      <c r="D45" s="87"/>
      <c r="E45" s="87"/>
      <c r="F45" s="87"/>
      <c r="G45" s="87"/>
      <c r="H45" s="87"/>
      <c r="I45" s="87"/>
      <c r="J45" s="87"/>
      <c r="K45" s="87"/>
      <c r="L45" s="87"/>
      <c r="M45" s="87"/>
      <c r="N45" s="87"/>
      <c r="O45" s="87"/>
      <c r="P45" s="87"/>
      <c r="Q45" s="87"/>
      <c r="R45" s="87"/>
      <c r="S45" s="87"/>
      <c r="T45" s="87"/>
      <c r="U45" s="214" t="str">
        <f t="shared" si="8"/>
        <v/>
      </c>
      <c r="V45" s="214" t="str">
        <f t="shared" si="9"/>
        <v/>
      </c>
      <c r="W45" s="215" t="str">
        <f t="shared" si="10"/>
        <v/>
      </c>
      <c r="X45" s="214" t="str">
        <f t="shared" si="11"/>
        <v/>
      </c>
      <c r="Y45" s="216" t="str">
        <f t="shared" si="12"/>
        <v/>
      </c>
      <c r="Z45" s="18" t="str">
        <f t="shared" si="13"/>
        <v/>
      </c>
      <c r="AA45" s="51" t="e">
        <f t="shared" si="3"/>
        <v>#VALUE!</v>
      </c>
      <c r="AB45" s="18" t="str">
        <f>IF(Z45="","",RANK(Z45,Z:Z,0)+COUNTIF($Z$1:Z44,Z45))</f>
        <v/>
      </c>
      <c r="AC45" s="18" t="str">
        <f t="shared" si="7"/>
        <v/>
      </c>
    </row>
    <row r="46" spans="1:29">
      <c r="A46" s="85"/>
      <c r="B46" s="87"/>
      <c r="C46" s="87"/>
      <c r="D46" s="87"/>
      <c r="E46" s="87"/>
      <c r="F46" s="87"/>
      <c r="G46" s="87"/>
      <c r="H46" s="87"/>
      <c r="I46" s="87"/>
      <c r="J46" s="87"/>
      <c r="K46" s="87"/>
      <c r="L46" s="87"/>
      <c r="M46" s="87"/>
      <c r="N46" s="87"/>
      <c r="O46" s="87"/>
      <c r="P46" s="87"/>
      <c r="Q46" s="87"/>
      <c r="R46" s="87"/>
      <c r="S46" s="87"/>
      <c r="T46" s="87"/>
      <c r="U46" s="214" t="str">
        <f t="shared" si="8"/>
        <v/>
      </c>
      <c r="V46" s="214" t="str">
        <f t="shared" si="9"/>
        <v/>
      </c>
      <c r="W46" s="215" t="str">
        <f t="shared" si="10"/>
        <v/>
      </c>
      <c r="X46" s="214" t="str">
        <f t="shared" si="11"/>
        <v/>
      </c>
      <c r="Y46" s="216" t="str">
        <f t="shared" si="12"/>
        <v/>
      </c>
      <c r="Z46" s="18" t="str">
        <f t="shared" si="13"/>
        <v/>
      </c>
      <c r="AA46" s="51" t="e">
        <f t="shared" si="3"/>
        <v>#VALUE!</v>
      </c>
      <c r="AB46" s="18" t="str">
        <f>IF(Z46="","",RANK(Z46,Z:Z,0)+COUNTIF($Z$1:Z45,Z46))</f>
        <v/>
      </c>
      <c r="AC46" s="18" t="str">
        <f t="shared" si="7"/>
        <v/>
      </c>
    </row>
    <row r="47" spans="1:29">
      <c r="A47" s="85"/>
      <c r="B47" s="87"/>
      <c r="C47" s="87"/>
      <c r="D47" s="87"/>
      <c r="E47" s="87"/>
      <c r="F47" s="87"/>
      <c r="G47" s="87"/>
      <c r="H47" s="87"/>
      <c r="I47" s="87"/>
      <c r="J47" s="87"/>
      <c r="K47" s="87"/>
      <c r="L47" s="87"/>
      <c r="M47" s="87"/>
      <c r="N47" s="87"/>
      <c r="O47" s="87"/>
      <c r="P47" s="87"/>
      <c r="Q47" s="87"/>
      <c r="R47" s="87"/>
      <c r="S47" s="87"/>
      <c r="T47" s="87"/>
      <c r="U47" s="214" t="str">
        <f t="shared" si="8"/>
        <v/>
      </c>
      <c r="V47" s="214" t="str">
        <f t="shared" si="9"/>
        <v/>
      </c>
      <c r="W47" s="215" t="str">
        <f t="shared" si="10"/>
        <v/>
      </c>
      <c r="X47" s="214" t="str">
        <f t="shared" si="11"/>
        <v/>
      </c>
      <c r="Y47" s="216" t="str">
        <f t="shared" si="12"/>
        <v/>
      </c>
      <c r="Z47" s="18" t="str">
        <f t="shared" si="13"/>
        <v/>
      </c>
      <c r="AA47" s="51" t="e">
        <f t="shared" si="3"/>
        <v>#VALUE!</v>
      </c>
      <c r="AB47" s="18" t="str">
        <f>IF(Z47="","",RANK(Z47,Z:Z,0)+COUNTIF($Z$1:Z46,Z47))</f>
        <v/>
      </c>
      <c r="AC47" s="18" t="str">
        <f t="shared" si="7"/>
        <v/>
      </c>
    </row>
    <row r="48" spans="1:29">
      <c r="A48" s="85"/>
      <c r="B48" s="87"/>
      <c r="C48" s="87"/>
      <c r="D48" s="87"/>
      <c r="E48" s="87"/>
      <c r="F48" s="87"/>
      <c r="G48" s="87"/>
      <c r="H48" s="87"/>
      <c r="I48" s="87"/>
      <c r="J48" s="87"/>
      <c r="K48" s="87"/>
      <c r="L48" s="87"/>
      <c r="M48" s="87"/>
      <c r="N48" s="87"/>
      <c r="O48" s="87"/>
      <c r="P48" s="87"/>
      <c r="Q48" s="87"/>
      <c r="R48" s="87"/>
      <c r="S48" s="87"/>
      <c r="T48" s="87"/>
      <c r="U48" s="214" t="str">
        <f t="shared" si="8"/>
        <v/>
      </c>
      <c r="V48" s="214" t="str">
        <f t="shared" si="9"/>
        <v/>
      </c>
      <c r="W48" s="215" t="str">
        <f t="shared" si="10"/>
        <v/>
      </c>
      <c r="X48" s="214" t="str">
        <f t="shared" si="11"/>
        <v/>
      </c>
      <c r="Y48" s="216" t="str">
        <f t="shared" si="12"/>
        <v/>
      </c>
      <c r="Z48" s="18" t="str">
        <f t="shared" si="13"/>
        <v/>
      </c>
      <c r="AA48" s="51" t="e">
        <f t="shared" si="3"/>
        <v>#VALUE!</v>
      </c>
      <c r="AB48" s="18" t="str">
        <f>IF(Z48="","",RANK(Z48,Z:Z,0)+COUNTIF($Z$1:Z47,Z48))</f>
        <v/>
      </c>
      <c r="AC48" s="18" t="str">
        <f t="shared" si="7"/>
        <v/>
      </c>
    </row>
    <row r="49" spans="1:29">
      <c r="A49" s="85"/>
      <c r="B49" s="87"/>
      <c r="C49" s="87"/>
      <c r="D49" s="87"/>
      <c r="E49" s="87"/>
      <c r="F49" s="87"/>
      <c r="G49" s="87"/>
      <c r="H49" s="87"/>
      <c r="I49" s="87"/>
      <c r="J49" s="87"/>
      <c r="K49" s="87"/>
      <c r="L49" s="87"/>
      <c r="M49" s="87"/>
      <c r="N49" s="87"/>
      <c r="O49" s="87"/>
      <c r="P49" s="87"/>
      <c r="Q49" s="87"/>
      <c r="R49" s="87"/>
      <c r="S49" s="87"/>
      <c r="T49" s="87"/>
      <c r="U49" s="214" t="str">
        <f t="shared" si="8"/>
        <v/>
      </c>
      <c r="V49" s="214" t="str">
        <f t="shared" si="9"/>
        <v/>
      </c>
      <c r="W49" s="215" t="str">
        <f t="shared" si="10"/>
        <v/>
      </c>
      <c r="X49" s="214" t="str">
        <f t="shared" si="11"/>
        <v/>
      </c>
      <c r="Y49" s="216" t="str">
        <f t="shared" si="12"/>
        <v/>
      </c>
      <c r="Z49" s="18"/>
      <c r="AA49" s="18"/>
      <c r="AB49" s="18"/>
      <c r="AC49" s="18"/>
    </row>
  </sheetData>
  <autoFilter ref="A1:Y48" xr:uid="{00000000-0009-0000-0000-000006000000}"/>
  <phoneticPr fontId="2"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7EC93-6955-4133-97B2-BE901FCEC21C}">
  <sheetPr>
    <tabColor rgb="FFFFFF00"/>
  </sheetPr>
  <dimension ref="A1:H74"/>
  <sheetViews>
    <sheetView zoomScale="85" zoomScaleNormal="85" workbookViewId="0">
      <selection activeCell="B3" sqref="B3"/>
    </sheetView>
  </sheetViews>
  <sheetFormatPr defaultRowHeight="16.5"/>
  <cols>
    <col min="2" max="2" width="155.875" customWidth="1"/>
    <col min="3" max="3" width="46" customWidth="1"/>
    <col min="4" max="6" width="17.875" customWidth="1"/>
  </cols>
  <sheetData>
    <row r="1" spans="1:8">
      <c r="A1" s="212" t="s">
        <v>86</v>
      </c>
      <c r="B1" s="135" t="s">
        <v>328</v>
      </c>
      <c r="C1" s="135" t="s">
        <v>335</v>
      </c>
      <c r="D1" s="135" t="s">
        <v>120</v>
      </c>
      <c r="E1" s="136" t="s">
        <v>336</v>
      </c>
      <c r="F1" s="95" t="s">
        <v>144</v>
      </c>
      <c r="G1" s="95" t="s">
        <v>617</v>
      </c>
      <c r="H1" s="95" t="s">
        <v>618</v>
      </c>
    </row>
    <row r="2" spans="1:8">
      <c r="A2" s="8">
        <v>1</v>
      </c>
      <c r="B2" s="211" t="str">
        <f>IFERROR(INDEX(contents!A:A,MATCH(A2,contents!V:V,0),1),"")</f>
        <v>Where world-renowned AI experts gather, #GTC2024 is in full swing!
SK hynix's technical experts, including JINWOO CHOI, Jae Eun Lee, Seoyeong Jeong(정서영), Hyun Hwang(황현), YONGHYEOB KIM, Brian Yoon, Yongju Lee are eager to meet you. 
Haven't visited our booth yet? Come to booth #1029 now and discover the amazing world of memory that will lead the future era of #AI!
#SKhynix #GTC #GTC24</v>
      </c>
      <c r="C2" s="86" t="s">
        <v>716</v>
      </c>
      <c r="D2" s="86" t="s">
        <v>610</v>
      </c>
      <c r="E2" s="182" t="s">
        <v>606</v>
      </c>
      <c r="F2" s="51">
        <f>IFERROR(INDEX(contents!AA:AA,MATCH(A2,contents!V:V,0),1),"")</f>
        <v>45370</v>
      </c>
      <c r="G2" s="18" t="str">
        <f>IFERROR(INDEX(contents!B:B,MATCH(A2,contents!V:V,0),1),"")</f>
        <v>https://www.linkedin.com/feed/update/urn:li:activity:7175815771816656897</v>
      </c>
      <c r="H2" s="18" t="str">
        <f>IFERROR(VLOOKUP('contents 추가정보'!G2,contents!B:AB,27,FALSE),"")</f>
        <v/>
      </c>
    </row>
    <row r="3" spans="1:8">
      <c r="A3" s="8">
        <v>2</v>
      </c>
      <c r="B3" s="211" t="str">
        <f>IFERROR(INDEX(contents!A:A,MATCH(A3,contents!V:V,0),1),"")</f>
        <v>The revolution in memory '#packaging' technology has begun. With the advent of the AI era, semiconductor industry is increasingly focusing on the development of innovative #HBM technology.
At the heart of this technological competition, SK hynix's HBM3E stands out with its cutting-edge packaging technology.
Discover how SK hynix has managed to dominate the HBM market through the carousel below right now!
#SKhynix #HBM3E #TSV #MR #MUF #AI #LLM</v>
      </c>
      <c r="C3" s="86" t="s">
        <v>717</v>
      </c>
      <c r="D3" s="86" t="s">
        <v>607</v>
      </c>
      <c r="E3" s="182" t="s">
        <v>606</v>
      </c>
      <c r="F3" s="51">
        <f>IFERROR(INDEX(contents!AA:AA,MATCH(A3,contents!V:V,0),1),"")</f>
        <v>45376</v>
      </c>
      <c r="G3" s="18" t="str">
        <f>IFERROR(INDEX(contents!B:B,MATCH(A3,contents!V:V,0),1),"")</f>
        <v>https://www.linkedin.com/feed/update/urn:li:activity:7177990114944438272</v>
      </c>
      <c r="H3" s="18" t="str">
        <f>IFERROR(VLOOKUP('contents 추가정보'!G3,contents!B:AB,27,FALSE),"")</f>
        <v/>
      </c>
    </row>
    <row r="4" spans="1:8">
      <c r="A4" s="8">
        <v>3</v>
      </c>
      <c r="B4" s="211" t="str">
        <f>IFERROR(INDEX(contents!A:A,MATCH(A4,contents!V:V,0),1),"")</f>
        <v>[People with the history of semiconductors]
SK hynix commemorates International Women's Day by shining a light on women scientists who have transformed history! "Amazing Grace," Grace Murray Hopper is the first protagonist of this series.
She entered programming at a late age but was more talented than anyone else and was instrumental in creating the most common business programming language, #COBOL. Grace, who is also known as the first to discover a computer 'bug', developed a program called Flow-Matics, the first English data processing compiler.
Let's take a moment to look at her innovative, yet challenging journey.
#IWD #Women #AmazingGrace #history #semiconductor #Series #IWD2024</v>
      </c>
      <c r="C4" s="86" t="s">
        <v>718</v>
      </c>
      <c r="D4" s="86" t="s">
        <v>613</v>
      </c>
      <c r="E4" s="182" t="s">
        <v>606</v>
      </c>
      <c r="F4" s="51">
        <f>IFERROR(INDEX(contents!AA:AA,MATCH(A4,contents!V:V,0),1),"")</f>
        <v>45358</v>
      </c>
      <c r="G4" s="18" t="str">
        <f>IFERROR(INDEX(contents!B:B,MATCH(A4,contents!V:V,0),1),"")</f>
        <v>https://www.linkedin.com/feed/update/urn:li:activity:7171436949532995584</v>
      </c>
      <c r="H4" s="18" t="str">
        <f>IFERROR(VLOOKUP('contents 추가정보'!G4,contents!B:AB,27,FALSE),"")</f>
        <v/>
      </c>
    </row>
    <row r="5" spans="1:8">
      <c r="A5" s="8">
        <v>4</v>
      </c>
      <c r="B5" s="211" t="str">
        <f>IFERROR(INDEX(contents!A:A,MATCH(A5,contents!V:V,0),1),"")</f>
        <v>In response to the #AI era, SK hynix has launched a new division 'AI Infra' as part of its strategy. Discover insights from SungSup(SS) Kim, VP of AI Infra Sales, who has accumulated 20 years of expertise at SK hynix, on how the company has become a trusted 'Total AI Memory Provider'.
#SKhynix #Memory #DRAM #HBM3E #Technology #Storage #Semiconductor</v>
      </c>
      <c r="C5" s="86" t="s">
        <v>719</v>
      </c>
      <c r="D5" s="86" t="s">
        <v>611</v>
      </c>
      <c r="E5" s="182" t="s">
        <v>612</v>
      </c>
      <c r="F5" s="51">
        <f>IFERROR(INDEX(contents!AA:AA,MATCH(A5,contents!V:V,0),1),"")</f>
        <v>45380</v>
      </c>
      <c r="G5" s="18" t="str">
        <f>IFERROR(INDEX(contents!B:B,MATCH(A5,contents!V:V,0),1),"")</f>
        <v>https://www.linkedin.com/feed/update/urn:li:activity:7179380746460037120</v>
      </c>
      <c r="H5" s="18" t="str">
        <f>IFERROR(VLOOKUP('contents 추가정보'!G5,contents!B:AB,27,FALSE),"")</f>
        <v/>
      </c>
    </row>
    <row r="6" spans="1:8">
      <c r="A6" s="8">
        <v>5</v>
      </c>
      <c r="B6" s="211" t="str">
        <f>IFERROR(INDEX(contents!A:A,MATCH(A6,contents!V:V,0),1),"")</f>
        <v>The AI era has further advanced. The world's largest AI conference, #GTC2024, where global tech giants unveiled new #AI technologies, has finally come to an end.
AI memory leader, SK hynix, also stunned the industry once again by presenting innovative AI technologies.
Are you ready to see all these innovations at a glance? Explore the future of AI with SK hynix!
Memory, the Power of AI
#SKhynix #GTC24 #HBM3E #CXL #CMM #GDDR #Automotive #NVIDIA</v>
      </c>
      <c r="C6" s="86" t="s">
        <v>720</v>
      </c>
      <c r="D6" s="86" t="s">
        <v>607</v>
      </c>
      <c r="E6" s="182" t="s">
        <v>606</v>
      </c>
      <c r="F6" s="51">
        <f>IFERROR(INDEX(contents!AA:AA,MATCH(A6,contents!V:V,0),1),"")</f>
        <v>45377</v>
      </c>
      <c r="G6" s="18" t="str">
        <f>IFERROR(INDEX(contents!B:B,MATCH(A6,contents!V:V,0),1),"")</f>
        <v>https://www.linkedin.com/feed/update/urn:li:activity:7178360125487820800</v>
      </c>
      <c r="H6" s="18" t="str">
        <f>IFERROR(VLOOKUP('contents 추가정보'!G6,contents!B:AB,27,FALSE),"")</f>
        <v/>
      </c>
    </row>
    <row r="7" spans="1:8">
      <c r="A7" s="8">
        <v>6</v>
      </c>
      <c r="B7" s="211" t="str">
        <f>IFERROR(INDEX(contents!A:A,MATCH(A7,contents!V:V,0),1),"")</f>
        <v>Curious about DRAM in the era of AI?
Introducing a more upgraded graphics DRAM from SK hynix.
GDDR7 is by your side anytime, anywhere, with improved performance than before.
#SKhynix #NVIDIA #GTC #GTC24 #DRAM #GDDR7</v>
      </c>
      <c r="C7" s="86" t="s">
        <v>721</v>
      </c>
      <c r="D7" s="86" t="s">
        <v>607</v>
      </c>
      <c r="E7" s="182" t="s">
        <v>609</v>
      </c>
      <c r="F7" s="51">
        <f>IFERROR(INDEX(contents!AA:AA,MATCH(A7,contents!V:V,0),1),"")</f>
        <v>45364</v>
      </c>
      <c r="G7" s="18" t="str">
        <f>IFERROR(INDEX(contents!B:B,MATCH(A7,contents!V:V,0),1),"")</f>
        <v>https://www.linkedin.com/feed/update/urn:li:activity:7173671659856359425</v>
      </c>
      <c r="H7" s="18" t="str">
        <f>IFERROR(VLOOKUP('contents 추가정보'!G7,contents!B:AB,27,FALSE),"")</f>
        <v/>
      </c>
    </row>
    <row r="8" spans="1:8">
      <c r="A8" s="8">
        <v>7</v>
      </c>
      <c r="B8" s="211" t="str">
        <f>IFERROR(INDEX(contents!A:A,MATCH(A8,contents!V:V,0),1),"")</f>
        <v>Have you ever heard of #HBM3E?
Discover HBM3E, an essential memory solution for generative #AI.
In the forthcoming era of AI, we introduce the HBM product lineup presented by SK hynix.
#SKhynix #NVIDIA #GTC #GTC24 #HBM</v>
      </c>
      <c r="C8" s="86" t="s">
        <v>722</v>
      </c>
      <c r="D8" s="86" t="s">
        <v>607</v>
      </c>
      <c r="E8" s="182" t="s">
        <v>609</v>
      </c>
      <c r="F8" s="51">
        <f>IFERROR(INDEX(contents!AA:AA,MATCH(A8,contents!V:V,0),1),"")</f>
        <v>45366</v>
      </c>
      <c r="G8" s="18" t="str">
        <f>IFERROR(INDEX(contents!B:B,MATCH(A8,contents!V:V,0),1),"")</f>
        <v>https://www.linkedin.com/feed/update/urn:li:activity:7174366219876147202</v>
      </c>
      <c r="H8" s="18" t="str">
        <f>IFERROR(VLOOKUP('contents 추가정보'!G8,contents!B:AB,27,FALSE),"")</f>
        <v/>
      </c>
    </row>
    <row r="9" spans="1:8">
      <c r="A9" s="8">
        <v>8</v>
      </c>
      <c r="B9" s="211" t="str">
        <f>IFERROR(INDEX(contents!A:A,MATCH(A9,contents!V:V,0),1),"")</f>
        <v>At this #GTC2024, AI technology leader SK hynix conducted a session discussing the future outlook of HBM, leading the #AI memory market.
Discover insights from Seoyeong Jeong(정서영), SK hynix's HBM expert, on the future of HBM memory, a rapidly heating topic in the evolving AI technology landscape.
#SKhynix #GTC #GTC24 #HBM #HBM3E </v>
      </c>
      <c r="C9" s="86" t="s">
        <v>723</v>
      </c>
      <c r="D9" s="86" t="s">
        <v>610</v>
      </c>
      <c r="E9" s="182" t="s">
        <v>606</v>
      </c>
      <c r="F9" s="51">
        <f>IFERROR(INDEX(contents!AA:AA,MATCH(A9,contents!V:V,0),1),"")</f>
        <v>45371</v>
      </c>
      <c r="G9" s="18" t="str">
        <f>IFERROR(INDEX(contents!B:B,MATCH(A9,contents!V:V,0),1),"")</f>
        <v>https://www.linkedin.com/feed/update/urn:li:activity:7176178166246313986</v>
      </c>
      <c r="H9" s="18" t="str">
        <f>IFERROR(VLOOKUP('contents 추가정보'!G9,contents!B:AB,27,FALSE),"")</f>
        <v/>
      </c>
    </row>
    <row r="10" spans="1:8">
      <c r="A10" s="8">
        <v>9</v>
      </c>
      <c r="B10" s="211" t="str">
        <f>IFERROR(INDEX(contents!A:A,MATCH(A10,contents!V:V,0),1),"")</f>
        <v>Get ready for SK hynix’s automotive product lineup that leads the future of auto experiences!
Aren’t you curious about what products await you?
Check out SK hynix’s diverse portfolio filled with technologies that welcome you.
#SKhynix #GTC #GTC24 #Automotive</v>
      </c>
      <c r="C10" s="86" t="s">
        <v>724</v>
      </c>
      <c r="D10" s="86" t="s">
        <v>607</v>
      </c>
      <c r="E10" s="182" t="s">
        <v>609</v>
      </c>
      <c r="F10" s="51">
        <f>IFERROR(INDEX(contents!AA:AA,MATCH(A10,contents!V:V,0),1),"")</f>
        <v>45362</v>
      </c>
      <c r="G10" s="18" t="str">
        <f>IFERROR(INDEX(contents!B:B,MATCH(A10,contents!V:V,0),1),"")</f>
        <v>https://www.linkedin.com/feed/update/urn:li:activity:7172924232081895426</v>
      </c>
      <c r="H10" s="18" t="str">
        <f>IFERROR(VLOOKUP('contents 추가정보'!G10,contents!B:AB,27,FALSE),"")</f>
        <v/>
      </c>
    </row>
    <row r="11" spans="1:8">
      <c r="A11" s="8">
        <v>10</v>
      </c>
      <c r="B11" s="211" t="str">
        <f>IFERROR(INDEX(contents!A:A,MATCH(A11,contents!V:V,0),1),"")</f>
        <v>[Forefront Leader in the #HBM industry: SK hynix]
SK hynix strengthens business competitiveness as a leading player in the AI memory market with HBM3E.
Explore HBM3E by 'Total #AI Memory Provider,’ SK hynix!
#SKhynix #HBM3 #HBM3E #Memory</v>
      </c>
      <c r="C11" s="86" t="s">
        <v>725</v>
      </c>
      <c r="D11" s="86" t="s">
        <v>607</v>
      </c>
      <c r="E11" s="182" t="s">
        <v>606</v>
      </c>
      <c r="F11" s="51">
        <f>IFERROR(INDEX(contents!AA:AA,MATCH(A11,contents!V:V,0),1),"")</f>
        <v>45378</v>
      </c>
      <c r="G11" s="18" t="str">
        <f>IFERROR(INDEX(contents!B:B,MATCH(A11,contents!V:V,0),1),"")</f>
        <v>https://www.linkedin.com/feed/update/urn:li:activity:7178714905913565184</v>
      </c>
      <c r="H11" s="18" t="str">
        <f>IFERROR(VLOOKUP('contents 추가정보'!G11,contents!B:AB,27,FALSE),"")</f>
        <v/>
      </c>
    </row>
    <row r="12" spans="1:8">
      <c r="A12" s="8">
        <v>11</v>
      </c>
      <c r="B12" s="211" t="str">
        <f>IFERROR(INDEX(contents!A:A,MATCH(A12,contents!V:V,0),1),"")</f>
        <v>Pay close attention to SK hynix’s booth #1029 at #GTC24, which will be a turning point in #AI.
This will be a place for events that let you feel the spectacular changes in technology.
Come experience the future of AI created by SK hynix.
#SKhynix #NVIDIA #GTC #booth #1029</v>
      </c>
      <c r="C12" s="86" t="s">
        <v>726</v>
      </c>
      <c r="D12" s="86" t="s">
        <v>610</v>
      </c>
      <c r="E12" s="182" t="s">
        <v>606</v>
      </c>
      <c r="F12" s="51">
        <f>IFERROR(INDEX(contents!AA:AA,MATCH(A12,contents!V:V,0),1),"")</f>
        <v>45369</v>
      </c>
      <c r="G12" s="18" t="str">
        <f>IFERROR(INDEX(contents!B:B,MATCH(A12,contents!V:V,0),1),"")</f>
        <v>https://www.linkedin.com/feed/update/urn:li:activity:7175453388543811584</v>
      </c>
      <c r="H12" s="18" t="str">
        <f>IFERROR(VLOOKUP('contents 추가정보'!G12,contents!B:AB,27,FALSE),"")</f>
        <v/>
      </c>
    </row>
    <row r="13" spans="1:8">
      <c r="A13" s="8">
        <v>12</v>
      </c>
      <c r="B13" s="211" t="str">
        <f>IFERROR(INDEX(contents!A:A,MATCH(A13,contents!V:V,0),1),"")</f>
        <v>The countdown to #GTC2024 has begun! At GTC2024, SK hynix, a leader in the HBM market, will showcase its expertise through a session conducted by SK hynix's expert Seoyeong Jeong(정서영) on innovative #HBM technology. 
Don't miss this opportunity to gain the expert's insights into how SK hynix is leading the market amidst the global #AI boom!
#SKhynix #HBM3E #NVIDIA #GTC #GTC24 #Session #Technology</v>
      </c>
      <c r="C13" s="86" t="s">
        <v>727</v>
      </c>
      <c r="D13" s="86" t="s">
        <v>610</v>
      </c>
      <c r="E13" s="182" t="s">
        <v>606</v>
      </c>
      <c r="F13" s="51">
        <f>IFERROR(INDEX(contents!AA:AA,MATCH(A13,contents!V:V,0),1),"")</f>
        <v>45364</v>
      </c>
      <c r="G13" s="18" t="str">
        <f>IFERROR(INDEX(contents!B:B,MATCH(A13,contents!V:V,0),1),"")</f>
        <v>https://www.linkedin.com/feed/update/urn:li:activity:7173575729928949761</v>
      </c>
      <c r="H13" s="18" t="str">
        <f>IFERROR(VLOOKUP('contents 추가정보'!G13,contents!B:AB,27,FALSE),"")</f>
        <v/>
      </c>
    </row>
    <row r="14" spans="1:8">
      <c r="A14" s="8">
        <v>13</v>
      </c>
      <c r="B14" s="211" t="str">
        <f>IFERROR(INDEX(contents!A:A,MATCH(A14,contents!V:V,0),1),"")</f>
        <v>SK hynix has appointed Unoh Kwon as the new Vice President within the newly established 'AI Infra' organization to complete the #HBM technology roadmap.
In 2022, while working as a #DRAM development research fellow at SK hynix, he pioneered the application of the HKMG process to mobile DRAM #LPDDR, leading to the successful development of the high-speed, low-power #LPDDR5X and #LPDDR5T.
Check out his vision for the next-generation HBM technology development and his strategy for the #AI era in our newsroom. 📰
https://lnkd.in/g9gm7EcZ
#SKhynix #Leader #News #VicePresident #Memory #Leadership #Journey </v>
      </c>
      <c r="C14" s="86" t="s">
        <v>728</v>
      </c>
      <c r="D14" s="86" t="s">
        <v>611</v>
      </c>
      <c r="E14" s="182" t="s">
        <v>606</v>
      </c>
      <c r="F14" s="51">
        <f>IFERROR(INDEX(contents!AA:AA,MATCH(A14,contents!V:V,0),1),"")</f>
        <v>45379</v>
      </c>
      <c r="G14" s="18" t="str">
        <f>IFERROR(INDEX(contents!B:B,MATCH(A14,contents!V:V,0),1),"")</f>
        <v>https://www.linkedin.com/feed/update/urn:li:activity:7179032880013082624</v>
      </c>
      <c r="H14" s="18" t="str">
        <f>IFERROR(VLOOKUP('contents 추가정보'!G14,contents!B:AB,27,FALSE),"")</f>
        <v/>
      </c>
    </row>
    <row r="15" spans="1:8">
      <c r="A15" s="8">
        <v>14</v>
      </c>
      <c r="B15" s="211" t="str">
        <f>IFERROR(INDEX(contents!A:A,MATCH(A15,contents!V:V,0),1),"")</f>
        <v>SK hynix has unveiled its new consumer product, '#PCB01', the industry’s latest PCIe 5th generation SSD, at #GTC2024. This product will solidify SK hynix's position as the world's leading AI memory provider in the on-device AI PC area.
Check out the news below for more details!
https://lnkd.in/euPNxFAB
#SKhynix #SSD #GTC24 #AI #PC #PCLe #5th</v>
      </c>
      <c r="C15" s="86" t="s">
        <v>729</v>
      </c>
      <c r="D15" s="86" t="s">
        <v>608</v>
      </c>
      <c r="E15" s="182" t="s">
        <v>609</v>
      </c>
      <c r="F15" s="51">
        <f>IFERROR(INDEX(contents!AA:AA,MATCH(A15,contents!V:V,0),1),"")</f>
        <v>45371</v>
      </c>
      <c r="G15" s="18" t="str">
        <f>IFERROR(INDEX(contents!B:B,MATCH(A15,contents!V:V,0),1),"")</f>
        <v>https://www.linkedin.com/feed/update/urn:li:activity:7176149460970827777</v>
      </c>
      <c r="H15" s="18" t="str">
        <f>IFERROR(VLOOKUP('contents 추가정보'!G15,contents!B:AB,27,FALSE),"")</f>
        <v/>
      </c>
    </row>
    <row r="16" spans="1:8">
      <c r="A16" s="8">
        <v>15</v>
      </c>
      <c r="B16" s="211" t="str">
        <f>IFERROR(INDEX(contents!A:A,MATCH(A16,contents!V:V,0),1),"")</f>
        <v>SK hynix proudly showcased its latest #AI memory products and technologies at #NVIDIA's GTC 2024, attracting attention of many visitors. 
SK hynix hynix exhibited a variety of AI memory solutions, including 12-layer HBM3E, enlarged capacity CXL, brand new Gen5 SSD, and next-generation graphics DRAM GDDR7.
Check out the link below for more details!➡️
https://lnkd.in/g9-Huyjr
#SKhynix #GTC2024 #HBM3E #CXL #GDDR7 #SSD</v>
      </c>
      <c r="C16" s="86" t="s">
        <v>730</v>
      </c>
      <c r="D16" s="86" t="s">
        <v>610</v>
      </c>
      <c r="E16" s="182" t="s">
        <v>609</v>
      </c>
      <c r="F16" s="51">
        <f>IFERROR(INDEX(contents!AA:AA,MATCH(A16,contents!V:V,0),1),"")</f>
        <v>45372</v>
      </c>
      <c r="G16" s="18" t="str">
        <f>IFERROR(INDEX(contents!B:B,MATCH(A16,contents!V:V,0),1),"")</f>
        <v>https://www.linkedin.com/feed/update/urn:li:activity:7176548151842000896</v>
      </c>
      <c r="H16" s="18" t="str">
        <f>IFERROR(VLOOKUP('contents 추가정보'!G16,contents!B:AB,27,FALSE),"")</f>
        <v/>
      </c>
    </row>
    <row r="17" spans="1:8">
      <c r="A17" s="8">
        <v>16</v>
      </c>
      <c r="B17" s="211" t="str">
        <f>IFERROR(INDEX(contents!A:A,MATCH(A17,contents!V:V,0),1),"")</f>
        <v>SK hynix solidifies its position as a leading AI memory company. Just seven months after the announcement of HBM3E development, SK hynix has become the world’s first to mass-produce the newest AI memory product, HBM3E, with ultra-high performance, and will start producing from late March.
Check out the news below for more information 📰
#SKhynix #HBM3E #DRAM #memory #AI #news
https://lnkd.in/eKuxraaQ</v>
      </c>
      <c r="C17" s="86" t="s">
        <v>731</v>
      </c>
      <c r="D17" s="86" t="s">
        <v>608</v>
      </c>
      <c r="E17" s="182" t="s">
        <v>609</v>
      </c>
      <c r="F17" s="51">
        <f>IFERROR(INDEX(contents!AA:AA,MATCH(A17,contents!V:V,0),1),"")</f>
        <v>45370</v>
      </c>
      <c r="G17" s="18" t="str">
        <f>IFERROR(INDEX(contents!B:B,MATCH(A17,contents!V:V,0),1),"")</f>
        <v>https://www.linkedin.com/feed/update/urn:li:activity:7175750163389370368</v>
      </c>
      <c r="H17" s="18" t="str">
        <f>IFERROR(VLOOKUP('contents 추가정보'!G17,contents!B:AB,27,FALSE),"")</f>
        <v/>
      </c>
    </row>
    <row r="18" spans="1:8">
      <c r="A18" s="8">
        <v>17</v>
      </c>
      <c r="B18" s="211" t="str">
        <f>IFERROR(INDEX(contents!A:A,MATCH(A18,contents!V:V,0),1),"")</f>
        <v>[Leading semiconductor advancements through material innovation]
Meet the SK hynix leader featured in this series! Head of Material Development Deokshin Kil, esteemed for his role in technological innovation within semiconductor material development. 
Since joining SK hynix in 1999, he's dedicated his career to material innovation, significantly contributing to the competitiveness of this field. 
Explore his endeavor to achieve a "Renaissance in Material Development"!
https://lnkd.in/gYTCRPC7
#SKhynix #Leader #News #MaterialDevelopment #Leadership #Journey #Semiconductor</v>
      </c>
      <c r="C18" s="86" t="s">
        <v>732</v>
      </c>
      <c r="D18" s="86" t="s">
        <v>611</v>
      </c>
      <c r="E18" s="182" t="s">
        <v>609</v>
      </c>
      <c r="F18" s="51">
        <f>IFERROR(INDEX(contents!AA:AA,MATCH(A18,contents!V:V,0),1),"")</f>
        <v>45364</v>
      </c>
      <c r="G18" s="18" t="str">
        <f>IFERROR(INDEX(contents!B:B,MATCH(A18,contents!V:V,0),1),"")</f>
        <v>https://www.linkedin.com/feed/update/urn:li:activity:7173641264750342144</v>
      </c>
      <c r="H18" s="18" t="str">
        <f>IFERROR(VLOOKUP('contents 추가정보'!G18,contents!B:AB,27,FALSE),"")</f>
        <v/>
      </c>
    </row>
    <row r="19" spans="1:8">
      <c r="A19" s="8">
        <v>18</v>
      </c>
      <c r="B19" s="211" t="str">
        <f>IFERROR(INDEX(contents!A:A,MATCH(A19,contents!V:V,0),1),"")</f>
        <v>Looking for SK hynix? 👀
At this year’s NVIDIA #GTC24, the booth will be number #1029.
We look forward to meeting you!
#SKhynix #NVIDIA #GTC #GTC24 #AI #Technology #booth #1029 #HBM3E</v>
      </c>
      <c r="C19" s="86" t="s">
        <v>733</v>
      </c>
      <c r="D19" s="86" t="s">
        <v>610</v>
      </c>
      <c r="E19" s="182" t="s">
        <v>606</v>
      </c>
      <c r="F19" s="51">
        <f>IFERROR(INDEX(contents!AA:AA,MATCH(A19,contents!V:V,0),1),"")</f>
        <v>45365</v>
      </c>
      <c r="G19" s="18" t="str">
        <f>IFERROR(INDEX(contents!B:B,MATCH(A19,contents!V:V,0),1),"")</f>
        <v>https://www.linkedin.com/feed/update/urn:li:activity:7173927639538130944</v>
      </c>
      <c r="H19" s="18" t="str">
        <f>IFERROR(VLOOKUP('contents 추가정보'!G19,contents!B:AB,27,FALSE),"")</f>
        <v/>
      </c>
    </row>
    <row r="20" spans="1:8">
      <c r="A20" s="8">
        <v>19</v>
      </c>
      <c r="B20" s="211" t="str">
        <f>IFERROR(INDEX(contents!A:A,MATCH(A20,contents!V:V,0),1),"")</f>
        <v>Discover the latest advancements in #CXL 3.1, which offers significant improvements in memory performance and server architecture. 
For in-depth insights, hear from Thomas Won Ha Choi, Ph.D, a leading expert at SK hynix.
https://lnkd.in/gDUNuGCQ
#SKhynix #CMM #AI #Memory #Server #Solution #DevCon</v>
      </c>
      <c r="C20" s="86" t="s">
        <v>734</v>
      </c>
      <c r="D20" s="86" t="s">
        <v>607</v>
      </c>
      <c r="E20" s="182" t="s">
        <v>609</v>
      </c>
      <c r="F20" s="51">
        <f>IFERROR(INDEX(contents!AA:AA,MATCH(A20,contents!V:V,0),1),"")</f>
        <v>45380</v>
      </c>
      <c r="G20" s="18" t="str">
        <f>IFERROR(INDEX(contents!B:B,MATCH(A20,contents!V:V,0),1),"")</f>
        <v>https://www.linkedin.com/feed/update/urn:li:activity:7179439667325407232</v>
      </c>
      <c r="H20" s="18" t="str">
        <f>IFERROR(VLOOKUP('contents 추가정보'!G20,contents!B:AB,27,FALSE),"")</f>
        <v/>
      </c>
    </row>
    <row r="21" spans="1:8">
      <c r="A21" s="8">
        <v>20</v>
      </c>
      <c r="B21" s="211" t="str">
        <f>IFERROR(INDEX(contents!A:A,MATCH(A21,contents!V:V,0),1),"")</f>
        <v>Let's celebrate World Water Day and take a moment to reflect on the importance of water.💧
It's crucial to remember the value of water and to pay attention to better water management practices. For the sake of our ecosystems and society, SK hynix plans to reduce 35% water withdrawal intensity by 2026 and aims to save 600 million tons of water conservation by 2030.
Explore SK hynix's sustainable water usage to improve the water management!
#SKhynix #WorldWaterDay #eco #ESG #Water</v>
      </c>
      <c r="C21" s="86" t="s">
        <v>735</v>
      </c>
      <c r="D21" s="86" t="s">
        <v>613</v>
      </c>
      <c r="E21" s="182" t="s">
        <v>606</v>
      </c>
      <c r="F21" s="51">
        <f>IFERROR(INDEX(contents!AA:AA,MATCH(A21,contents!V:V,0),1),"")</f>
        <v>45373</v>
      </c>
      <c r="G21" s="18" t="str">
        <f>IFERROR(INDEX(contents!B:B,MATCH(A21,contents!V:V,0),1),"")</f>
        <v>https://www.linkedin.com/feed/update/urn:li:activity:7176859369244909570</v>
      </c>
      <c r="H21" s="18" t="str">
        <f>IFERROR(VLOOKUP('contents 추가정보'!G21,contents!B:AB,27,FALSE),"")</f>
        <v/>
      </c>
    </row>
    <row r="22" spans="1:8">
      <c r="A22" s="8">
        <v>21</v>
      </c>
      <c r="B22" s="211" t="str">
        <f>IFERROR(INDEX(contents!A:A,MATCH(A22,contents!V:V,0),1),"")</f>
        <v>“Create the highest, grandest vision possible for your life, because you become what you believe.”
In a special interview to mark IWD 2024 on March 8, the SK hynix asked six women from the company’s offices around the world to describe a belief that motivates them to improve themselves.
From striving for the highest standards to spreading positive energy, discover the beliefs that have taken the interviewees to the next level👑
https://lnkd.in/gy9Ha9Zw
#SKhynix #InternationalWomensDay #IWD24 #interview #ESG</v>
      </c>
      <c r="C22" s="86" t="s">
        <v>736</v>
      </c>
      <c r="D22" s="86" t="s">
        <v>613</v>
      </c>
      <c r="E22" s="182" t="s">
        <v>609</v>
      </c>
      <c r="F22" s="51">
        <f>IFERROR(INDEX(contents!AA:AA,MATCH(A22,contents!V:V,0),1),"")</f>
        <v>45359</v>
      </c>
      <c r="G22" s="18" t="str">
        <f>IFERROR(INDEX(contents!B:B,MATCH(A22,contents!V:V,0),1),"")</f>
        <v>https://www.linkedin.com/feed/update/urn:li:activity:7171829525461262336</v>
      </c>
      <c r="H22" s="18" t="str">
        <f>IFERROR(VLOOKUP('contents 추가정보'!G22,contents!B:AB,27,FALSE),"")</f>
        <v/>
      </c>
    </row>
    <row r="23" spans="1:8">
      <c r="A23" s="8">
        <v>22</v>
      </c>
      <c r="B23" s="211" t="str">
        <f>IFERROR(INDEX(contents!A:A,MATCH(A23,contents!V:V,0),1),"")</f>
        <v>SK hynix's MCRDIMM breaks away from the traditional DDR5 concept by adding a customized module to individual #DRAM units to boost speed.
It maintains the original DDR5 DRAM units but designed the module to enable simultaneous usage of two ranks instead of one, utilizing data buffers to transmit 128 bytes at once.
Meet #MCRDIMM, the high-capacity server module, ready for the era of #AI servers!
#SKhynix #semiconductor #MCRDIMM #DDR5 #module #technology</v>
      </c>
      <c r="C23" s="86" t="s">
        <v>737</v>
      </c>
      <c r="D23" s="86" t="s">
        <v>607</v>
      </c>
      <c r="E23" s="182" t="s">
        <v>606</v>
      </c>
      <c r="F23" s="51">
        <f>IFERROR(INDEX(contents!AA:AA,MATCH(A23,contents!V:V,0),1),"")</f>
        <v>45355</v>
      </c>
      <c r="G23" s="18" t="str">
        <f>IFERROR(INDEX(contents!B:B,MATCH(A23,contents!V:V,0),1),"")</f>
        <v>https://www.linkedin.com/feed/update/urn:li:activity:7170712167283933184</v>
      </c>
      <c r="H23" s="18" t="str">
        <f>IFERROR(VLOOKUP('contents 추가정보'!G23,contents!B:AB,27,FALSE),"")</f>
        <v/>
      </c>
    </row>
    <row r="24" spans="1:8">
      <c r="A24" s="8">
        <v>23</v>
      </c>
      <c r="B24" s="211" t="str">
        <f>IFERROR(INDEX(contents!A:A,MATCH(A24,contents!V:V,0),1),"")</f>
        <v>The world's largest AI conference, #GTC, is about to start! Make sure to visit booth #1029 at GTC 2024, which will take place from March 18-21. As a leader in the AI memory market, SK hynix is proud to reveal its astonishing technologies at the upcoming #GTC2024.
Aren't you excited to see how SK hynix will transform the GPU market? Stay tuned for our upcoming news!
#SKhynix #GTC2024 #NVIDIA #AI #Memory #GPU</v>
      </c>
      <c r="C24" s="86" t="s">
        <v>738</v>
      </c>
      <c r="D24" s="86" t="s">
        <v>610</v>
      </c>
      <c r="E24" s="182" t="s">
        <v>606</v>
      </c>
      <c r="F24" s="51">
        <f>IFERROR(INDEX(contents!AA:AA,MATCH(A24,contents!V:V,0),1),"")</f>
        <v>45359</v>
      </c>
      <c r="G24" s="18" t="str">
        <f>IFERROR(INDEX(contents!B:B,MATCH(A24,contents!V:V,0),1),"")</f>
        <v>https://www.linkedin.com/feed/update/urn:li:activity:7171799335930646528</v>
      </c>
      <c r="H24" s="18" t="str">
        <f>IFERROR(VLOOKUP('contents 추가정보'!G24,contents!B:AB,27,FALSE),"")</f>
        <v/>
      </c>
    </row>
    <row r="25" spans="1:8">
      <c r="A25" s="8">
        <v>24</v>
      </c>
      <c r="B25" s="211" t="str">
        <f>IFERROR(INDEX(contents!A:A,MATCH(A25,contents!V:V,0),1),"")</f>
        <v>Introducing SK hynix 3D booth graphics that will present innovative memory technology to everyone at #GTC24.
You’re not going to want to miss out, so make sure to visit us at our booth!
#SKhynix #NVIDIA #GTC #GTC24 #3D #booth #1029</v>
      </c>
      <c r="C25" s="86" t="s">
        <v>739</v>
      </c>
      <c r="D25" s="86" t="s">
        <v>610</v>
      </c>
      <c r="E25" s="182" t="s">
        <v>609</v>
      </c>
      <c r="F25" s="51">
        <f>IFERROR(INDEX(contents!AA:AA,MATCH(A25,contents!V:V,0),1),"")</f>
        <v>45365</v>
      </c>
      <c r="G25" s="18" t="str">
        <f>IFERROR(INDEX(contents!B:B,MATCH(A25,contents!V:V,0),1),"")</f>
        <v>https://www.linkedin.com/feed/update/urn:li:activity:7174003900771975169</v>
      </c>
      <c r="H25" s="18" t="str">
        <f>IFERROR(VLOOKUP('contents 추가정보'!G25,contents!B:AB,27,FALSE),"")</f>
        <v/>
      </c>
    </row>
    <row r="26" spans="1:8">
      <c r="A26" s="8">
        <v>25</v>
      </c>
      <c r="B26" s="211" t="str">
        <f>IFERROR(INDEX(contents!A:A,MATCH(A26,contents!V:V,0),1),"")</f>
        <v>[Memory, The Power of AI]
#AI technology is reshaping our everyday lives. Generative AI has emerged as one of the most exciting and promising technologies today. Have you noticed the changes it's bringing?
SK hynix has strengthened its distinct position in the HBM market by developing the revolutionary packaging technology MR-MUF (Mass Reflow-Molded Underfill). SK hynix has applied this advanced MR-MUF technology to the #HBM3E, which boasts the most outstanding performance, thereby setting new standards in AI memory.
Check out the amazing #HBM technology of SK hynix, the AI memory industry leader, through the video below!
https://lnkd.in/gQYnhyu2
#SKhynix #HBM3 #GAI #MR #MUF</v>
      </c>
      <c r="C26" s="86" t="s">
        <v>740</v>
      </c>
      <c r="D26" s="86" t="s">
        <v>607</v>
      </c>
      <c r="E26" s="182" t="s">
        <v>609</v>
      </c>
      <c r="F26" s="51">
        <f>IFERROR(INDEX(contents!AA:AA,MATCH(A26,contents!V:V,0),1),"")</f>
        <v>45355</v>
      </c>
      <c r="G26" s="18" t="str">
        <f>IFERROR(INDEX(contents!B:B,MATCH(A26,contents!V:V,0),1),"")</f>
        <v>https://www.linkedin.com/feed/update/urn:li:activity:7170350999142850560</v>
      </c>
      <c r="H26" s="18">
        <f>IFERROR(VLOOKUP('contents 추가정보'!G26,contents!B:AB,27,FALSE),"")</f>
        <v>1</v>
      </c>
    </row>
    <row r="27" spans="1:8">
      <c r="A27" s="8">
        <v>26</v>
      </c>
      <c r="B27" s="211" t="str">
        <f>IFERROR(INDEX(contents!A:A,MATCH(A27,contents!V:V,0),1),"")</f>
        <v>SK hynix is developing reliable and efficient automotive memory solutions with its many partners in the automotive supply chain.
Explore SK hynix’s diverse automotive product lineup at #GTC24 and envision the new future of automobiles in the era of AI!
#SKhynix #GTC #GTC24 #Automotive</v>
      </c>
      <c r="C27" s="86" t="s">
        <v>741</v>
      </c>
      <c r="D27" s="86" t="s">
        <v>607</v>
      </c>
      <c r="E27" s="182" t="s">
        <v>609</v>
      </c>
      <c r="F27" s="51">
        <f>IFERROR(INDEX(contents!AA:AA,MATCH(A27,contents!V:V,0),1),"")</f>
        <v>45362</v>
      </c>
      <c r="G27" s="18" t="str">
        <f>IFERROR(INDEX(contents!B:B,MATCH(A27,contents!V:V,0),1),"")</f>
        <v>https://www.linkedin.com/feed/update/urn:li:activity:7172876483021983744</v>
      </c>
      <c r="H27" s="18">
        <f>IFERROR(VLOOKUP('contents 추가정보'!G27,contents!B:AB,27,FALSE),"")</f>
        <v>2</v>
      </c>
    </row>
    <row r="28" spans="1:8">
      <c r="A28" s="8">
        <v>27</v>
      </c>
      <c r="B28" s="211" t="str">
        <f>IFERROR(INDEX(contents!A:A,MATCH(A28,contents!V:V,0),1),"")</f>
        <v>Did you back-up your data?
Losing your files is way more common than you’d think.
You need someone to safeguard your valuable data even in unforeseen circumstances!
SK hynix stands with you as your shield, protecting your data.🛡️
#SKhynix #data #backup #SSD #PC</v>
      </c>
      <c r="C28" s="86" t="s">
        <v>742</v>
      </c>
      <c r="D28" s="86" t="s">
        <v>613</v>
      </c>
      <c r="E28" s="182" t="s">
        <v>606</v>
      </c>
      <c r="F28" s="51">
        <f>IFERROR(INDEX(contents!AA:AA,MATCH(A28,contents!V:V,0),1),"")</f>
        <v>45380</v>
      </c>
      <c r="G28" s="18" t="str">
        <f>IFERROR(INDEX(contents!B:B,MATCH(A28,contents!V:V,0),1),"")</f>
        <v>https://www.linkedin.com/feed/update/urn:li:activity:7179794495150940160</v>
      </c>
      <c r="H28" s="18">
        <f>IFERROR(VLOOKUP('contents 추가정보'!G28,contents!B:AB,27,FALSE),"")</f>
        <v>3</v>
      </c>
    </row>
    <row r="29" spans="1:8">
      <c r="A29" s="8">
        <v>28</v>
      </c>
      <c r="B29" s="211" t="str">
        <f>IFERROR(INDEX(contents!A:A,MATCH(A29,contents!V:V,0),1),"")</f>
        <v>What are you most looking forward to at #GTC24 this year? At this event, SK hynix plans to introduce various products. 
Let us know which item you are most excited about!
#SKhynix #GTC #Automotive #CXL #GDDR7 #HBM3E #AI</v>
      </c>
      <c r="C29" s="86" t="s">
        <v>743</v>
      </c>
      <c r="D29" s="86" t="s">
        <v>610</v>
      </c>
      <c r="E29" s="182" t="s">
        <v>744</v>
      </c>
      <c r="F29" s="51">
        <f>IFERROR(INDEX(contents!AA:AA,MATCH(A29,contents!V:V,0),1),"")</f>
        <v>45369</v>
      </c>
      <c r="G29" s="18" t="str">
        <f>IFERROR(INDEX(contents!B:B,MATCH(A29,contents!V:V,0),1),"")</f>
        <v>https://www.linkedin.com/feed/update/urn:li:activity:7175478074170376193</v>
      </c>
      <c r="H29" s="18" t="str">
        <f>IFERROR(VLOOKUP('contents 추가정보'!G29,contents!B:AB,27,FALSE),"")</f>
        <v/>
      </c>
    </row>
    <row r="30" spans="1:8">
      <c r="A30" s="8">
        <v>29</v>
      </c>
      <c r="B30" s="211" t="str">
        <f>IFERROR(INDEX(contents!A:A,MATCH(A30,contents!V:V,0),1),"")</f>
        <v>SK hynix is creating something special through volunteer within their communities✨</v>
      </c>
      <c r="C30" s="86" t="s">
        <v>745</v>
      </c>
      <c r="D30" s="86" t="s">
        <v>611</v>
      </c>
      <c r="E30" s="182" t="s">
        <v>612</v>
      </c>
      <c r="F30" s="51">
        <f>IFERROR(INDEX(contents!AA:AA,MATCH(A30,contents!V:V,0),1),"")</f>
        <v>45356</v>
      </c>
      <c r="G30" s="18" t="str">
        <f>IFERROR(INDEX(contents!B:B,MATCH(A30,contents!V:V,0),1),"")</f>
        <v>https://www.linkedin.com/feed/update/urn:li:activity:7170742374384566272</v>
      </c>
      <c r="H30" s="18" t="str">
        <f>IFERROR(VLOOKUP('contents 추가정보'!G30,contents!B:AB,27,FALSE),"")</f>
        <v/>
      </c>
    </row>
    <row r="31" spans="1:8">
      <c r="A31" s="8">
        <v>30</v>
      </c>
      <c r="B31" s="211" t="str">
        <f>IFERROR(INDEX(contents!A:A,MATCH(A31,contents!V:V,0),1),"")</f>
        <v/>
      </c>
      <c r="C31" s="86"/>
      <c r="D31" s="86"/>
      <c r="E31" s="182"/>
      <c r="F31" s="51" t="str">
        <f>IFERROR(INDEX(contents!AA:AA,MATCH(A31,contents!V:V,0),1),"")</f>
        <v/>
      </c>
      <c r="G31" s="18" t="str">
        <f>IFERROR(INDEX(contents!B:B,MATCH(A31,contents!V:V,0),1),"")</f>
        <v/>
      </c>
      <c r="H31" s="18" t="str">
        <f>IFERROR(VLOOKUP('contents 추가정보'!G31,contents!B:AB,27,FALSE),"")</f>
        <v/>
      </c>
    </row>
    <row r="32" spans="1:8">
      <c r="A32" s="8">
        <v>31</v>
      </c>
      <c r="B32" s="211" t="str">
        <f>IFERROR(INDEX(contents!A:A,MATCH(A32,contents!V:V,0),1),"")</f>
        <v/>
      </c>
      <c r="C32" s="86"/>
      <c r="D32" s="86"/>
      <c r="E32" s="182"/>
      <c r="F32" s="51" t="str">
        <f>IFERROR(INDEX(contents!AA:AA,MATCH(A32,contents!V:V,0),1),"")</f>
        <v/>
      </c>
      <c r="G32" s="18" t="str">
        <f>IFERROR(INDEX(contents!B:B,MATCH(A32,contents!V:V,0),1),"")</f>
        <v/>
      </c>
      <c r="H32" s="18" t="str">
        <f>IFERROR(VLOOKUP('contents 추가정보'!G32,contents!B:AB,27,FALSE),"")</f>
        <v/>
      </c>
    </row>
    <row r="33" spans="1:8">
      <c r="A33" s="8">
        <v>32</v>
      </c>
      <c r="B33" s="211" t="str">
        <f>IFERROR(INDEX(contents!A:A,MATCH(A33,contents!V:V,0),1),"")</f>
        <v/>
      </c>
      <c r="C33" s="86"/>
      <c r="D33" s="86"/>
      <c r="E33" s="182"/>
      <c r="F33" s="51" t="str">
        <f>IFERROR(INDEX(contents!AA:AA,MATCH(A33,contents!V:V,0),1),"")</f>
        <v/>
      </c>
      <c r="G33" s="18" t="str">
        <f>IFERROR(INDEX(contents!B:B,MATCH(A33,contents!V:V,0),1),"")</f>
        <v/>
      </c>
      <c r="H33" s="18" t="str">
        <f>IFERROR(VLOOKUP('contents 추가정보'!G33,contents!B:AB,27,FALSE),"")</f>
        <v/>
      </c>
    </row>
    <row r="34" spans="1:8">
      <c r="A34" s="8">
        <v>33</v>
      </c>
      <c r="B34" s="211" t="str">
        <f>IFERROR(INDEX(contents!A:A,MATCH(A34,contents!V:V,0),1),"")</f>
        <v/>
      </c>
      <c r="C34" s="86"/>
      <c r="D34" s="86"/>
      <c r="E34" s="182"/>
      <c r="F34" s="51" t="str">
        <f>IFERROR(INDEX(contents!AA:AA,MATCH(A34,contents!V:V,0),1),"")</f>
        <v/>
      </c>
      <c r="G34" s="18" t="str">
        <f>IFERROR(INDEX(contents!B:B,MATCH(A34,contents!V:V,0),1),"")</f>
        <v/>
      </c>
      <c r="H34" s="18" t="str">
        <f>IFERROR(VLOOKUP('contents 추가정보'!G34,contents!B:AB,27,FALSE),"")</f>
        <v/>
      </c>
    </row>
    <row r="35" spans="1:8">
      <c r="A35" s="8">
        <v>34</v>
      </c>
      <c r="B35" s="211" t="str">
        <f>IFERROR(INDEX(contents!A:A,MATCH(A35,contents!V:V,0),1),"")</f>
        <v/>
      </c>
      <c r="C35" s="86"/>
      <c r="D35" s="86"/>
      <c r="E35" s="182"/>
      <c r="F35" s="51" t="str">
        <f>IFERROR(INDEX(contents!AA:AA,MATCH(A35,contents!V:V,0),1),"")</f>
        <v/>
      </c>
      <c r="G35" s="18" t="str">
        <f>IFERROR(INDEX(contents!B:B,MATCH(A35,contents!V:V,0),1),"")</f>
        <v/>
      </c>
      <c r="H35" s="18" t="str">
        <f>IFERROR(VLOOKUP('contents 추가정보'!G35,contents!B:AB,27,FALSE),"")</f>
        <v/>
      </c>
    </row>
    <row r="36" spans="1:8">
      <c r="A36" s="8">
        <v>35</v>
      </c>
      <c r="B36" s="211" t="str">
        <f>IFERROR(INDEX(contents!A:A,MATCH(A36,contents!V:V,0),1),"")</f>
        <v/>
      </c>
      <c r="C36" s="86"/>
      <c r="D36" s="86"/>
      <c r="E36" s="182"/>
      <c r="F36" s="51" t="str">
        <f>IFERROR(INDEX(contents!AA:AA,MATCH(A36,contents!V:V,0),1),"")</f>
        <v/>
      </c>
      <c r="G36" s="18" t="str">
        <f>IFERROR(INDEX(contents!B:B,MATCH(A36,contents!V:V,0),1),"")</f>
        <v/>
      </c>
      <c r="H36" s="18" t="str">
        <f>IFERROR(VLOOKUP('contents 추가정보'!G36,contents!B:AB,27,FALSE),"")</f>
        <v/>
      </c>
    </row>
    <row r="37" spans="1:8">
      <c r="A37" s="8">
        <v>36</v>
      </c>
      <c r="B37" s="211" t="str">
        <f>IFERROR(INDEX(contents!A:A,MATCH(A37,contents!V:V,0),1),"")</f>
        <v/>
      </c>
      <c r="C37" s="86"/>
      <c r="D37" s="86"/>
      <c r="E37" s="182"/>
      <c r="F37" s="51" t="str">
        <f>IFERROR(INDEX(contents!AA:AA,MATCH(A37,contents!V:V,0),1),"")</f>
        <v/>
      </c>
      <c r="G37" s="18" t="str">
        <f>IFERROR(INDEX(contents!B:B,MATCH(A37,contents!V:V,0),1),"")</f>
        <v/>
      </c>
      <c r="H37" s="18" t="str">
        <f>IFERROR(VLOOKUP('contents 추가정보'!G37,contents!B:AB,27,FALSE),"")</f>
        <v/>
      </c>
    </row>
    <row r="38" spans="1:8">
      <c r="A38" s="8">
        <v>37</v>
      </c>
      <c r="B38" s="211" t="str">
        <f>IFERROR(INDEX(contents!A:A,MATCH(A38,contents!V:V,0),1),"")</f>
        <v/>
      </c>
      <c r="C38" s="86"/>
      <c r="D38" s="86"/>
      <c r="E38" s="182"/>
      <c r="F38" s="51" t="str">
        <f>IFERROR(INDEX(contents!AA:AA,MATCH(A38,contents!V:V,0),1),"")</f>
        <v/>
      </c>
      <c r="G38" s="18" t="str">
        <f>IFERROR(INDEX(contents!B:B,MATCH(A38,contents!V:V,0),1),"")</f>
        <v/>
      </c>
      <c r="H38" s="18" t="str">
        <f>IFERROR(VLOOKUP('contents 추가정보'!G38,contents!B:AB,27,FALSE),"")</f>
        <v/>
      </c>
    </row>
    <row r="39" spans="1:8">
      <c r="A39" s="8">
        <v>38</v>
      </c>
      <c r="B39" s="211" t="str">
        <f>IFERROR(INDEX(contents!A:A,MATCH(A39,contents!V:V,0),1),"")</f>
        <v/>
      </c>
      <c r="C39" s="86"/>
      <c r="D39" s="86"/>
      <c r="E39" s="182"/>
      <c r="F39" s="51" t="str">
        <f>IFERROR(INDEX(contents!AA:AA,MATCH(A39,contents!V:V,0),1),"")</f>
        <v/>
      </c>
      <c r="G39" s="18" t="str">
        <f>IFERROR(INDEX(contents!B:B,MATCH(A39,contents!V:V,0),1),"")</f>
        <v/>
      </c>
      <c r="H39" s="18" t="str">
        <f>IFERROR(VLOOKUP('contents 추가정보'!G39,contents!B:AB,27,FALSE),"")</f>
        <v/>
      </c>
    </row>
    <row r="40" spans="1:8">
      <c r="A40" s="8">
        <v>39</v>
      </c>
      <c r="B40" s="211" t="str">
        <f>IFERROR(INDEX(contents!A:A,MATCH(A40,contents!V:V,0),1),"")</f>
        <v/>
      </c>
      <c r="C40" s="86"/>
      <c r="D40" s="86"/>
      <c r="E40" s="182"/>
      <c r="F40" s="51" t="str">
        <f>IFERROR(INDEX(contents!AA:AA,MATCH(A40,contents!V:V,0),1),"")</f>
        <v/>
      </c>
      <c r="G40" s="18" t="str">
        <f>IFERROR(INDEX(contents!B:B,MATCH(A40,contents!V:V,0),1),"")</f>
        <v/>
      </c>
      <c r="H40" s="18" t="str">
        <f>IFERROR(VLOOKUP('contents 추가정보'!G40,contents!B:AB,27,FALSE),"")</f>
        <v/>
      </c>
    </row>
    <row r="41" spans="1:8">
      <c r="A41" s="8">
        <v>40</v>
      </c>
      <c r="B41" s="211" t="str">
        <f>IFERROR(INDEX(contents!A:A,MATCH(A41,contents!V:V,0),1),"")</f>
        <v/>
      </c>
      <c r="C41" s="86"/>
      <c r="D41" s="86"/>
      <c r="E41" s="182"/>
      <c r="F41" s="51" t="str">
        <f>IFERROR(INDEX(contents!AA:AA,MATCH(A41,contents!V:V,0),1),"")</f>
        <v/>
      </c>
      <c r="G41" s="18" t="str">
        <f>IFERROR(INDEX(contents!B:B,MATCH(A41,contents!V:V,0),1),"")</f>
        <v/>
      </c>
      <c r="H41" s="18" t="str">
        <f>IFERROR(VLOOKUP('contents 추가정보'!G41,contents!B:AB,27,FALSE),"")</f>
        <v/>
      </c>
    </row>
    <row r="42" spans="1:8">
      <c r="A42" s="8">
        <v>41</v>
      </c>
      <c r="B42" s="211" t="str">
        <f>IFERROR(INDEX(contents!A:A,MATCH(A42,contents!V:V,0),1),"")</f>
        <v/>
      </c>
      <c r="C42" s="86"/>
      <c r="D42" s="86"/>
      <c r="E42" s="182"/>
      <c r="F42" s="51" t="str">
        <f>IFERROR(INDEX(contents!AA:AA,MATCH(A42,contents!V:V,0),1),"")</f>
        <v/>
      </c>
      <c r="G42" s="18" t="str">
        <f>IFERROR(INDEX(contents!B:B,MATCH(A42,contents!V:V,0),1),"")</f>
        <v/>
      </c>
      <c r="H42" s="18" t="str">
        <f>IFERROR(VLOOKUP('contents 추가정보'!G42,contents!B:AB,27,FALSE),"")</f>
        <v/>
      </c>
    </row>
    <row r="43" spans="1:8">
      <c r="A43" s="8">
        <v>42</v>
      </c>
      <c r="B43" s="211" t="str">
        <f>IFERROR(INDEX(contents!A:A,MATCH(A43,contents!V:V,0),1),"")</f>
        <v/>
      </c>
      <c r="C43" s="86"/>
      <c r="D43" s="86"/>
      <c r="E43" s="182"/>
      <c r="F43" s="51" t="str">
        <f>IFERROR(INDEX(contents!AA:AA,MATCH(A43,contents!V:V,0),1),"")</f>
        <v/>
      </c>
      <c r="G43" s="18" t="str">
        <f>IFERROR(INDEX(contents!B:B,MATCH(A43,contents!V:V,0),1),"")</f>
        <v/>
      </c>
      <c r="H43" s="18" t="str">
        <f>IFERROR(VLOOKUP('contents 추가정보'!G43,contents!B:AB,27,FALSE),"")</f>
        <v/>
      </c>
    </row>
    <row r="44" spans="1:8">
      <c r="A44" s="8">
        <v>43</v>
      </c>
      <c r="B44" s="211" t="str">
        <f>IFERROR(INDEX(contents!A:A,MATCH(A44,contents!V:V,0),1),"")</f>
        <v/>
      </c>
      <c r="C44" s="86"/>
      <c r="D44" s="86"/>
      <c r="E44" s="182"/>
      <c r="F44" s="51" t="str">
        <f>IFERROR(INDEX(contents!AA:AA,MATCH(A44,contents!V:V,0),1),"")</f>
        <v/>
      </c>
      <c r="G44" s="18" t="str">
        <f>IFERROR(INDEX(contents!B:B,MATCH(A44,contents!V:V,0),1),"")</f>
        <v/>
      </c>
      <c r="H44" s="18" t="str">
        <f>IFERROR(VLOOKUP('contents 추가정보'!G44,contents!B:AB,27,FALSE),"")</f>
        <v/>
      </c>
    </row>
    <row r="45" spans="1:8">
      <c r="A45" s="8">
        <v>44</v>
      </c>
      <c r="B45" s="211" t="str">
        <f>IFERROR(INDEX(contents!A:A,MATCH(A45,contents!V:V,0),1),"")</f>
        <v/>
      </c>
      <c r="C45" s="86"/>
      <c r="D45" s="86"/>
      <c r="E45" s="182"/>
      <c r="F45" s="51" t="str">
        <f>IFERROR(INDEX(contents!AA:AA,MATCH(A45,contents!V:V,0),1),"")</f>
        <v/>
      </c>
      <c r="G45" s="18" t="str">
        <f>IFERROR(INDEX(contents!B:B,MATCH(A45,contents!V:V,0),1),"")</f>
        <v/>
      </c>
      <c r="H45" s="18" t="str">
        <f>IFERROR(VLOOKUP('contents 추가정보'!G45,contents!B:AB,27,FALSE),"")</f>
        <v/>
      </c>
    </row>
    <row r="46" spans="1:8">
      <c r="A46" s="8">
        <v>45</v>
      </c>
      <c r="B46" s="211" t="str">
        <f>IFERROR(INDEX(contents!A:A,MATCH(A46,contents!V:V,0),1),"")</f>
        <v/>
      </c>
      <c r="C46" s="86"/>
      <c r="D46" s="86"/>
      <c r="E46" s="182"/>
      <c r="F46" s="51" t="str">
        <f>IFERROR(INDEX(contents!AA:AA,MATCH(A46,contents!V:V,0),1),"")</f>
        <v/>
      </c>
      <c r="G46" s="18" t="str">
        <f>IFERROR(INDEX(contents!B:B,MATCH(A46,contents!V:V,0),1),"")</f>
        <v/>
      </c>
      <c r="H46" s="18" t="str">
        <f>IFERROR(VLOOKUP('contents 추가정보'!G46,contents!B:AB,27,FALSE),"")</f>
        <v/>
      </c>
    </row>
    <row r="47" spans="1:8">
      <c r="A47" s="8">
        <v>46</v>
      </c>
      <c r="B47" s="211" t="str">
        <f>IFERROR(INDEX(contents!A:A,MATCH(A47,contents!V:V,0),1),"")</f>
        <v/>
      </c>
      <c r="C47" s="86"/>
      <c r="D47" s="86"/>
      <c r="E47" s="182"/>
      <c r="F47" s="51" t="str">
        <f>IFERROR(INDEX(contents!AA:AA,MATCH(A47,contents!V:V,0),1),"")</f>
        <v/>
      </c>
      <c r="G47" s="18" t="str">
        <f>IFERROR(INDEX(contents!B:B,MATCH(A47,contents!V:V,0),1),"")</f>
        <v/>
      </c>
      <c r="H47" s="18" t="str">
        <f>IFERROR(VLOOKUP('contents 추가정보'!G47,contents!B:AB,27,FALSE),"")</f>
        <v/>
      </c>
    </row>
    <row r="48" spans="1:8">
      <c r="A48" s="8">
        <v>47</v>
      </c>
      <c r="B48" s="211" t="str">
        <f>IFERROR(INDEX(contents!A:A,MATCH(A48,contents!V:V,0),1),"")</f>
        <v/>
      </c>
      <c r="C48" s="86"/>
      <c r="D48" s="86"/>
      <c r="E48" s="182"/>
      <c r="F48" s="51" t="str">
        <f>IFERROR(INDEX(contents!AA:AA,MATCH(A48,contents!V:V,0),1),"")</f>
        <v/>
      </c>
      <c r="G48" s="18" t="str">
        <f>IFERROR(INDEX(contents!B:B,MATCH(A48,contents!V:V,0),1),"")</f>
        <v/>
      </c>
      <c r="H48" s="18" t="str">
        <f>IFERROR(VLOOKUP('contents 추가정보'!G48,contents!B:AB,27,FALSE),"")</f>
        <v/>
      </c>
    </row>
    <row r="49" spans="1:8">
      <c r="A49" s="8">
        <v>48</v>
      </c>
      <c r="B49" s="211" t="str">
        <f>IFERROR(INDEX(contents!A:A,MATCH(A49,contents!V:V,0),1),"")</f>
        <v/>
      </c>
      <c r="C49" s="86"/>
      <c r="D49" s="86"/>
      <c r="E49" s="182"/>
      <c r="F49" s="51" t="str">
        <f>IFERROR(INDEX(contents!AA:AA,MATCH(A49,contents!V:V,0),1),"")</f>
        <v/>
      </c>
      <c r="G49" s="18" t="str">
        <f>IFERROR(INDEX(contents!B:B,MATCH(A49,contents!V:V,0),1),"")</f>
        <v/>
      </c>
      <c r="H49" s="18" t="str">
        <f>IFERROR(VLOOKUP('contents 추가정보'!G49,contents!B:AB,27,FALSE),"")</f>
        <v/>
      </c>
    </row>
    <row r="50" spans="1:8">
      <c r="A50" s="8">
        <v>49</v>
      </c>
      <c r="B50" s="211" t="str">
        <f>IFERROR(INDEX(contents!A:A,MATCH(A50,contents!V:V,0),1),"")</f>
        <v/>
      </c>
      <c r="C50" s="86"/>
      <c r="D50" s="86"/>
      <c r="E50" s="182"/>
      <c r="F50" s="51" t="str">
        <f>IFERROR(INDEX(contents!AA:AA,MATCH(A50,contents!V:V,0),1),"")</f>
        <v/>
      </c>
      <c r="G50" s="18" t="str">
        <f>IFERROR(INDEX(contents!B:B,MATCH(A50,contents!V:V,0),1),"")</f>
        <v/>
      </c>
      <c r="H50" s="18" t="str">
        <f>IFERROR(VLOOKUP('contents 추가정보'!G50,contents!B:AB,27,FALSE),"")</f>
        <v/>
      </c>
    </row>
    <row r="51" spans="1:8">
      <c r="A51" s="8">
        <v>50</v>
      </c>
      <c r="B51" s="211" t="str">
        <f>IFERROR(INDEX(contents!A:A,MATCH(A51,contents!V:V,0),1),"")</f>
        <v/>
      </c>
      <c r="C51" s="86"/>
      <c r="D51" s="86"/>
      <c r="E51" s="182"/>
      <c r="F51" s="51" t="str">
        <f>IFERROR(INDEX(contents!AA:AA,MATCH(A51,contents!V:V,0),1),"")</f>
        <v/>
      </c>
      <c r="G51" s="18" t="str">
        <f>IFERROR(INDEX(contents!B:B,MATCH(A51,contents!V:V,0),1),"")</f>
        <v/>
      </c>
      <c r="H51" s="18" t="str">
        <f>IFERROR(VLOOKUP('contents 추가정보'!G51,contents!B:AB,27,FALSE),"")</f>
        <v/>
      </c>
    </row>
    <row r="52" spans="1:8">
      <c r="A52" s="8">
        <v>51</v>
      </c>
      <c r="B52" s="211" t="str">
        <f>IFERROR(INDEX(contents!A:A,MATCH(A52,contents!V:V,0),1),"")</f>
        <v/>
      </c>
      <c r="C52" s="86"/>
      <c r="D52" s="86"/>
      <c r="E52" s="182"/>
      <c r="F52" s="51" t="str">
        <f>IFERROR(INDEX(contents!AA:AA,MATCH(A52,contents!V:V,0),1),"")</f>
        <v/>
      </c>
      <c r="G52" s="18" t="str">
        <f>IFERROR(INDEX(contents!B:B,MATCH(A52,contents!V:V,0),1),"")</f>
        <v/>
      </c>
      <c r="H52" s="18" t="str">
        <f>IFERROR(VLOOKUP('contents 추가정보'!G52,contents!B:AB,27,FALSE),"")</f>
        <v/>
      </c>
    </row>
    <row r="53" spans="1:8">
      <c r="A53" s="8">
        <v>52</v>
      </c>
      <c r="B53" s="211" t="str">
        <f>IFERROR(INDEX(contents!A:A,MATCH(A53,contents!V:V,0),1),"")</f>
        <v/>
      </c>
      <c r="C53" s="86"/>
      <c r="D53" s="86"/>
      <c r="E53" s="182"/>
      <c r="F53" s="51" t="str">
        <f>IFERROR(INDEX(contents!AA:AA,MATCH(A53,contents!V:V,0),1),"")</f>
        <v/>
      </c>
      <c r="G53" s="18" t="str">
        <f>IFERROR(INDEX(contents!B:B,MATCH(A53,contents!V:V,0),1),"")</f>
        <v/>
      </c>
      <c r="H53" s="18" t="str">
        <f>IFERROR(VLOOKUP('contents 추가정보'!G53,contents!B:AB,27,FALSE),"")</f>
        <v/>
      </c>
    </row>
    <row r="54" spans="1:8">
      <c r="A54" s="8">
        <v>53</v>
      </c>
      <c r="B54" s="211" t="str">
        <f>IFERROR(INDEX(contents!A:A,MATCH(A54,contents!V:V,0),1),"")</f>
        <v/>
      </c>
      <c r="C54" s="86"/>
      <c r="D54" s="86"/>
      <c r="E54" s="182"/>
      <c r="F54" s="51" t="str">
        <f>IFERROR(INDEX(contents!AA:AA,MATCH(A54,contents!V:V,0),1),"")</f>
        <v/>
      </c>
      <c r="G54" s="18" t="str">
        <f>IFERROR(INDEX(contents!B:B,MATCH(A54,contents!V:V,0),1),"")</f>
        <v/>
      </c>
      <c r="H54" s="18" t="str">
        <f>IFERROR(VLOOKUP('contents 추가정보'!G54,contents!B:AB,27,FALSE),"")</f>
        <v/>
      </c>
    </row>
    <row r="55" spans="1:8">
      <c r="A55" s="8">
        <v>54</v>
      </c>
      <c r="B55" s="211" t="str">
        <f>IFERROR(INDEX(contents!A:A,MATCH(A55,contents!V:V,0),1),"")</f>
        <v/>
      </c>
      <c r="C55" s="86"/>
      <c r="D55" s="86"/>
      <c r="E55" s="182"/>
      <c r="F55" s="51" t="str">
        <f>IFERROR(INDEX(contents!AA:AA,MATCH(A55,contents!V:V,0),1),"")</f>
        <v/>
      </c>
      <c r="G55" s="18" t="str">
        <f>IFERROR(INDEX(contents!B:B,MATCH(A55,contents!V:V,0),1),"")</f>
        <v/>
      </c>
      <c r="H55" s="18" t="str">
        <f>IFERROR(VLOOKUP('contents 추가정보'!G55,contents!B:AB,27,FALSE),"")</f>
        <v/>
      </c>
    </row>
    <row r="56" spans="1:8">
      <c r="A56" s="8">
        <v>55</v>
      </c>
      <c r="B56" s="211" t="str">
        <f>IFERROR(INDEX(contents!A:A,MATCH(A56,contents!V:V,0),1),"")</f>
        <v/>
      </c>
      <c r="C56" s="86"/>
      <c r="D56" s="86"/>
      <c r="E56" s="182"/>
      <c r="F56" s="51" t="str">
        <f>IFERROR(INDEX(contents!AA:AA,MATCH(A56,contents!V:V,0),1),"")</f>
        <v/>
      </c>
      <c r="G56" s="18" t="str">
        <f>IFERROR(INDEX(contents!B:B,MATCH(A56,contents!V:V,0),1),"")</f>
        <v/>
      </c>
      <c r="H56" s="18" t="str">
        <f>IFERROR(VLOOKUP('contents 추가정보'!G56,contents!B:AB,27,FALSE),"")</f>
        <v/>
      </c>
    </row>
    <row r="57" spans="1:8">
      <c r="A57" s="8">
        <v>56</v>
      </c>
      <c r="B57" s="211" t="str">
        <f>IFERROR(INDEX(contents!A:A,MATCH(A57,contents!V:V,0),1),"")</f>
        <v/>
      </c>
      <c r="C57" s="86"/>
      <c r="D57" s="86"/>
      <c r="E57" s="182"/>
      <c r="F57" s="51" t="str">
        <f>IFERROR(INDEX(contents!AA:AA,MATCH(A57,contents!V:V,0),1),"")</f>
        <v/>
      </c>
      <c r="G57" s="18" t="str">
        <f>IFERROR(INDEX(contents!B:B,MATCH(A57,contents!V:V,0),1),"")</f>
        <v/>
      </c>
      <c r="H57" s="18" t="str">
        <f>IFERROR(VLOOKUP('contents 추가정보'!G57,contents!B:AB,27,FALSE),"")</f>
        <v/>
      </c>
    </row>
    <row r="58" spans="1:8">
      <c r="A58" s="8">
        <v>57</v>
      </c>
      <c r="B58" s="211" t="str">
        <f>IFERROR(INDEX(contents!A:A,MATCH(A58,contents!V:V,0),1),"")</f>
        <v/>
      </c>
      <c r="C58" s="86"/>
      <c r="D58" s="86"/>
      <c r="E58" s="182"/>
      <c r="F58" s="51" t="str">
        <f>IFERROR(INDEX(contents!AA:AA,MATCH(A58,contents!V:V,0),1),"")</f>
        <v/>
      </c>
      <c r="G58" s="18" t="str">
        <f>IFERROR(INDEX(contents!B:B,MATCH(A58,contents!V:V,0),1),"")</f>
        <v/>
      </c>
      <c r="H58" s="18" t="str">
        <f>IFERROR(VLOOKUP('contents 추가정보'!G58,contents!B:AB,27,FALSE),"")</f>
        <v/>
      </c>
    </row>
    <row r="59" spans="1:8">
      <c r="A59" s="8">
        <v>58</v>
      </c>
      <c r="B59" s="211" t="str">
        <f>IFERROR(INDEX(contents!A:A,MATCH(A59,contents!V:V,0),1),"")</f>
        <v/>
      </c>
      <c r="C59" s="86"/>
      <c r="D59" s="86"/>
      <c r="E59" s="182"/>
      <c r="F59" s="51" t="str">
        <f>IFERROR(INDEX(contents!AA:AA,MATCH(A59,contents!V:V,0),1),"")</f>
        <v/>
      </c>
      <c r="G59" s="18" t="str">
        <f>IFERROR(INDEX(contents!B:B,MATCH(A59,contents!V:V,0),1),"")</f>
        <v/>
      </c>
      <c r="H59" s="18" t="str">
        <f>IFERROR(VLOOKUP('contents 추가정보'!G59,contents!B:AB,27,FALSE),"")</f>
        <v/>
      </c>
    </row>
    <row r="60" spans="1:8">
      <c r="A60" s="8">
        <v>59</v>
      </c>
      <c r="B60" s="211" t="str">
        <f>IFERROR(INDEX(contents!A:A,MATCH(A60,contents!V:V,0),1),"")</f>
        <v/>
      </c>
      <c r="C60" s="86"/>
      <c r="D60" s="86"/>
      <c r="E60" s="182"/>
      <c r="F60" s="51" t="str">
        <f>IFERROR(INDEX(contents!AA:AA,MATCH(A60,contents!V:V,0),1),"")</f>
        <v/>
      </c>
      <c r="G60" s="18" t="str">
        <f>IFERROR(INDEX(contents!B:B,MATCH(A60,contents!V:V,0),1),"")</f>
        <v/>
      </c>
      <c r="H60" s="18" t="str">
        <f>IFERROR(VLOOKUP('contents 추가정보'!G60,contents!B:AB,27,FALSE),"")</f>
        <v/>
      </c>
    </row>
    <row r="61" spans="1:8">
      <c r="A61" s="8">
        <v>60</v>
      </c>
      <c r="B61" s="211" t="str">
        <f>IFERROR(INDEX(contents!A:A,MATCH(A61,contents!V:V,0),1),"")</f>
        <v/>
      </c>
      <c r="C61" s="86"/>
      <c r="D61" s="86"/>
      <c r="E61" s="182"/>
      <c r="F61" s="51" t="str">
        <f>IFERROR(INDEX(contents!AA:AA,MATCH(A61,contents!V:V,0),1),"")</f>
        <v/>
      </c>
      <c r="G61" s="18" t="str">
        <f>IFERROR(INDEX(contents!B:B,MATCH(A61,contents!V:V,0),1),"")</f>
        <v/>
      </c>
      <c r="H61" s="18" t="str">
        <f>IFERROR(VLOOKUP('contents 추가정보'!G61,contents!B:AB,27,FALSE),"")</f>
        <v/>
      </c>
    </row>
    <row r="62" spans="1:8">
      <c r="A62" s="8">
        <v>61</v>
      </c>
      <c r="B62" s="211" t="str">
        <f>IFERROR(INDEX(contents!A:A,MATCH(A62,contents!V:V,0),1),"")</f>
        <v/>
      </c>
      <c r="C62" s="86"/>
      <c r="D62" s="86"/>
      <c r="E62" s="182"/>
      <c r="F62" s="51" t="str">
        <f>IFERROR(INDEX(contents!AA:AA,MATCH(A62,contents!V:V,0),1),"")</f>
        <v/>
      </c>
      <c r="G62" s="18" t="str">
        <f>IFERROR(INDEX(contents!B:B,MATCH(A62,contents!V:V,0),1),"")</f>
        <v/>
      </c>
      <c r="H62" s="18" t="str">
        <f>IFERROR(VLOOKUP('contents 추가정보'!G62,contents!B:AB,27,FALSE),"")</f>
        <v/>
      </c>
    </row>
    <row r="63" spans="1:8">
      <c r="A63" s="8">
        <v>62</v>
      </c>
      <c r="B63" s="211" t="str">
        <f>IFERROR(INDEX(contents!A:A,MATCH(A63,contents!V:V,0),1),"")</f>
        <v/>
      </c>
      <c r="C63" s="86"/>
      <c r="D63" s="86"/>
      <c r="E63" s="182"/>
      <c r="F63" s="51" t="str">
        <f>IFERROR(INDEX(contents!AA:AA,MATCH(A63,contents!V:V,0),1),"")</f>
        <v/>
      </c>
      <c r="G63" s="18" t="str">
        <f>IFERROR(INDEX(contents!B:B,MATCH(A63,contents!V:V,0),1),"")</f>
        <v/>
      </c>
      <c r="H63" s="18" t="str">
        <f>IFERROR(VLOOKUP('contents 추가정보'!G63,contents!B:AB,27,FALSE),"")</f>
        <v/>
      </c>
    </row>
    <row r="64" spans="1:8">
      <c r="A64" s="8">
        <v>63</v>
      </c>
      <c r="B64" s="211" t="str">
        <f>IFERROR(INDEX(contents!A:A,MATCH(A64,contents!V:V,0),1),"")</f>
        <v/>
      </c>
      <c r="C64" s="86"/>
      <c r="D64" s="86"/>
      <c r="E64" s="182"/>
      <c r="F64" s="51" t="str">
        <f>IFERROR(INDEX(contents!AA:AA,MATCH(A64,contents!V:V,0),1),"")</f>
        <v/>
      </c>
      <c r="G64" s="18" t="str">
        <f>IFERROR(INDEX(contents!B:B,MATCH(A64,contents!V:V,0),1),"")</f>
        <v/>
      </c>
      <c r="H64" s="18" t="str">
        <f>IFERROR(VLOOKUP('contents 추가정보'!G64,contents!B:AB,27,FALSE),"")</f>
        <v/>
      </c>
    </row>
    <row r="65" spans="1:8">
      <c r="A65" s="8">
        <v>64</v>
      </c>
      <c r="B65" s="211" t="str">
        <f>IFERROR(INDEX(contents!A:A,MATCH(A65,contents!V:V,0),1),"")</f>
        <v/>
      </c>
      <c r="C65" s="86"/>
      <c r="D65" s="86"/>
      <c r="E65" s="182"/>
      <c r="F65" s="51" t="str">
        <f>IFERROR(INDEX(contents!AA:AA,MATCH(A65,contents!V:V,0),1),"")</f>
        <v/>
      </c>
      <c r="G65" s="18" t="str">
        <f>IFERROR(INDEX(contents!B:B,MATCH(A65,contents!V:V,0),1),"")</f>
        <v/>
      </c>
      <c r="H65" s="18" t="str">
        <f>IFERROR(VLOOKUP('contents 추가정보'!G65,contents!B:AB,27,FALSE),"")</f>
        <v/>
      </c>
    </row>
    <row r="66" spans="1:8">
      <c r="A66" s="8">
        <v>65</v>
      </c>
      <c r="B66" s="211" t="str">
        <f>IFERROR(INDEX(contents!A:A,MATCH(A66,contents!V:V,0),1),"")</f>
        <v/>
      </c>
      <c r="C66" s="86"/>
      <c r="D66" s="86"/>
      <c r="E66" s="182"/>
      <c r="F66" s="51" t="str">
        <f>IFERROR(INDEX(contents!AA:AA,MATCH(A66,contents!V:V,0),1),"")</f>
        <v/>
      </c>
      <c r="G66" s="18" t="str">
        <f>IFERROR(INDEX(contents!B:B,MATCH(A66,contents!V:V,0),1),"")</f>
        <v/>
      </c>
      <c r="H66" s="18" t="str">
        <f>IFERROR(VLOOKUP('contents 추가정보'!G66,contents!B:AB,27,FALSE),"")</f>
        <v/>
      </c>
    </row>
    <row r="67" spans="1:8">
      <c r="A67" s="8">
        <v>66</v>
      </c>
      <c r="B67" s="211" t="str">
        <f>IFERROR(INDEX(contents!A:A,MATCH(A67,contents!V:V,0),1),"")</f>
        <v/>
      </c>
      <c r="C67" s="86"/>
      <c r="D67" s="86"/>
      <c r="E67" s="182"/>
      <c r="F67" s="51" t="str">
        <f>IFERROR(INDEX(contents!AA:AA,MATCH(A67,contents!V:V,0),1),"")</f>
        <v/>
      </c>
      <c r="G67" s="18" t="str">
        <f>IFERROR(INDEX(contents!B:B,MATCH(A67,contents!V:V,0),1),"")</f>
        <v/>
      </c>
      <c r="H67" s="18" t="str">
        <f>IFERROR(VLOOKUP('contents 추가정보'!G67,contents!B:AB,27,FALSE),"")</f>
        <v/>
      </c>
    </row>
    <row r="68" spans="1:8">
      <c r="A68" s="8">
        <v>67</v>
      </c>
      <c r="B68" s="211" t="str">
        <f>IFERROR(INDEX(contents!A:A,MATCH(A68,contents!V:V,0),1),"")</f>
        <v/>
      </c>
      <c r="C68" s="86"/>
      <c r="D68" s="86"/>
      <c r="E68" s="182"/>
      <c r="F68" s="51" t="str">
        <f>IFERROR(INDEX(contents!AA:AA,MATCH(A68,contents!V:V,0),1),"")</f>
        <v/>
      </c>
      <c r="G68" s="18" t="str">
        <f>IFERROR(INDEX(contents!B:B,MATCH(A68,contents!V:V,0),1),"")</f>
        <v/>
      </c>
      <c r="H68" s="18" t="str">
        <f>IFERROR(VLOOKUP('contents 추가정보'!G68,contents!B:AB,27,FALSE),"")</f>
        <v/>
      </c>
    </row>
    <row r="69" spans="1:8">
      <c r="A69" s="8">
        <v>68</v>
      </c>
      <c r="B69" s="211" t="str">
        <f>IFERROR(INDEX(contents!A:A,MATCH(A69,contents!V:V,0),1),"")</f>
        <v/>
      </c>
      <c r="C69" s="86"/>
      <c r="D69" s="86"/>
      <c r="E69" s="182"/>
      <c r="F69" s="51" t="str">
        <f>IFERROR(INDEX(contents!AA:AA,MATCH(A69,contents!V:V,0),1),"")</f>
        <v/>
      </c>
      <c r="G69" s="18" t="str">
        <f>IFERROR(INDEX(contents!B:B,MATCH(A69,contents!V:V,0),1),"")</f>
        <v/>
      </c>
      <c r="H69" s="18" t="str">
        <f>IFERROR(VLOOKUP('contents 추가정보'!G69,contents!B:AB,27,FALSE),"")</f>
        <v/>
      </c>
    </row>
    <row r="70" spans="1:8">
      <c r="A70" s="8">
        <v>69</v>
      </c>
      <c r="B70" s="211" t="str">
        <f>IFERROR(INDEX(contents!A:A,MATCH(A70,contents!V:V,0),1),"")</f>
        <v/>
      </c>
      <c r="C70" s="86"/>
      <c r="D70" s="86"/>
      <c r="E70" s="182"/>
      <c r="F70" s="51" t="str">
        <f>IFERROR(INDEX(contents!AA:AA,MATCH(A70,contents!V:V,0),1),"")</f>
        <v/>
      </c>
      <c r="G70" s="18" t="str">
        <f>IFERROR(INDEX(contents!B:B,MATCH(A70,contents!V:V,0),1),"")</f>
        <v/>
      </c>
      <c r="H70" s="18" t="str">
        <f>IFERROR(VLOOKUP('contents 추가정보'!G70,contents!B:AB,27,FALSE),"")</f>
        <v/>
      </c>
    </row>
    <row r="71" spans="1:8">
      <c r="A71" s="8">
        <v>70</v>
      </c>
      <c r="B71" s="211" t="str">
        <f>IFERROR(INDEX(contents!A:A,MATCH(A71,contents!V:V,0),1),"")</f>
        <v/>
      </c>
      <c r="C71" s="86"/>
      <c r="D71" s="86"/>
      <c r="E71" s="182"/>
      <c r="F71" s="51" t="str">
        <f>IFERROR(INDEX(contents!AA:AA,MATCH(A71,contents!V:V,0),1),"")</f>
        <v/>
      </c>
      <c r="G71" s="18" t="str">
        <f>IFERROR(INDEX(contents!B:B,MATCH(A71,contents!V:V,0),1),"")</f>
        <v/>
      </c>
      <c r="H71" s="18" t="str">
        <f>IFERROR(VLOOKUP('contents 추가정보'!G71,contents!B:AB,27,FALSE),"")</f>
        <v/>
      </c>
    </row>
    <row r="72" spans="1:8">
      <c r="A72" s="8">
        <v>71</v>
      </c>
      <c r="B72" s="211" t="str">
        <f>IFERROR(INDEX(contents!A:A,MATCH(A72,contents!V:V,0),1),"")</f>
        <v/>
      </c>
      <c r="C72" s="86"/>
      <c r="D72" s="86"/>
      <c r="E72" s="182"/>
      <c r="F72" s="51" t="str">
        <f>IFERROR(INDEX(contents!AA:AA,MATCH(A72,contents!V:V,0),1),"")</f>
        <v/>
      </c>
      <c r="G72" s="18" t="str">
        <f>IFERROR(INDEX(contents!B:B,MATCH(A72,contents!V:V,0),1),"")</f>
        <v/>
      </c>
      <c r="H72" s="18" t="str">
        <f>IFERROR(VLOOKUP('contents 추가정보'!G72,contents!B:AB,27,FALSE),"")</f>
        <v/>
      </c>
    </row>
    <row r="73" spans="1:8">
      <c r="A73" s="8">
        <v>72</v>
      </c>
      <c r="B73" s="211" t="str">
        <f>IFERROR(INDEX(contents!A:A,MATCH(A73,contents!V:V,0),1),"")</f>
        <v/>
      </c>
      <c r="C73" s="86"/>
      <c r="D73" s="86"/>
      <c r="E73" s="182"/>
      <c r="F73" s="51" t="str">
        <f>IFERROR(INDEX(contents!AA:AA,MATCH(A73,contents!V:V,0),1),"")</f>
        <v/>
      </c>
      <c r="G73" s="18" t="str">
        <f>IFERROR(INDEX(contents!B:B,MATCH(A73,contents!V:V,0),1),"")</f>
        <v/>
      </c>
      <c r="H73" s="18" t="str">
        <f>IFERROR(VLOOKUP('contents 추가정보'!G73,contents!B:AB,27,FALSE),"")</f>
        <v/>
      </c>
    </row>
    <row r="74" spans="1:8" ht="17.25" thickBot="1">
      <c r="A74" s="9">
        <v>73</v>
      </c>
      <c r="B74" s="324" t="str">
        <f>IFERROR(INDEX(contents!A:A,MATCH(A74,contents!V:V,0),1),"")</f>
        <v/>
      </c>
      <c r="C74" s="153"/>
      <c r="D74" s="153"/>
      <c r="E74" s="154"/>
      <c r="F74" s="51" t="str">
        <f>IFERROR(INDEX(contents!AA:AA,MATCH(A74,contents!V:V,0),1),"")</f>
        <v/>
      </c>
      <c r="G74" s="18" t="str">
        <f>IFERROR(INDEX(contents!B:B,MATCH(A74,contents!V:V,0),1),"")</f>
        <v/>
      </c>
      <c r="H74" s="18" t="str">
        <f>IFERROR(VLOOKUP('contents 추가정보'!G74,contents!B:AB,27,FALSE),"")</f>
        <v/>
      </c>
    </row>
  </sheetData>
  <autoFilter ref="A1:H74" xr:uid="{9747EC93-6955-4133-97B2-BE901FCEC21C}">
    <sortState xmlns:xlrd2="http://schemas.microsoft.com/office/spreadsheetml/2017/richdata2" ref="A2:H74">
      <sortCondition ref="A1:A74"/>
    </sortState>
  </autoFilter>
  <phoneticPr fontId="2" type="noConversion"/>
  <pageMargins left="0.7" right="0.7" top="0.75" bottom="0.75" header="0.3" footer="0.3"/>
  <pageSetup paperSize="9" orientation="portrait" horizontalDpi="360" verticalDpi="36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79998168889431442"/>
  </sheetPr>
  <dimension ref="B2:T52"/>
  <sheetViews>
    <sheetView zoomScaleNormal="100" workbookViewId="0">
      <selection activeCell="G7" sqref="G7"/>
    </sheetView>
  </sheetViews>
  <sheetFormatPr defaultRowHeight="16.5"/>
  <cols>
    <col min="1" max="1" width="3.125" customWidth="1"/>
    <col min="2" max="2" width="3" customWidth="1"/>
    <col min="3" max="3" width="8.125" customWidth="1"/>
    <col min="4" max="4" width="3" customWidth="1"/>
    <col min="5" max="5" width="6.625" customWidth="1"/>
    <col min="6" max="6" width="4" customWidth="1"/>
    <col min="7" max="7" width="67.5" bestFit="1" customWidth="1"/>
    <col min="8" max="8" width="8.5" customWidth="1"/>
    <col min="9" max="9" width="11.125" bestFit="1" customWidth="1"/>
    <col min="10" max="10" width="6.625" customWidth="1"/>
    <col min="11" max="11" width="7.125" customWidth="1"/>
    <col min="12" max="12" width="4.5" customWidth="1"/>
    <col min="13" max="13" width="7.5" customWidth="1"/>
    <col min="14" max="14" width="5.125" customWidth="1"/>
    <col min="15" max="15" width="11.125" bestFit="1" customWidth="1"/>
    <col min="19" max="19" width="10.125" bestFit="1" customWidth="1"/>
  </cols>
  <sheetData>
    <row r="2" spans="2:20">
      <c r="C2" s="60" t="str">
        <f>MONTH(followers!H1)&amp;"월 총 "&amp;MAX(contents!V:V)&amp;"건 게재: 프레인 기획 "&amp;COUNTIF(E:E,"기획")+COUNTIF(E:E,"POLL")&amp;"건 (콘텐츠·디자인·Poll), 미러링 "&amp;COUNTIF(E:E, "미러링")+COUNTIF(E:E,"뉴스룸")&amp;"건 (뉴스룸 "&amp;COUNTIF(E:E,"뉴스룸")&amp;"건, 유튜브 "&amp;COUNTIF(R:R,"O")&amp;"건, 외부 링크 "&amp;COUNTIF(E:E,"미러링")-COUNTIF(R:R,"O")&amp;" 건), 리포스트 "&amp;COUNTIF(E:E,"REPOST")&amp;"건"</f>
        <v>3월 총 29건 게재: 프레인 기획 15건 (콘텐츠·디자인·Poll), 미러링 12건 (뉴스룸 0건, 유튜브 0건, 외부 링크 12 건), 리포스트 2건</v>
      </c>
    </row>
    <row r="3" spans="2:20">
      <c r="C3" s="60" t="str">
        <f>"콘텐츠 아이템 카테고리 별 게재 건 수: Products "&amp;COUNTIF(H:H,"Products")&amp;"건, News "&amp;COUNTIF(H:H,"News")&amp;"건, Seasonal "&amp;COUNTIF(H:H,"Seasonal")&amp;"건, Interest "&amp;COUNTIF(H:H,"Interest")&amp;"건, Events "&amp;COUNTIF(H:H,"Events")&amp;"건"</f>
        <v>콘텐츠 아이템 카테고리 별 게재 건 수: Products 10건, News 2건, Seasonal 4건, Interest 4건, Events 9건</v>
      </c>
    </row>
    <row r="5" spans="2:20" ht="17.25" thickBot="1"/>
    <row r="6" spans="2:20" ht="20.25" thickTop="1">
      <c r="B6" s="43" t="s">
        <v>70</v>
      </c>
      <c r="C6" s="44" t="s">
        <v>79</v>
      </c>
      <c r="D6" s="43" t="s">
        <v>84</v>
      </c>
      <c r="E6" s="41" t="s">
        <v>71</v>
      </c>
      <c r="F6" s="63"/>
      <c r="G6" s="41" t="s">
        <v>72</v>
      </c>
      <c r="H6" s="41" t="s">
        <v>73</v>
      </c>
      <c r="I6" s="41" t="s">
        <v>29</v>
      </c>
      <c r="J6" s="41" t="s">
        <v>30</v>
      </c>
      <c r="K6" s="41" t="s">
        <v>74</v>
      </c>
      <c r="L6" s="45" t="s">
        <v>75</v>
      </c>
      <c r="M6" s="45" t="s">
        <v>33</v>
      </c>
      <c r="N6" s="45" t="s">
        <v>76</v>
      </c>
      <c r="O6" s="46" t="s">
        <v>77</v>
      </c>
      <c r="P6" s="42" t="s">
        <v>78</v>
      </c>
      <c r="R6" t="s">
        <v>89</v>
      </c>
    </row>
    <row r="7" spans="2:20">
      <c r="B7" s="39">
        <v>1</v>
      </c>
      <c r="C7" s="89" t="str">
        <f>IFERROR(TEXT(INDEX(contents!W:W,MATCH(B7,contents!V:V,0),0),"mm월 dd일"),"")</f>
        <v>03월 19일</v>
      </c>
      <c r="D7" s="40" t="str">
        <f>IFERROR(TEXT(INDEX(contents!W:W,MATCH(B7,contents!V:V,0),0),"aaa"),"")</f>
        <v>화</v>
      </c>
      <c r="E7" s="40" t="str" cm="1">
        <f t="array" ref="E7">IF(INDEX('contents 추가정보'!E:E,MATCH(B7,'contents 추가정보'!A:A,0),0)=0,"",INDEX('contents 추가정보'!E:E,MATCH(B7,'contents 추가정보'!A:A,0),0))</f>
        <v>기획</v>
      </c>
      <c r="F7" s="62" t="str">
        <f>IFERROR(IF(INDEX(contents!C:C,MATCH(B7,contents!V:V,0)+1)="Sponsored","●",""),"")</f>
        <v/>
      </c>
      <c r="G7" s="213" t="str" cm="1">
        <f t="array" ref="G7">IF(INDEX('contents 추가정보'!C:C,MATCH(B7,'contents 추가정보'!A:A,0),0)=0,"",INDEX('contents 추가정보'!C:C,MATCH(B7,'contents 추가정보'!A:A,0),0))</f>
        <v>GTC24 현장 직원 이미지</v>
      </c>
      <c r="H7" s="40" t="str" cm="1">
        <f t="array" ref="H7">IF(INDEX('contents 추가정보'!D:D,MATCH(B7,'contents 추가정보'!A:A,0),0)=0,"",INDEX('contents 추가정보'!D:D,MATCH(B7,'contents 추가정보'!A:A,0),0))</f>
        <v>Events</v>
      </c>
      <c r="I7" s="40">
        <f>IFERROR(INDEX(contents!J:J,MATCH(B7,contents!V:V,0),0),"")</f>
        <v>8595</v>
      </c>
      <c r="J7" s="40">
        <f>IFERROR(INDEX(contents!M:M,MATCH(B7,contents!V:V,0),0),"")</f>
        <v>3124</v>
      </c>
      <c r="K7" s="56" t="str">
        <f>IFERROR(TEXT(INDEX(contents!N:N,MATCH(B7,contents!V:V,0),0),"0.00%"),"")</f>
        <v>36.35%</v>
      </c>
      <c r="L7" s="40">
        <f>IFERROR(INDEX(contents!O:O,MATCH(B7,contents!V:V,0),0),"")</f>
        <v>83</v>
      </c>
      <c r="M7" s="40">
        <f>IFERROR(INDEX(contents!P:P,MATCH(B7,contents!V:V,0),0),"")</f>
        <v>0</v>
      </c>
      <c r="N7" s="40">
        <f>IFERROR(INDEX(contents!Q:Q,MATCH(B7,contents!V:V,0),0),"")</f>
        <v>4</v>
      </c>
      <c r="O7" s="57">
        <f t="shared" ref="O7:O50" si="0">IF(G7="","",SUM(J7,L7:N7))</f>
        <v>3211</v>
      </c>
      <c r="P7" s="58" t="str">
        <f>IFERROR(TEXT(INDEX(contents!Y:Y,MATCH(B7,contents!V:V,0),0),"0.00%"),"")</f>
        <v>37.36%</v>
      </c>
      <c r="R7" t="str">
        <f>IF(ISNUMBER(SEARCH("(Youtube)", G7)), "O", "X")</f>
        <v>X</v>
      </c>
    </row>
    <row r="8" spans="2:20">
      <c r="B8" s="39">
        <v>2</v>
      </c>
      <c r="C8" s="89" t="str">
        <f>IFERROR(TEXT(INDEX(contents!W:W,MATCH(B8,contents!V:V,0),0),"mm월 dd일"),"")</f>
        <v>03월 25일</v>
      </c>
      <c r="D8" s="40" t="str">
        <f>IFERROR(TEXT(INDEX(contents!W:W,MATCH(B8,contents!V:V,0),0),"aaa"),"")</f>
        <v>월</v>
      </c>
      <c r="E8" s="40" t="str" cm="1">
        <f t="array" ref="E8">IF(INDEX('contents 추가정보'!E:E,MATCH(B8,'contents 추가정보'!A:A,0),0)=0,"",INDEX('contents 추가정보'!E:E,MATCH(B8,'contents 추가정보'!A:A,0),0))</f>
        <v>기획</v>
      </c>
      <c r="F8" s="62" t="str">
        <f>IFERROR(IF(INDEX(contents!C:C,MATCH(B8,contents!V:V,0)+1)="Sponsored","●",""),"")</f>
        <v>●</v>
      </c>
      <c r="G8" s="213" t="str" cm="1">
        <f t="array" ref="G8">IF(INDEX('contents 추가정보'!C:C,MATCH(B8,'contents 추가정보'!A:A,0),0)=0,"",INDEX('contents 추가정보'!C:C,MATCH(B8,'contents 추가정보'!A:A,0),0))</f>
        <v>TSV-HBM 카드뉴스</v>
      </c>
      <c r="H8" s="40" t="str" cm="1">
        <f t="array" ref="H8">IF(INDEX('contents 추가정보'!D:D,MATCH(B8,'contents 추가정보'!A:A,0),0)=0,"",INDEX('contents 추가정보'!D:D,MATCH(B8,'contents 추가정보'!A:A,0),0))</f>
        <v>Products</v>
      </c>
      <c r="I8" s="40">
        <f>IFERROR(INDEX(contents!J:J,MATCH(B8,contents!V:V,0),0),"")</f>
        <v>10329</v>
      </c>
      <c r="J8" s="40">
        <f>IFERROR(INDEX(contents!M:M,MATCH(B8,contents!V:V,0),0),"")</f>
        <v>3430</v>
      </c>
      <c r="K8" s="56" t="str">
        <f>IFERROR(TEXT(INDEX(contents!N:N,MATCH(B8,contents!V:V,0),0),"0.00%"),"")</f>
        <v>33.21%</v>
      </c>
      <c r="L8" s="40">
        <f>IFERROR(INDEX(contents!O:O,MATCH(B8,contents!V:V,0),0),"")</f>
        <v>80</v>
      </c>
      <c r="M8" s="40">
        <f>IFERROR(INDEX(contents!P:P,MATCH(B8,contents!V:V,0),0),"")</f>
        <v>3</v>
      </c>
      <c r="N8" s="40">
        <f>IFERROR(INDEX(contents!Q:Q,MATCH(B8,contents!V:V,0),0),"")</f>
        <v>4</v>
      </c>
      <c r="O8" s="57">
        <f t="shared" si="0"/>
        <v>3517</v>
      </c>
      <c r="P8" s="58" t="str">
        <f>IFERROR(TEXT(INDEX(contents!Y:Y,MATCH(B8,contents!V:V,0),0),"0.00%"),"")</f>
        <v>34.05%</v>
      </c>
      <c r="R8" t="str">
        <f t="shared" ref="R8:R50" si="1">IF(ISNUMBER(SEARCH("(Youtube)", G8)), "O", "X")</f>
        <v>X</v>
      </c>
    </row>
    <row r="9" spans="2:20">
      <c r="B9" s="39">
        <v>3</v>
      </c>
      <c r="C9" s="89" t="str">
        <f>IFERROR(TEXT(INDEX(contents!W:W,MATCH(B9,contents!V:V,0),0),"mm월 dd일"),"")</f>
        <v>03월 07일</v>
      </c>
      <c r="D9" s="40" t="str">
        <f>IFERROR(TEXT(INDEX(contents!W:W,MATCH(B9,contents!V:V,0),0),"aaa"),"")</f>
        <v>목</v>
      </c>
      <c r="E9" s="40" t="str" cm="1">
        <f t="array" ref="E9">IF(INDEX('contents 추가정보'!E:E,MATCH(B9,'contents 추가정보'!A:A,0),0)=0,"",INDEX('contents 추가정보'!E:E,MATCH(B9,'contents 추가정보'!A:A,0),0))</f>
        <v>기획</v>
      </c>
      <c r="F9" s="62" t="str">
        <f>IFERROR(IF(INDEX(contents!C:C,MATCH(B9,contents!V:V,0)+1)="Sponsored","●",""),"")</f>
        <v/>
      </c>
      <c r="G9" s="213" t="str" cm="1">
        <f t="array" ref="G9">IF(INDEX('contents 추가정보'!C:C,MATCH(B9,'contents 추가정보'!A:A,0),0)=0,"",INDEX('contents 추가정보'!C:C,MATCH(B9,'contents 추가정보'!A:A,0),0))</f>
        <v>세계 여성의 달_그레이스 호퍼 카드뉴스</v>
      </c>
      <c r="H9" s="40" t="str" cm="1">
        <f t="array" ref="H9">IF(INDEX('contents 추가정보'!D:D,MATCH(B9,'contents 추가정보'!A:A,0),0)=0,"",INDEX('contents 추가정보'!D:D,MATCH(B9,'contents 추가정보'!A:A,0),0))</f>
        <v>Seasonal</v>
      </c>
      <c r="I9" s="40">
        <f>IFERROR(INDEX(contents!J:J,MATCH(B9,contents!V:V,0),0),"")</f>
        <v>5554</v>
      </c>
      <c r="J9" s="40">
        <f>IFERROR(INDEX(contents!M:M,MATCH(B9,contents!V:V,0),0),"")</f>
        <v>1516</v>
      </c>
      <c r="K9" s="56" t="str">
        <f>IFERROR(TEXT(INDEX(contents!N:N,MATCH(B9,contents!V:V,0),0),"0.00%"),"")</f>
        <v>27.30%</v>
      </c>
      <c r="L9" s="40">
        <f>IFERROR(INDEX(contents!O:O,MATCH(B9,contents!V:V,0),0),"")</f>
        <v>47</v>
      </c>
      <c r="M9" s="40">
        <f>IFERROR(INDEX(contents!P:P,MATCH(B9,contents!V:V,0),0),"")</f>
        <v>0</v>
      </c>
      <c r="N9" s="40">
        <f>IFERROR(INDEX(contents!Q:Q,MATCH(B9,contents!V:V,0),0),"")</f>
        <v>0</v>
      </c>
      <c r="O9" s="57">
        <f t="shared" si="0"/>
        <v>1563</v>
      </c>
      <c r="P9" s="58" t="str">
        <f>IFERROR(TEXT(INDEX(contents!Y:Y,MATCH(B9,contents!V:V,0),0),"0.00%"),"")</f>
        <v>28.14%</v>
      </c>
      <c r="R9" t="str">
        <f t="shared" si="1"/>
        <v>X</v>
      </c>
    </row>
    <row r="10" spans="2:20">
      <c r="B10" s="39">
        <v>4</v>
      </c>
      <c r="C10" s="89" t="str">
        <f>IFERROR(TEXT(INDEX(contents!W:W,MATCH(B10,contents!V:V,0),0),"mm월 dd일"),"")</f>
        <v>03월 29일</v>
      </c>
      <c r="D10" s="40" t="str">
        <f>IFERROR(TEXT(INDEX(contents!W:W,MATCH(B10,contents!V:V,0),0),"aaa"),"")</f>
        <v>금</v>
      </c>
      <c r="E10" s="40" t="str" cm="1">
        <f t="array" ref="E10">IF(INDEX('contents 추가정보'!E:E,MATCH(B10,'contents 추가정보'!A:A,0),0)=0,"",INDEX('contents 추가정보'!E:E,MATCH(B10,'contents 추가정보'!A:A,0),0))</f>
        <v>Repost</v>
      </c>
      <c r="F10" s="62" t="str">
        <f>IFERROR(IF(INDEX(contents!C:C,MATCH(B10,contents!V:V,0)+1)="Sponsored","●",""),"")</f>
        <v/>
      </c>
      <c r="G10" s="213" t="str" cm="1">
        <f t="array" ref="G10">IF(INDEX('contents 추가정보'!C:C,MATCH(B10,'contents 추가정보'!A:A,0),0)=0,"",INDEX('contents 추가정보'!C:C,MATCH(B10,'contents 추가정보'!A:A,0),0))</f>
        <v>AI 인프라_김성섭 부사장님 인터뷰 (미주법인)</v>
      </c>
      <c r="H10" s="40" t="str" cm="1">
        <f t="array" ref="H10">IF(INDEX('contents 추가정보'!D:D,MATCH(B10,'contents 추가정보'!A:A,0),0)=0,"",INDEX('contents 추가정보'!D:D,MATCH(B10,'contents 추가정보'!A:A,0),0))</f>
        <v>Interest</v>
      </c>
      <c r="I10" s="40">
        <f>IFERROR(INDEX(contents!J:J,MATCH(B10,contents!V:V,0),0),"")</f>
        <v>2083</v>
      </c>
      <c r="J10" s="40">
        <f>IFERROR(INDEX(contents!M:M,MATCH(B10,contents!V:V,0),0),"")</f>
        <v>524</v>
      </c>
      <c r="K10" s="56" t="str">
        <f>IFERROR(TEXT(INDEX(contents!N:N,MATCH(B10,contents!V:V,0),0),"0.00%"),"")</f>
        <v>25.16%</v>
      </c>
      <c r="L10" s="40">
        <f>IFERROR(INDEX(contents!O:O,MATCH(B10,contents!V:V,0),0),"")</f>
        <v>10</v>
      </c>
      <c r="M10" s="40">
        <f>IFERROR(INDEX(contents!P:P,MATCH(B10,contents!V:V,0),0),"")</f>
        <v>0</v>
      </c>
      <c r="N10" s="40">
        <f>IFERROR(INDEX(contents!Q:Q,MATCH(B10,contents!V:V,0),0),"")</f>
        <v>0</v>
      </c>
      <c r="O10" s="57">
        <f t="shared" si="0"/>
        <v>534</v>
      </c>
      <c r="P10" s="58" t="str">
        <f>IFERROR(TEXT(INDEX(contents!Y:Y,MATCH(B10,contents!V:V,0),0),"0.00%"),"")</f>
        <v>25.64%</v>
      </c>
      <c r="R10" t="str">
        <f t="shared" si="1"/>
        <v>X</v>
      </c>
    </row>
    <row r="11" spans="2:20">
      <c r="B11" s="39">
        <v>5</v>
      </c>
      <c r="C11" s="89" t="str">
        <f>IFERROR(TEXT(INDEX(contents!W:W,MATCH(B11,contents!V:V,0),0),"mm월 dd일"),"")</f>
        <v>03월 26일</v>
      </c>
      <c r="D11" s="40" t="str">
        <f>IFERROR(TEXT(INDEX(contents!W:W,MATCH(B11,contents!V:V,0),0),"aaa"),"")</f>
        <v>화</v>
      </c>
      <c r="E11" s="40" t="str" cm="1">
        <f t="array" ref="E11">IF(INDEX('contents 추가정보'!E:E,MATCH(B11,'contents 추가정보'!A:A,0),0)=0,"",INDEX('contents 추가정보'!E:E,MATCH(B11,'contents 추가정보'!A:A,0),0))</f>
        <v>기획</v>
      </c>
      <c r="F11" s="62" t="str">
        <f>IFERROR(IF(INDEX(contents!C:C,MATCH(B11,contents!V:V,0)+1)="Sponsored","●",""),"")</f>
        <v/>
      </c>
      <c r="G11" s="213" t="str" cm="1">
        <f t="array" ref="G11">IF(INDEX('contents 추가정보'!C:C,MATCH(B11,'contents 추가정보'!A:A,0),0)=0,"",INDEX('contents 추가정보'!C:C,MATCH(B11,'contents 추가정보'!A:A,0),0))</f>
        <v>GTC24 전시제품 소개 카드뉴스</v>
      </c>
      <c r="H11" s="40" t="str" cm="1">
        <f t="array" ref="H11">IF(INDEX('contents 추가정보'!D:D,MATCH(B11,'contents 추가정보'!A:A,0),0)=0,"",INDEX('contents 추가정보'!D:D,MATCH(B11,'contents 추가정보'!A:A,0),0))</f>
        <v>Products</v>
      </c>
      <c r="I11" s="40">
        <f>IFERROR(INDEX(contents!J:J,MATCH(B11,contents!V:V,0),0),"")</f>
        <v>4445</v>
      </c>
      <c r="J11" s="40">
        <f>IFERROR(INDEX(contents!M:M,MATCH(B11,contents!V:V,0),0),"")</f>
        <v>1045</v>
      </c>
      <c r="K11" s="56" t="str">
        <f>IFERROR(TEXT(INDEX(contents!N:N,MATCH(B11,contents!V:V,0),0),"0.00%"),"")</f>
        <v>23.51%</v>
      </c>
      <c r="L11" s="40">
        <f>IFERROR(INDEX(contents!O:O,MATCH(B11,contents!V:V,0),0),"")</f>
        <v>39</v>
      </c>
      <c r="M11" s="40">
        <f>IFERROR(INDEX(contents!P:P,MATCH(B11,contents!V:V,0),0),"")</f>
        <v>1</v>
      </c>
      <c r="N11" s="40">
        <f>IFERROR(INDEX(contents!Q:Q,MATCH(B11,contents!V:V,0),0),"")</f>
        <v>0</v>
      </c>
      <c r="O11" s="57">
        <f t="shared" si="0"/>
        <v>1085</v>
      </c>
      <c r="P11" s="58" t="str">
        <f>IFERROR(TEXT(INDEX(contents!Y:Y,MATCH(B11,contents!V:V,0),0),"0.00%"),"")</f>
        <v>24.41%</v>
      </c>
      <c r="R11" t="str">
        <f t="shared" si="1"/>
        <v>X</v>
      </c>
    </row>
    <row r="12" spans="2:20">
      <c r="B12" s="39">
        <v>6</v>
      </c>
      <c r="C12" s="89" t="str">
        <f>IFERROR(TEXT(INDEX(contents!W:W,MATCH(B12,contents!V:V,0),0),"mm월 dd일"),"")</f>
        <v>03월 13일</v>
      </c>
      <c r="D12" s="40" t="str">
        <f>IFERROR(TEXT(INDEX(contents!W:W,MATCH(B12,contents!V:V,0),0),"aaa"),"")</f>
        <v>수</v>
      </c>
      <c r="E12" s="40" t="str" cm="1">
        <f t="array" ref="E12">IF(INDEX('contents 추가정보'!E:E,MATCH(B12,'contents 추가정보'!A:A,0),0)=0,"",INDEX('contents 추가정보'!E:E,MATCH(B12,'contents 추가정보'!A:A,0),0))</f>
        <v>미러링</v>
      </c>
      <c r="F12" s="62" t="str">
        <f>IFERROR(IF(INDEX(contents!C:C,MATCH(B12,contents!V:V,0)+1)="Sponsored","●",""),"")</f>
        <v/>
      </c>
      <c r="G12" s="213" t="str" cm="1">
        <f t="array" ref="G12">IF(INDEX('contents 추가정보'!C:C,MATCH(B12,'contents 추가정보'!A:A,0),0)=0,"",INDEX('contents 추가정보'!C:C,MATCH(B12,'contents 추가정보'!A:A,0),0))</f>
        <v>GDDR7 백서</v>
      </c>
      <c r="H12" s="40" t="str" cm="1">
        <f t="array" ref="H12">IF(INDEX('contents 추가정보'!D:D,MATCH(B12,'contents 추가정보'!A:A,0),0)=0,"",INDEX('contents 추가정보'!D:D,MATCH(B12,'contents 추가정보'!A:A,0),0))</f>
        <v>Products</v>
      </c>
      <c r="I12" s="40">
        <f>IFERROR(INDEX(contents!J:J,MATCH(B12,contents!V:V,0),0),"")</f>
        <v>7548</v>
      </c>
      <c r="J12" s="40">
        <f>IFERROR(INDEX(contents!M:M,MATCH(B12,contents!V:V,0),0),"")</f>
        <v>1122</v>
      </c>
      <c r="K12" s="56" t="str">
        <f>IFERROR(TEXT(INDEX(contents!N:N,MATCH(B12,contents!V:V,0),0),"0.00%"),"")</f>
        <v>14.86%</v>
      </c>
      <c r="L12" s="40">
        <f>IFERROR(INDEX(contents!O:O,MATCH(B12,contents!V:V,0),0),"")</f>
        <v>77</v>
      </c>
      <c r="M12" s="40">
        <f>IFERROR(INDEX(contents!P:P,MATCH(B12,contents!V:V,0),0),"")</f>
        <v>0</v>
      </c>
      <c r="N12" s="40">
        <f>IFERROR(INDEX(contents!Q:Q,MATCH(B12,contents!V:V,0),0),"")</f>
        <v>3</v>
      </c>
      <c r="O12" s="57">
        <f t="shared" si="0"/>
        <v>1202</v>
      </c>
      <c r="P12" s="58" t="str">
        <f>IFERROR(TEXT(INDEX(contents!Y:Y,MATCH(B12,contents!V:V,0),0),"0.00%"),"")</f>
        <v>15.92%</v>
      </c>
      <c r="R12" t="str">
        <f t="shared" si="1"/>
        <v>X</v>
      </c>
      <c r="T12" s="61"/>
    </row>
    <row r="13" spans="2:20">
      <c r="B13" s="39">
        <v>7</v>
      </c>
      <c r="C13" s="89" t="str">
        <f>IFERROR(TEXT(INDEX(contents!W:W,MATCH(B13,contents!V:V,0),0),"mm월 dd일"),"")</f>
        <v>03월 15일</v>
      </c>
      <c r="D13" s="40" t="str">
        <f>IFERROR(TEXT(INDEX(contents!W:W,MATCH(B13,contents!V:V,0),0),"aaa"),"")</f>
        <v>금</v>
      </c>
      <c r="E13" s="40" t="str" cm="1">
        <f t="array" ref="E13">IF(INDEX('contents 추가정보'!E:E,MATCH(B13,'contents 추가정보'!A:A,0),0)=0,"",INDEX('contents 추가정보'!E:E,MATCH(B13,'contents 추가정보'!A:A,0),0))</f>
        <v>미러링</v>
      </c>
      <c r="F13" s="62" t="str">
        <f>IFERROR(IF(INDEX(contents!C:C,MATCH(B13,contents!V:V,0)+1)="Sponsored","●",""),"")</f>
        <v/>
      </c>
      <c r="G13" s="213" t="str" cm="1">
        <f t="array" ref="G13">IF(INDEX('contents 추가정보'!C:C,MATCH(B13,'contents 추가정보'!A:A,0),0)=0,"",INDEX('contents 추가정보'!C:C,MATCH(B13,'contents 추가정보'!A:A,0),0))</f>
        <v>HBM3E 백서</v>
      </c>
      <c r="H13" s="40" t="str" cm="1">
        <f t="array" ref="H13">IF(INDEX('contents 추가정보'!D:D,MATCH(B13,'contents 추가정보'!A:A,0),0)=0,"",INDEX('contents 추가정보'!D:D,MATCH(B13,'contents 추가정보'!A:A,0),0))</f>
        <v>Products</v>
      </c>
      <c r="I13" s="40">
        <f>IFERROR(INDEX(contents!J:J,MATCH(B13,contents!V:V,0),0),"")</f>
        <v>6668</v>
      </c>
      <c r="J13" s="40">
        <f>IFERROR(INDEX(contents!M:M,MATCH(B13,contents!V:V,0),0),"")</f>
        <v>951</v>
      </c>
      <c r="K13" s="56" t="str">
        <f>IFERROR(TEXT(INDEX(contents!N:N,MATCH(B13,contents!V:V,0),0),"0.00%"),"")</f>
        <v>14.26%</v>
      </c>
      <c r="L13" s="40">
        <f>IFERROR(INDEX(contents!O:O,MATCH(B13,contents!V:V,0),0),"")</f>
        <v>88</v>
      </c>
      <c r="M13" s="40">
        <f>IFERROR(INDEX(contents!P:P,MATCH(B13,contents!V:V,0),0),"")</f>
        <v>0</v>
      </c>
      <c r="N13" s="40">
        <f>IFERROR(INDEX(contents!Q:Q,MATCH(B13,contents!V:V,0),0),"")</f>
        <v>8</v>
      </c>
      <c r="O13" s="57">
        <f t="shared" si="0"/>
        <v>1047</v>
      </c>
      <c r="P13" s="58" t="str">
        <f>IFERROR(TEXT(INDEX(contents!Y:Y,MATCH(B13,contents!V:V,0),0),"0.00%"),"")</f>
        <v>15.70%</v>
      </c>
      <c r="R13" t="str">
        <f t="shared" si="1"/>
        <v>X</v>
      </c>
    </row>
    <row r="14" spans="2:20">
      <c r="B14" s="39">
        <v>8</v>
      </c>
      <c r="C14" s="89" t="str">
        <f>IFERROR(TEXT(INDEX(contents!W:W,MATCH(B14,contents!V:V,0),0),"mm월 dd일"),"")</f>
        <v>03월 20일</v>
      </c>
      <c r="D14" s="40" t="str">
        <f>IFERROR(TEXT(INDEX(contents!W:W,MATCH(B14,contents!V:V,0),0),"aaa"),"")</f>
        <v>수</v>
      </c>
      <c r="E14" s="40" t="str" cm="1">
        <f t="array" ref="E14">IF(INDEX('contents 추가정보'!E:E,MATCH(B14,'contents 추가정보'!A:A,0),0)=0,"",INDEX('contents 추가정보'!E:E,MATCH(B14,'contents 추가정보'!A:A,0),0))</f>
        <v>기획</v>
      </c>
      <c r="F14" s="62" t="str">
        <f>IFERROR(IF(INDEX(contents!C:C,MATCH(B14,contents!V:V,0)+1)="Sponsored","●",""),"")</f>
        <v/>
      </c>
      <c r="G14" s="213" t="str" cm="1">
        <f t="array" ref="G14">IF(INDEX('contents 추가정보'!C:C,MATCH(B14,'contents 추가정보'!A:A,0),0)=0,"",INDEX('contents 추가정보'!C:C,MATCH(B14,'contents 추가정보'!A:A,0),0))</f>
        <v>GTC24 현장 세션 이미지</v>
      </c>
      <c r="H14" s="40" t="str" cm="1">
        <f t="array" ref="H14">IF(INDEX('contents 추가정보'!D:D,MATCH(B14,'contents 추가정보'!A:A,0),0)=0,"",INDEX('contents 추가정보'!D:D,MATCH(B14,'contents 추가정보'!A:A,0),0))</f>
        <v>Events</v>
      </c>
      <c r="I14" s="40">
        <f>IFERROR(INDEX(contents!J:J,MATCH(B14,contents!V:V,0),0),"")</f>
        <v>5740</v>
      </c>
      <c r="J14" s="40">
        <f>IFERROR(INDEX(contents!M:M,MATCH(B14,contents!V:V,0),0),"")</f>
        <v>655</v>
      </c>
      <c r="K14" s="56" t="str">
        <f>IFERROR(TEXT(INDEX(contents!N:N,MATCH(B14,contents!V:V,0),0),"0.00%"),"")</f>
        <v>11.41%</v>
      </c>
      <c r="L14" s="40">
        <f>IFERROR(INDEX(contents!O:O,MATCH(B14,contents!V:V,0),0),"")</f>
        <v>71</v>
      </c>
      <c r="M14" s="40">
        <f>IFERROR(INDEX(contents!P:P,MATCH(B14,contents!V:V,0),0),"")</f>
        <v>1</v>
      </c>
      <c r="N14" s="40">
        <f>IFERROR(INDEX(contents!Q:Q,MATCH(B14,contents!V:V,0),0),"")</f>
        <v>4</v>
      </c>
      <c r="O14" s="57">
        <f t="shared" si="0"/>
        <v>731</v>
      </c>
      <c r="P14" s="58" t="str">
        <f>IFERROR(TEXT(INDEX(contents!Y:Y,MATCH(B14,contents!V:V,0),0),"0.00%"),"")</f>
        <v>12.74%</v>
      </c>
      <c r="R14" t="str">
        <f t="shared" si="1"/>
        <v>X</v>
      </c>
    </row>
    <row r="15" spans="2:20">
      <c r="B15" s="39">
        <v>9</v>
      </c>
      <c r="C15" s="89" t="str">
        <f>IFERROR(TEXT(INDEX(contents!W:W,MATCH(B15,contents!V:V,0),0),"mm월 dd일"),"")</f>
        <v>03월 11일</v>
      </c>
      <c r="D15" s="40" t="str">
        <f>IFERROR(TEXT(INDEX(contents!W:W,MATCH(B15,contents!V:V,0),0),"aaa"),"")</f>
        <v>월</v>
      </c>
      <c r="E15" s="40" t="str" cm="1">
        <f t="array" ref="E15">IF(INDEX('contents 추가정보'!E:E,MATCH(B15,'contents 추가정보'!A:A,0),0)=0,"",INDEX('contents 추가정보'!E:E,MATCH(B15,'contents 추가정보'!A:A,0),0))</f>
        <v>미러링</v>
      </c>
      <c r="F15" s="62" t="str">
        <f>IFERROR(IF(INDEX(contents!C:C,MATCH(B15,contents!V:V,0)+1)="Sponsored","●",""),"")</f>
        <v/>
      </c>
      <c r="G15" s="213" t="str" cm="1">
        <f t="array" ref="G15">IF(INDEX('contents 추가정보'!C:C,MATCH(B15,'contents 추가정보'!A:A,0),0)=0,"",INDEX('contents 추가정보'!C:C,MATCH(B15,'contents 추가정보'!A:A,0),0))</f>
        <v>Automotive 백서</v>
      </c>
      <c r="H15" s="40" t="str" cm="1">
        <f t="array" ref="H15">IF(INDEX('contents 추가정보'!D:D,MATCH(B15,'contents 추가정보'!A:A,0),0)=0,"",INDEX('contents 추가정보'!D:D,MATCH(B15,'contents 추가정보'!A:A,0),0))</f>
        <v>Products</v>
      </c>
      <c r="I15" s="40">
        <f>IFERROR(INDEX(contents!J:J,MATCH(B15,contents!V:V,0),0),"")</f>
        <v>4224</v>
      </c>
      <c r="J15" s="40">
        <f>IFERROR(INDEX(contents!M:M,MATCH(B15,contents!V:V,0),0),"")</f>
        <v>469</v>
      </c>
      <c r="K15" s="56" t="str">
        <f>IFERROR(TEXT(INDEX(contents!N:N,MATCH(B15,contents!V:V,0),0),"0.00%"),"")</f>
        <v>11.10%</v>
      </c>
      <c r="L15" s="40">
        <f>IFERROR(INDEX(contents!O:O,MATCH(B15,contents!V:V,0),0),"")</f>
        <v>42</v>
      </c>
      <c r="M15" s="40">
        <f>IFERROR(INDEX(contents!P:P,MATCH(B15,contents!V:V,0),0),"")</f>
        <v>0</v>
      </c>
      <c r="N15" s="40">
        <f>IFERROR(INDEX(contents!Q:Q,MATCH(B15,contents!V:V,0),0),"")</f>
        <v>4</v>
      </c>
      <c r="O15" s="57">
        <f t="shared" si="0"/>
        <v>515</v>
      </c>
      <c r="P15" s="58" t="str">
        <f>IFERROR(TEXT(INDEX(contents!Y:Y,MATCH(B15,contents!V:V,0),0),"0.00%"),"")</f>
        <v>12.19%</v>
      </c>
      <c r="R15" t="str">
        <f t="shared" si="1"/>
        <v>X</v>
      </c>
    </row>
    <row r="16" spans="2:20">
      <c r="B16" s="39">
        <v>10</v>
      </c>
      <c r="C16" s="89" t="str">
        <f>IFERROR(TEXT(INDEX(contents!W:W,MATCH(B16,contents!V:V,0),0),"mm월 dd일"),"")</f>
        <v>03월 27일</v>
      </c>
      <c r="D16" s="40" t="str">
        <f>IFERROR(TEXT(INDEX(contents!W:W,MATCH(B16,contents!V:V,0),0),"aaa"),"")</f>
        <v>수</v>
      </c>
      <c r="E16" s="40" t="str" cm="1">
        <f t="array" ref="E16">IF(INDEX('contents 추가정보'!E:E,MATCH(B16,'contents 추가정보'!A:A,0),0)=0,"",INDEX('contents 추가정보'!E:E,MATCH(B16,'contents 추가정보'!A:A,0),0))</f>
        <v>기획</v>
      </c>
      <c r="F16" s="62" t="str">
        <f>IFERROR(IF(INDEX(contents!C:C,MATCH(B16,contents!V:V,0)+1)="Sponsored","●",""),"")</f>
        <v/>
      </c>
      <c r="G16" s="213" t="str" cm="1">
        <f t="array" ref="G16">IF(INDEX('contents 추가정보'!C:C,MATCH(B16,'contents 추가정보'!A:A,0),0)=0,"",INDEX('contents 추가정보'!C:C,MATCH(B16,'contents 추가정보'!A:A,0),0))</f>
        <v>HBM3E 스펙 조명 캐러셀</v>
      </c>
      <c r="H16" s="40" t="str" cm="1">
        <f t="array" ref="H16">IF(INDEX('contents 추가정보'!D:D,MATCH(B16,'contents 추가정보'!A:A,0),0)=0,"",INDEX('contents 추가정보'!D:D,MATCH(B16,'contents 추가정보'!A:A,0),0))</f>
        <v>Products</v>
      </c>
      <c r="I16" s="40">
        <f>IFERROR(INDEX(contents!J:J,MATCH(B16,contents!V:V,0),0),"")</f>
        <v>5109</v>
      </c>
      <c r="J16" s="40">
        <f>IFERROR(INDEX(contents!M:M,MATCH(B16,contents!V:V,0),0),"")</f>
        <v>465</v>
      </c>
      <c r="K16" s="56" t="str">
        <f>IFERROR(TEXT(INDEX(contents!N:N,MATCH(B16,contents!V:V,0),0),"0.00%"),"")</f>
        <v>9.10%</v>
      </c>
      <c r="L16" s="40">
        <f>IFERROR(INDEX(contents!O:O,MATCH(B16,contents!V:V,0),0),"")</f>
        <v>109</v>
      </c>
      <c r="M16" s="40">
        <f>IFERROR(INDEX(contents!P:P,MATCH(B16,contents!V:V,0),0),"")</f>
        <v>0</v>
      </c>
      <c r="N16" s="40">
        <f>IFERROR(INDEX(contents!Q:Q,MATCH(B16,contents!V:V,0),0),"")</f>
        <v>1</v>
      </c>
      <c r="O16" s="57">
        <f t="shared" si="0"/>
        <v>575</v>
      </c>
      <c r="P16" s="58" t="str">
        <f>IFERROR(TEXT(INDEX(contents!Y:Y,MATCH(B16,contents!V:V,0),0),"0.00%"),"")</f>
        <v>11.25%</v>
      </c>
      <c r="R16" t="str">
        <f t="shared" si="1"/>
        <v>X</v>
      </c>
    </row>
    <row r="17" spans="2:18">
      <c r="B17" s="39">
        <v>11</v>
      </c>
      <c r="C17" s="89" t="str">
        <f>IFERROR(TEXT(INDEX(contents!W:W,MATCH(B17,contents!V:V,0),0),"mm월 dd일"),"")</f>
        <v>03월 18일</v>
      </c>
      <c r="D17" s="40" t="str">
        <f>IFERROR(TEXT(INDEX(contents!W:W,MATCH(B17,contents!V:V,0),0),"aaa"),"")</f>
        <v>월</v>
      </c>
      <c r="E17" s="40" t="str" cm="1">
        <f t="array" ref="E17">IF(INDEX('contents 추가정보'!E:E,MATCH(B17,'contents 추가정보'!A:A,0),0)=0,"",INDEX('contents 추가정보'!E:E,MATCH(B17,'contents 추가정보'!A:A,0),0))</f>
        <v>기획</v>
      </c>
      <c r="F17" s="62" t="str">
        <f>IFERROR(IF(INDEX(contents!C:C,MATCH(B17,contents!V:V,0)+1)="Sponsored","●",""),"")</f>
        <v/>
      </c>
      <c r="G17" s="213" t="str" cm="1">
        <f t="array" ref="G17">IF(INDEX('contents 추가정보'!C:C,MATCH(B17,'contents 추가정보'!A:A,0),0)=0,"",INDEX('contents 추가정보'!C:C,MATCH(B17,'contents 추가정보'!A:A,0),0))</f>
        <v>GTC24 현장 부스 설치 이미지</v>
      </c>
      <c r="H17" s="40" t="str" cm="1">
        <f t="array" ref="H17">IF(INDEX('contents 추가정보'!D:D,MATCH(B17,'contents 추가정보'!A:A,0),0)=0,"",INDEX('contents 추가정보'!D:D,MATCH(B17,'contents 추가정보'!A:A,0),0))</f>
        <v>Events</v>
      </c>
      <c r="I17" s="40">
        <f>IFERROR(INDEX(contents!J:J,MATCH(B17,contents!V:V,0),0),"")</f>
        <v>4007</v>
      </c>
      <c r="J17" s="40">
        <f>IFERROR(INDEX(contents!M:M,MATCH(B17,contents!V:V,0),0),"")</f>
        <v>321</v>
      </c>
      <c r="K17" s="56" t="str">
        <f>IFERROR(TEXT(INDEX(contents!N:N,MATCH(B17,contents!V:V,0),0),"0.00%"),"")</f>
        <v>8.01%</v>
      </c>
      <c r="L17" s="40">
        <f>IFERROR(INDEX(contents!O:O,MATCH(B17,contents!V:V,0),0),"")</f>
        <v>58</v>
      </c>
      <c r="M17" s="40">
        <f>IFERROR(INDEX(contents!P:P,MATCH(B17,contents!V:V,0),0),"")</f>
        <v>0</v>
      </c>
      <c r="N17" s="40">
        <f>IFERROR(INDEX(contents!Q:Q,MATCH(B17,contents!V:V,0),0),"")</f>
        <v>3</v>
      </c>
      <c r="O17" s="57">
        <f t="shared" si="0"/>
        <v>382</v>
      </c>
      <c r="P17" s="58" t="str">
        <f>IFERROR(TEXT(INDEX(contents!Y:Y,MATCH(B17,contents!V:V,0),0),"0.00%"),"")</f>
        <v>9.53%</v>
      </c>
      <c r="R17" t="str">
        <f t="shared" si="1"/>
        <v>X</v>
      </c>
    </row>
    <row r="18" spans="2:18">
      <c r="B18" s="39">
        <v>12</v>
      </c>
      <c r="C18" s="89" t="str">
        <f>IFERROR(TEXT(INDEX(contents!W:W,MATCH(B18,contents!V:V,0),0),"mm월 dd일"),"")</f>
        <v>03월 13일</v>
      </c>
      <c r="D18" s="40" t="str">
        <f>IFERROR(TEXT(INDEX(contents!W:W,MATCH(B18,contents!V:V,0),0),"aaa"),"")</f>
        <v>수</v>
      </c>
      <c r="E18" s="40" t="str" cm="1">
        <f t="array" ref="E18">IF(INDEX('contents 추가정보'!E:E,MATCH(B18,'contents 추가정보'!A:A,0),0)=0,"",INDEX('contents 추가정보'!E:E,MATCH(B18,'contents 추가정보'!A:A,0),0))</f>
        <v>기획</v>
      </c>
      <c r="F18" s="62" t="str">
        <f>IFERROR(IF(INDEX(contents!C:C,MATCH(B18,contents!V:V,0)+1)="Sponsored","●",""),"")</f>
        <v/>
      </c>
      <c r="G18" s="213" t="str" cm="1">
        <f t="array" ref="G18">IF(INDEX('contents 추가정보'!C:C,MATCH(B18,'contents 추가정보'!A:A,0),0)=0,"",INDEX('contents 추가정보'!C:C,MATCH(B18,'contents 추가정보'!A:A,0),0))</f>
        <v>GTC24 세션 홍보 이미지</v>
      </c>
      <c r="H18" s="40" t="str" cm="1">
        <f t="array" ref="H18">IF(INDEX('contents 추가정보'!D:D,MATCH(B18,'contents 추가정보'!A:A,0),0)=0,"",INDEX('contents 추가정보'!D:D,MATCH(B18,'contents 추가정보'!A:A,0),0))</f>
        <v>Events</v>
      </c>
      <c r="I18" s="40">
        <f>IFERROR(INDEX(contents!J:J,MATCH(B18,contents!V:V,0),0),"")</f>
        <v>6939</v>
      </c>
      <c r="J18" s="40">
        <f>IFERROR(INDEX(contents!M:M,MATCH(B18,contents!V:V,0),0),"")</f>
        <v>471</v>
      </c>
      <c r="K18" s="56" t="str">
        <f>IFERROR(TEXT(INDEX(contents!N:N,MATCH(B18,contents!V:V,0),0),"0.00%"),"")</f>
        <v>6.79%</v>
      </c>
      <c r="L18" s="40">
        <f>IFERROR(INDEX(contents!O:O,MATCH(B18,contents!V:V,0),0),"")</f>
        <v>78</v>
      </c>
      <c r="M18" s="40">
        <f>IFERROR(INDEX(contents!P:P,MATCH(B18,contents!V:V,0),0),"")</f>
        <v>0</v>
      </c>
      <c r="N18" s="40">
        <f>IFERROR(INDEX(contents!Q:Q,MATCH(B18,contents!V:V,0),0),"")</f>
        <v>2</v>
      </c>
      <c r="O18" s="57">
        <f t="shared" si="0"/>
        <v>551</v>
      </c>
      <c r="P18" s="58" t="str">
        <f>IFERROR(TEXT(INDEX(contents!Y:Y,MATCH(B18,contents!V:V,0),0),"0.00%"),"")</f>
        <v>7.94%</v>
      </c>
      <c r="R18" t="str">
        <f t="shared" si="1"/>
        <v>X</v>
      </c>
    </row>
    <row r="19" spans="2:18">
      <c r="B19" s="39">
        <v>13</v>
      </c>
      <c r="C19" s="89" t="str">
        <f>IFERROR(TEXT(INDEX(contents!W:W,MATCH(B19,contents!V:V,0),0),"mm월 dd일"),"")</f>
        <v>03월 28일</v>
      </c>
      <c r="D19" s="40" t="str">
        <f>IFERROR(TEXT(INDEX(contents!W:W,MATCH(B19,contents!V:V,0),0),"aaa"),"")</f>
        <v>목</v>
      </c>
      <c r="E19" s="40" t="str" cm="1">
        <f t="array" ref="E19">IF(INDEX('contents 추가정보'!E:E,MATCH(B19,'contents 추가정보'!A:A,0),0)=0,"",INDEX('contents 추가정보'!E:E,MATCH(B19,'contents 추가정보'!A:A,0),0))</f>
        <v>기획</v>
      </c>
      <c r="F19" s="62" t="str">
        <f>IFERROR(IF(INDEX(contents!C:C,MATCH(B19,contents!V:V,0)+1)="Sponsored","●",""),"")</f>
        <v/>
      </c>
      <c r="G19" s="213" t="str" cm="1">
        <f t="array" ref="G19">IF(INDEX('contents 추가정보'!C:C,MATCH(B19,'contents 추가정보'!A:A,0),0)=0,"",INDEX('contents 추가정보'!C:C,MATCH(B19,'contents 추가정보'!A:A,0),0))</f>
        <v>AI 인프라_권운오 부상장님 인터뷰</v>
      </c>
      <c r="H19" s="40" t="str" cm="1">
        <f t="array" ref="H19">IF(INDEX('contents 추가정보'!D:D,MATCH(B19,'contents 추가정보'!A:A,0),0)=0,"",INDEX('contents 추가정보'!D:D,MATCH(B19,'contents 추가정보'!A:A,0),0))</f>
        <v>Interest</v>
      </c>
      <c r="I19" s="40">
        <f>IFERROR(INDEX(contents!J:J,MATCH(B19,contents!V:V,0),0),"")</f>
        <v>3801</v>
      </c>
      <c r="J19" s="40">
        <f>IFERROR(INDEX(contents!M:M,MATCH(B19,contents!V:V,0),0),"")</f>
        <v>171</v>
      </c>
      <c r="K19" s="56" t="str">
        <f>IFERROR(TEXT(INDEX(contents!N:N,MATCH(B19,contents!V:V,0),0),"0.00%"),"")</f>
        <v>4.50%</v>
      </c>
      <c r="L19" s="40">
        <f>IFERROR(INDEX(contents!O:O,MATCH(B19,contents!V:V,0),0),"")</f>
        <v>44</v>
      </c>
      <c r="M19" s="40">
        <f>IFERROR(INDEX(contents!P:P,MATCH(B19,contents!V:V,0),0),"")</f>
        <v>0</v>
      </c>
      <c r="N19" s="40">
        <f>IFERROR(INDEX(contents!Q:Q,MATCH(B19,contents!V:V,0),0),"")</f>
        <v>0</v>
      </c>
      <c r="O19" s="57">
        <f t="shared" si="0"/>
        <v>215</v>
      </c>
      <c r="P19" s="58" t="str">
        <f>IFERROR(TEXT(INDEX(contents!Y:Y,MATCH(B19,contents!V:V,0),0),"0.00%"),"")</f>
        <v>5.66%</v>
      </c>
      <c r="R19" t="str">
        <f t="shared" si="1"/>
        <v>X</v>
      </c>
    </row>
    <row r="20" spans="2:18">
      <c r="B20" s="39">
        <v>14</v>
      </c>
      <c r="C20" s="89" t="str">
        <f>IFERROR(TEXT(INDEX(contents!W:W,MATCH(B20,contents!V:V,0),0),"mm월 dd일"),"")</f>
        <v>03월 20일</v>
      </c>
      <c r="D20" s="40" t="str">
        <f>IFERROR(TEXT(INDEX(contents!W:W,MATCH(B20,contents!V:V,0),0),"aaa"),"")</f>
        <v>수</v>
      </c>
      <c r="E20" s="40" t="str" cm="1">
        <f t="array" ref="E20">IF(INDEX('contents 추가정보'!E:E,MATCH(B20,'contents 추가정보'!A:A,0),0)=0,"",INDEX('contents 추가정보'!E:E,MATCH(B20,'contents 추가정보'!A:A,0),0))</f>
        <v>미러링</v>
      </c>
      <c r="F20" s="62" t="str">
        <f>IFERROR(IF(INDEX(contents!C:C,MATCH(B20,contents!V:V,0)+1)="Sponsored","●",""),"")</f>
        <v/>
      </c>
      <c r="G20" s="213" t="str" cm="1">
        <f t="array" ref="G20">IF(INDEX('contents 추가정보'!C:C,MATCH(B20,'contents 추가정보'!A:A,0),0)=0,"",INDEX('contents 추가정보'!C:C,MATCH(B20,'contents 추가정보'!A:A,0),0))</f>
        <v>PCB01 공개 보도자료</v>
      </c>
      <c r="H20" s="40" t="str" cm="1">
        <f t="array" ref="H20">IF(INDEX('contents 추가정보'!D:D,MATCH(B20,'contents 추가정보'!A:A,0),0)=0,"",INDEX('contents 추가정보'!D:D,MATCH(B20,'contents 추가정보'!A:A,0),0))</f>
        <v>News</v>
      </c>
      <c r="I20" s="40">
        <f>IFERROR(INDEX(contents!J:J,MATCH(B20,contents!V:V,0),0),"")</f>
        <v>4328</v>
      </c>
      <c r="J20" s="40">
        <f>IFERROR(INDEX(contents!M:M,MATCH(B20,contents!V:V,0),0),"")</f>
        <v>133</v>
      </c>
      <c r="K20" s="56" t="str">
        <f>IFERROR(TEXT(INDEX(contents!N:N,MATCH(B20,contents!V:V,0),0),"0.00%"),"")</f>
        <v>3.07%</v>
      </c>
      <c r="L20" s="40">
        <f>IFERROR(INDEX(contents!O:O,MATCH(B20,contents!V:V,0),0),"")</f>
        <v>61</v>
      </c>
      <c r="M20" s="40">
        <f>IFERROR(INDEX(contents!P:P,MATCH(B20,contents!V:V,0),0),"")</f>
        <v>1</v>
      </c>
      <c r="N20" s="40">
        <f>IFERROR(INDEX(contents!Q:Q,MATCH(B20,contents!V:V,0),0),"")</f>
        <v>4</v>
      </c>
      <c r="O20" s="57">
        <f t="shared" si="0"/>
        <v>199</v>
      </c>
      <c r="P20" s="58" t="str">
        <f>IFERROR(TEXT(INDEX(contents!Y:Y,MATCH(B20,contents!V:V,0),0),"0.00%"),"")</f>
        <v>4.60%</v>
      </c>
      <c r="R20" t="str">
        <f t="shared" si="1"/>
        <v>X</v>
      </c>
    </row>
    <row r="21" spans="2:18">
      <c r="B21" s="39">
        <v>15</v>
      </c>
      <c r="C21" s="89" t="str">
        <f>IFERROR(TEXT(INDEX(contents!W:W,MATCH(B21,contents!V:V,0),0),"mm월 dd일"),"")</f>
        <v>03월 21일</v>
      </c>
      <c r="D21" s="40" t="str">
        <f>IFERROR(TEXT(INDEX(contents!W:W,MATCH(B21,contents!V:V,0),0),"aaa"),"")</f>
        <v>목</v>
      </c>
      <c r="E21" s="40" t="str" cm="1">
        <f t="array" ref="E21">IF(INDEX('contents 추가정보'!E:E,MATCH(B21,'contents 추가정보'!A:A,0),0)=0,"",INDEX('contents 추가정보'!E:E,MATCH(B21,'contents 추가정보'!A:A,0),0))</f>
        <v>미러링</v>
      </c>
      <c r="F21" s="62" t="str">
        <f>IFERROR(IF(INDEX(contents!C:C,MATCH(B21,contents!V:V,0)+1)="Sponsored","●",""),"")</f>
        <v/>
      </c>
      <c r="G21" s="213" t="str" cm="1">
        <f t="array" ref="G21">IF(INDEX('contents 추가정보'!C:C,MATCH(B21,'contents 추가정보'!A:A,0),0)=0,"",INDEX('contents 추가정보'!C:C,MATCH(B21,'contents 추가정보'!A:A,0),0))</f>
        <v>GTC24 스케치 뉴스룸</v>
      </c>
      <c r="H21" s="40" t="str" cm="1">
        <f t="array" ref="H21">IF(INDEX('contents 추가정보'!D:D,MATCH(B21,'contents 추가정보'!A:A,0),0)=0,"",INDEX('contents 추가정보'!D:D,MATCH(B21,'contents 추가정보'!A:A,0),0))</f>
        <v>Events</v>
      </c>
      <c r="I21" s="40">
        <f>IFERROR(INDEX(contents!J:J,MATCH(B21,contents!V:V,0),0),"")</f>
        <v>2981</v>
      </c>
      <c r="J21" s="40">
        <f>IFERROR(INDEX(contents!M:M,MATCH(B21,contents!V:V,0),0),"")</f>
        <v>76</v>
      </c>
      <c r="K21" s="56" t="str">
        <f>IFERROR(TEXT(INDEX(contents!N:N,MATCH(B21,contents!V:V,0),0),"0.00%"),"")</f>
        <v>2.55%</v>
      </c>
      <c r="L21" s="40">
        <f>IFERROR(INDEX(contents!O:O,MATCH(B21,contents!V:V,0),0),"")</f>
        <v>57</v>
      </c>
      <c r="M21" s="40">
        <f>IFERROR(INDEX(contents!P:P,MATCH(B21,contents!V:V,0),0),"")</f>
        <v>0</v>
      </c>
      <c r="N21" s="40">
        <f>IFERROR(INDEX(contents!Q:Q,MATCH(B21,contents!V:V,0),0),"")</f>
        <v>1</v>
      </c>
      <c r="O21" s="57">
        <f t="shared" si="0"/>
        <v>134</v>
      </c>
      <c r="P21" s="58" t="str">
        <f>IFERROR(TEXT(INDEX(contents!Y:Y,MATCH(B21,contents!V:V,0),0),"0.00%"),"")</f>
        <v>4.50%</v>
      </c>
      <c r="R21" t="str">
        <f t="shared" si="1"/>
        <v>X</v>
      </c>
    </row>
    <row r="22" spans="2:18">
      <c r="B22" s="39">
        <v>16</v>
      </c>
      <c r="C22" s="89" t="str">
        <f>IFERROR(TEXT(INDEX(contents!W:W,MATCH(B22,contents!V:V,0),0),"mm월 dd일"),"")</f>
        <v>03월 19일</v>
      </c>
      <c r="D22" s="40" t="str">
        <f>IFERROR(TEXT(INDEX(contents!W:W,MATCH(B22,contents!V:V,0),0),"aaa"),"")</f>
        <v>화</v>
      </c>
      <c r="E22" s="40" t="str" cm="1">
        <f t="array" ref="E22">IF(INDEX('contents 추가정보'!E:E,MATCH(B22,'contents 추가정보'!A:A,0),0)=0,"",INDEX('contents 추가정보'!E:E,MATCH(B22,'contents 추가정보'!A:A,0),0))</f>
        <v>미러링</v>
      </c>
      <c r="F22" s="62" t="str">
        <f>IFERROR(IF(INDEX(contents!C:C,MATCH(B22,contents!V:V,0)+1)="Sponsored","●",""),"")</f>
        <v/>
      </c>
      <c r="G22" s="213" t="str" cm="1">
        <f t="array" ref="G22">IF(INDEX('contents 추가정보'!C:C,MATCH(B22,'contents 추가정보'!A:A,0),0)=0,"",INDEX('contents 추가정보'!C:C,MATCH(B22,'contents 추가정보'!A:A,0),0))</f>
        <v>HBM3E 양산 보도자료</v>
      </c>
      <c r="H22" s="40" t="str" cm="1">
        <f t="array" ref="H22">IF(INDEX('contents 추가정보'!D:D,MATCH(B22,'contents 추가정보'!A:A,0),0)=0,"",INDEX('contents 추가정보'!D:D,MATCH(B22,'contents 추가정보'!A:A,0),0))</f>
        <v>News</v>
      </c>
      <c r="I22" s="40">
        <f>IFERROR(INDEX(contents!J:J,MATCH(B22,contents!V:V,0),0),"")</f>
        <v>4521</v>
      </c>
      <c r="J22" s="40">
        <f>IFERROR(INDEX(contents!M:M,MATCH(B22,contents!V:V,0),0),"")</f>
        <v>100</v>
      </c>
      <c r="K22" s="56" t="str">
        <f>IFERROR(TEXT(INDEX(contents!N:N,MATCH(B22,contents!V:V,0),0),"0.00%"),"")</f>
        <v>2.21%</v>
      </c>
      <c r="L22" s="40">
        <f>IFERROR(INDEX(contents!O:O,MATCH(B22,contents!V:V,0),0),"")</f>
        <v>96</v>
      </c>
      <c r="M22" s="40">
        <f>IFERROR(INDEX(contents!P:P,MATCH(B22,contents!V:V,0),0),"")</f>
        <v>3</v>
      </c>
      <c r="N22" s="40">
        <f>IFERROR(INDEX(contents!Q:Q,MATCH(B22,contents!V:V,0),0),"")</f>
        <v>4</v>
      </c>
      <c r="O22" s="57">
        <f t="shared" si="0"/>
        <v>203</v>
      </c>
      <c r="P22" s="58" t="str">
        <f>IFERROR(TEXT(INDEX(contents!Y:Y,MATCH(B22,contents!V:V,0),0),"0.00%"),"")</f>
        <v>4.49%</v>
      </c>
      <c r="R22" t="str">
        <f t="shared" si="1"/>
        <v>X</v>
      </c>
    </row>
    <row r="23" spans="2:18">
      <c r="B23" s="39">
        <v>17</v>
      </c>
      <c r="C23" s="89" t="str">
        <f>IFERROR(TEXT(INDEX(contents!W:W,MATCH(B23,contents!V:V,0),0),"mm월 dd일"),"")</f>
        <v>03월 13일</v>
      </c>
      <c r="D23" s="40" t="str">
        <f>IFERROR(TEXT(INDEX(contents!W:W,MATCH(B23,contents!V:V,0),0),"aaa"),"")</f>
        <v>수</v>
      </c>
      <c r="E23" s="40" t="str" cm="1">
        <f t="array" ref="E23">IF(INDEX('contents 추가정보'!E:E,MATCH(B23,'contents 추가정보'!A:A,0),0)=0,"",INDEX('contents 추가정보'!E:E,MATCH(B23,'contents 추가정보'!A:A,0),0))</f>
        <v>미러링</v>
      </c>
      <c r="F23" s="62" t="str">
        <f>IFERROR(IF(INDEX(contents!C:C,MATCH(B23,contents!V:V,0)+1)="Sponsored","●",""),"")</f>
        <v/>
      </c>
      <c r="G23" s="213" t="str" cm="1">
        <f t="array" ref="G23">IF(INDEX('contents 추가정보'!C:C,MATCH(B23,'contents 추가정보'!A:A,0),0)=0,"",INDEX('contents 추가정보'!C:C,MATCH(B23,'contents 추가정보'!A:A,0),0))</f>
        <v>신임임원 인터뷰_길덕신 담당님</v>
      </c>
      <c r="H23" s="40" t="str" cm="1">
        <f t="array" ref="H23">IF(INDEX('contents 추가정보'!D:D,MATCH(B23,'contents 추가정보'!A:A,0),0)=0,"",INDEX('contents 추가정보'!D:D,MATCH(B23,'contents 추가정보'!A:A,0),0))</f>
        <v>Interest</v>
      </c>
      <c r="I23" s="40">
        <f>IFERROR(INDEX(contents!J:J,MATCH(B23,contents!V:V,0),0),"")</f>
        <v>2671</v>
      </c>
      <c r="J23" s="40">
        <f>IFERROR(INDEX(contents!M:M,MATCH(B23,contents!V:V,0),0),"")</f>
        <v>68</v>
      </c>
      <c r="K23" s="56" t="str">
        <f>IFERROR(TEXT(INDEX(contents!N:N,MATCH(B23,contents!V:V,0),0),"0.00%"),"")</f>
        <v>2.55%</v>
      </c>
      <c r="L23" s="40">
        <f>IFERROR(INDEX(contents!O:O,MATCH(B23,contents!V:V,0),0),"")</f>
        <v>37</v>
      </c>
      <c r="M23" s="40">
        <f>IFERROR(INDEX(contents!P:P,MATCH(B23,contents!V:V,0),0),"")</f>
        <v>0</v>
      </c>
      <c r="N23" s="40">
        <f>IFERROR(INDEX(contents!Q:Q,MATCH(B23,contents!V:V,0),0),"")</f>
        <v>0</v>
      </c>
      <c r="O23" s="57">
        <f t="shared" si="0"/>
        <v>105</v>
      </c>
      <c r="P23" s="58" t="str">
        <f>IFERROR(TEXT(INDEX(contents!Y:Y,MATCH(B23,contents!V:V,0),0),"0.00%"),"")</f>
        <v>3.93%</v>
      </c>
      <c r="R23" t="str">
        <f t="shared" si="1"/>
        <v>X</v>
      </c>
    </row>
    <row r="24" spans="2:18">
      <c r="B24" s="39">
        <v>18</v>
      </c>
      <c r="C24" s="89" t="str">
        <f>IFERROR(TEXT(INDEX(contents!W:W,MATCH(B24,contents!V:V,0),0),"mm월 dd일"),"")</f>
        <v>03월 14일</v>
      </c>
      <c r="D24" s="40" t="str">
        <f>IFERROR(TEXT(INDEX(contents!W:W,MATCH(B24,contents!V:V,0),0),"aaa"),"")</f>
        <v>목</v>
      </c>
      <c r="E24" s="40" t="str" cm="1">
        <f t="array" ref="E24">IF(INDEX('contents 추가정보'!E:E,MATCH(B24,'contents 추가정보'!A:A,0),0)=0,"",INDEX('contents 추가정보'!E:E,MATCH(B24,'contents 추가정보'!A:A,0),0))</f>
        <v>기획</v>
      </c>
      <c r="F24" s="62" t="str">
        <f>IFERROR(IF(INDEX(contents!C:C,MATCH(B24,contents!V:V,0)+1)="Sponsored","●",""),"")</f>
        <v/>
      </c>
      <c r="G24" s="213" t="str" cm="1">
        <f t="array" ref="G24">IF(INDEX('contents 추가정보'!C:C,MATCH(B24,'contents 추가정보'!A:A,0),0)=0,"",INDEX('contents 추가정보'!C:C,MATCH(B24,'contents 추가정보'!A:A,0),0))</f>
        <v>GTC24 부스 안내 이미지</v>
      </c>
      <c r="H24" s="40" t="str" cm="1">
        <f t="array" ref="H24">IF(INDEX('contents 추가정보'!D:D,MATCH(B24,'contents 추가정보'!A:A,0),0)=0,"",INDEX('contents 추가정보'!D:D,MATCH(B24,'contents 추가정보'!A:A,0),0))</f>
        <v>Events</v>
      </c>
      <c r="I24" s="40">
        <f>IFERROR(INDEX(contents!J:J,MATCH(B24,contents!V:V,0),0),"")</f>
        <v>2303</v>
      </c>
      <c r="J24" s="40">
        <f>IFERROR(INDEX(contents!M:M,MATCH(B24,contents!V:V,0),0),"")</f>
        <v>55</v>
      </c>
      <c r="K24" s="56" t="str">
        <f>IFERROR(TEXT(INDEX(contents!N:N,MATCH(B24,contents!V:V,0),0),"0.00%"),"")</f>
        <v>2.39%</v>
      </c>
      <c r="L24" s="40">
        <f>IFERROR(INDEX(contents!O:O,MATCH(B24,contents!V:V,0),0),"")</f>
        <v>35</v>
      </c>
      <c r="M24" s="40">
        <f>IFERROR(INDEX(contents!P:P,MATCH(B24,contents!V:V,0),0),"")</f>
        <v>0</v>
      </c>
      <c r="N24" s="40">
        <f>IFERROR(INDEX(contents!Q:Q,MATCH(B24,contents!V:V,0),0),"")</f>
        <v>0</v>
      </c>
      <c r="O24" s="57">
        <f t="shared" si="0"/>
        <v>90</v>
      </c>
      <c r="P24" s="58" t="str">
        <f>IFERROR(TEXT(INDEX(contents!Y:Y,MATCH(B24,contents!V:V,0),0),"0.00%"),"")</f>
        <v>3.91%</v>
      </c>
      <c r="R24" t="str">
        <f t="shared" si="1"/>
        <v>X</v>
      </c>
    </row>
    <row r="25" spans="2:18">
      <c r="B25" s="39">
        <v>19</v>
      </c>
      <c r="C25" s="89" t="str">
        <f>IFERROR(TEXT(INDEX(contents!W:W,MATCH(B25,contents!V:V,0),0),"mm월 dd일"),"")</f>
        <v>03월 29일</v>
      </c>
      <c r="D25" s="40" t="str">
        <f>IFERROR(TEXT(INDEX(contents!W:W,MATCH(B25,contents!V:V,0),0),"aaa"),"")</f>
        <v>금</v>
      </c>
      <c r="E25" s="40" t="str" cm="1">
        <f t="array" ref="E25">IF(INDEX('contents 추가정보'!E:E,MATCH(B25,'contents 추가정보'!A:A,0),0)=0,"",INDEX('contents 추가정보'!E:E,MATCH(B25,'contents 추가정보'!A:A,0),0))</f>
        <v>미러링</v>
      </c>
      <c r="F25" s="62" t="str">
        <f>IFERROR(IF(INDEX(contents!C:C,MATCH(B25,contents!V:V,0)+1)="Sponsored","●",""),"")</f>
        <v/>
      </c>
      <c r="G25" s="213" t="str" cm="1">
        <f t="array" ref="G25">IF(INDEX('contents 추가정보'!C:C,MATCH(B25,'contents 추가정보'!A:A,0),0)=0,"",INDEX('contents 추가정보'!C:C,MATCH(B25,'contents 추가정보'!A:A,0),0))</f>
        <v>DevCon CXL 블로그</v>
      </c>
      <c r="H25" s="40" t="str" cm="1">
        <f t="array" ref="H25">IF(INDEX('contents 추가정보'!D:D,MATCH(B25,'contents 추가정보'!A:A,0),0)=0,"",INDEX('contents 추가정보'!D:D,MATCH(B25,'contents 추가정보'!A:A,0),0))</f>
        <v>Products</v>
      </c>
      <c r="I25" s="40">
        <f>IFERROR(INDEX(contents!J:J,MATCH(B25,contents!V:V,0),0),"")</f>
        <v>1844</v>
      </c>
      <c r="J25" s="40">
        <f>IFERROR(INDEX(contents!M:M,MATCH(B25,contents!V:V,0),0),"")</f>
        <v>54</v>
      </c>
      <c r="K25" s="56" t="str">
        <f>IFERROR(TEXT(INDEX(contents!N:N,MATCH(B25,contents!V:V,0),0),"0.00%"),"")</f>
        <v>2.93%</v>
      </c>
      <c r="L25" s="40">
        <f>IFERROR(INDEX(contents!O:O,MATCH(B25,contents!V:V,0),0),"")</f>
        <v>16</v>
      </c>
      <c r="M25" s="40">
        <f>IFERROR(INDEX(contents!P:P,MATCH(B25,contents!V:V,0),0),"")</f>
        <v>0</v>
      </c>
      <c r="N25" s="40">
        <f>IFERROR(INDEX(contents!Q:Q,MATCH(B25,contents!V:V,0),0),"")</f>
        <v>2</v>
      </c>
      <c r="O25" s="57">
        <f t="shared" si="0"/>
        <v>72</v>
      </c>
      <c r="P25" s="58" t="str">
        <f>IFERROR(TEXT(INDEX(contents!Y:Y,MATCH(B25,contents!V:V,0),0),"0.00%"),"")</f>
        <v>3.90%</v>
      </c>
      <c r="R25" t="str">
        <f t="shared" si="1"/>
        <v>X</v>
      </c>
    </row>
    <row r="26" spans="2:18">
      <c r="B26" s="39">
        <v>20</v>
      </c>
      <c r="C26" s="89" t="str">
        <f>IFERROR(TEXT(INDEX(contents!W:W,MATCH(B26,contents!V:V,0),0),"mm월 dd일"),"")</f>
        <v>03월 22일</v>
      </c>
      <c r="D26" s="40" t="str">
        <f>IFERROR(TEXT(INDEX(contents!W:W,MATCH(B26,contents!V:V,0),0),"aaa"),"")</f>
        <v>금</v>
      </c>
      <c r="E26" s="40" t="str" cm="1">
        <f t="array" ref="E26">IF(INDEX('contents 추가정보'!E:E,MATCH(B26,'contents 추가정보'!A:A,0),0)=0,"",INDEX('contents 추가정보'!E:E,MATCH(B26,'contents 추가정보'!A:A,0),0))</f>
        <v>기획</v>
      </c>
      <c r="F26" s="62" t="str">
        <f>IFERROR(IF(INDEX(contents!C:C,MATCH(B26,contents!V:V,0)+1)="Sponsored","●",""),"")</f>
        <v/>
      </c>
      <c r="G26" s="213" t="str" cm="1">
        <f t="array" ref="G26">IF(INDEX('contents 추가정보'!C:C,MATCH(B26,'contents 추가정보'!A:A,0),0)=0,"",INDEX('contents 추가정보'!C:C,MATCH(B26,'contents 추가정보'!A:A,0),0))</f>
        <v>세계 물의 날</v>
      </c>
      <c r="H26" s="40" t="str" cm="1">
        <f t="array" ref="H26">IF(INDEX('contents 추가정보'!D:D,MATCH(B26,'contents 추가정보'!A:A,0),0)=0,"",INDEX('contents 추가정보'!D:D,MATCH(B26,'contents 추가정보'!A:A,0),0))</f>
        <v>Seasonal</v>
      </c>
      <c r="I26" s="40">
        <f>IFERROR(INDEX(contents!J:J,MATCH(B26,contents!V:V,0),0),"")</f>
        <v>1328</v>
      </c>
      <c r="J26" s="40">
        <f>IFERROR(INDEX(contents!M:M,MATCH(B26,contents!V:V,0),0),"")</f>
        <v>26</v>
      </c>
      <c r="K26" s="56" t="str">
        <f>IFERROR(TEXT(INDEX(contents!N:N,MATCH(B26,contents!V:V,0),0),"0.00%"),"")</f>
        <v>1.96%</v>
      </c>
      <c r="L26" s="40">
        <f>IFERROR(INDEX(contents!O:O,MATCH(B26,contents!V:V,0),0),"")</f>
        <v>24</v>
      </c>
      <c r="M26" s="40">
        <f>IFERROR(INDEX(contents!P:P,MATCH(B26,contents!V:V,0),0),"")</f>
        <v>0</v>
      </c>
      <c r="N26" s="40">
        <f>IFERROR(INDEX(contents!Q:Q,MATCH(B26,contents!V:V,0),0),"")</f>
        <v>1</v>
      </c>
      <c r="O26" s="57">
        <f t="shared" si="0"/>
        <v>51</v>
      </c>
      <c r="P26" s="58" t="str">
        <f>IFERROR(TEXT(INDEX(contents!Y:Y,MATCH(B26,contents!V:V,0),0),"0.00%"),"")</f>
        <v>3.84%</v>
      </c>
      <c r="R26" t="str">
        <f t="shared" si="1"/>
        <v>X</v>
      </c>
    </row>
    <row r="27" spans="2:18">
      <c r="B27" s="39">
        <v>21</v>
      </c>
      <c r="C27" s="89" t="str">
        <f>IFERROR(TEXT(INDEX(contents!W:W,MATCH(B27,contents!V:V,0),0),"mm월 dd일"),"")</f>
        <v>03월 08일</v>
      </c>
      <c r="D27" s="40" t="str">
        <f>IFERROR(TEXT(INDEX(contents!W:W,MATCH(B27,contents!V:V,0),0),"aaa"),"")</f>
        <v>금</v>
      </c>
      <c r="E27" s="40" t="str" cm="1">
        <f t="array" ref="E27">IF(INDEX('contents 추가정보'!E:E,MATCH(B27,'contents 추가정보'!A:A,0),0)=0,"",INDEX('contents 추가정보'!E:E,MATCH(B27,'contents 추가정보'!A:A,0),0))</f>
        <v>미러링</v>
      </c>
      <c r="F27" s="62" t="str">
        <f>IFERROR(IF(INDEX(contents!C:C,MATCH(B27,contents!V:V,0)+1)="Sponsored","●",""),"")</f>
        <v/>
      </c>
      <c r="G27" s="213" t="str" cm="1">
        <f t="array" ref="G27">IF(INDEX('contents 추가정보'!C:C,MATCH(B27,'contents 추가정보'!A:A,0),0)=0,"",INDEX('contents 추가정보'!C:C,MATCH(B27,'contents 추가정보'!A:A,0),0))</f>
        <v>세계 여성의 날 (뉴스룸)</v>
      </c>
      <c r="H27" s="40" t="str" cm="1">
        <f t="array" ref="H27">IF(INDEX('contents 추가정보'!D:D,MATCH(B27,'contents 추가정보'!A:A,0),0)=0,"",INDEX('contents 추가정보'!D:D,MATCH(B27,'contents 추가정보'!A:A,0),0))</f>
        <v>Seasonal</v>
      </c>
      <c r="I27" s="40">
        <f>IFERROR(INDEX(contents!J:J,MATCH(B27,contents!V:V,0),0),"")</f>
        <v>1252</v>
      </c>
      <c r="J27" s="40">
        <f>IFERROR(INDEX(contents!M:M,MATCH(B27,contents!V:V,0),0),"")</f>
        <v>29</v>
      </c>
      <c r="K27" s="56" t="str">
        <f>IFERROR(TEXT(INDEX(contents!N:N,MATCH(B27,contents!V:V,0),0),"0.00%"),"")</f>
        <v>2.32%</v>
      </c>
      <c r="L27" s="40">
        <f>IFERROR(INDEX(contents!O:O,MATCH(B27,contents!V:V,0),0),"")</f>
        <v>18</v>
      </c>
      <c r="M27" s="40">
        <f>IFERROR(INDEX(contents!P:P,MATCH(B27,contents!V:V,0),0),"")</f>
        <v>0</v>
      </c>
      <c r="N27" s="40">
        <f>IFERROR(INDEX(contents!Q:Q,MATCH(B27,contents!V:V,0),0),"")</f>
        <v>0</v>
      </c>
      <c r="O27" s="57">
        <f t="shared" si="0"/>
        <v>47</v>
      </c>
      <c r="P27" s="58" t="str">
        <f>IFERROR(TEXT(INDEX(contents!Y:Y,MATCH(B27,contents!V:V,0),0),"0.00%"),"")</f>
        <v>3.75%</v>
      </c>
      <c r="R27" t="str">
        <f t="shared" si="1"/>
        <v>X</v>
      </c>
    </row>
    <row r="28" spans="2:18">
      <c r="B28" s="59">
        <v>22</v>
      </c>
      <c r="C28" s="89" t="str">
        <f>IFERROR(TEXT(INDEX(contents!W:W,MATCH(B28,contents!V:V,0),0),"mm월 dd일"),"")</f>
        <v>03월 04일</v>
      </c>
      <c r="D28" s="40" t="str">
        <f>IFERROR(TEXT(INDEX(contents!W:W,MATCH(B28,contents!V:V,0),0),"aaa"),"")</f>
        <v>월</v>
      </c>
      <c r="E28" s="40" t="str" cm="1">
        <f t="array" ref="E28">IF(INDEX('contents 추가정보'!E:E,MATCH(B28,'contents 추가정보'!A:A,0),0)=0,"",INDEX('contents 추가정보'!E:E,MATCH(B28,'contents 추가정보'!A:A,0),0))</f>
        <v>기획</v>
      </c>
      <c r="F28" s="62" t="str">
        <f>IFERROR(IF(INDEX(contents!C:C,MATCH(B28,contents!V:V,0)+1)="Sponsored","●",""),"")</f>
        <v/>
      </c>
      <c r="G28" s="213" t="str" cm="1">
        <f t="array" ref="G28">IF(INDEX('contents 추가정보'!C:C,MATCH(B28,'contents 추가정보'!A:A,0),0)=0,"",INDEX('contents 추가정보'!C:C,MATCH(B28,'contents 추가정보'!A:A,0),0))</f>
        <v>MCRDIMM 스펙 조명 이미지</v>
      </c>
      <c r="H28" s="40" t="str" cm="1">
        <f t="array" ref="H28">IF(INDEX('contents 추가정보'!D:D,MATCH(B28,'contents 추가정보'!A:A,0),0)=0,"",INDEX('contents 추가정보'!D:D,MATCH(B28,'contents 추가정보'!A:A,0),0))</f>
        <v>Products</v>
      </c>
      <c r="I28" s="40">
        <f>IFERROR(INDEX(contents!J:J,MATCH(B28,contents!V:V,0),0),"")</f>
        <v>4534</v>
      </c>
      <c r="J28" s="40">
        <f>IFERROR(INDEX(contents!M:M,MATCH(B28,contents!V:V,0),0),"")</f>
        <v>97</v>
      </c>
      <c r="K28" s="56" t="str">
        <f>IFERROR(TEXT(INDEX(contents!N:N,MATCH(B28,contents!V:V,0),0),"0.00%"),"")</f>
        <v>2.14%</v>
      </c>
      <c r="L28" s="40">
        <f>IFERROR(INDEX(contents!O:O,MATCH(B28,contents!V:V,0),0),"")</f>
        <v>55</v>
      </c>
      <c r="M28" s="40">
        <f>IFERROR(INDEX(contents!P:P,MATCH(B28,contents!V:V,0),0),"")</f>
        <v>1</v>
      </c>
      <c r="N28" s="40">
        <f>IFERROR(INDEX(contents!Q:Q,MATCH(B28,contents!V:V,0),0),"")</f>
        <v>1</v>
      </c>
      <c r="O28" s="57">
        <f t="shared" si="0"/>
        <v>154</v>
      </c>
      <c r="P28" s="58" t="str">
        <f>IFERROR(TEXT(INDEX(contents!Y:Y,MATCH(B28,contents!V:V,0),0),"0.00%"),"")</f>
        <v>3.40%</v>
      </c>
      <c r="R28" t="str">
        <f t="shared" si="1"/>
        <v>X</v>
      </c>
    </row>
    <row r="29" spans="2:18">
      <c r="B29" s="39">
        <v>23</v>
      </c>
      <c r="C29" s="89" t="str">
        <f>IFERROR(TEXT(INDEX(contents!W:W,MATCH(B29,contents!V:V,0),0),"mm월 dd일"),"")</f>
        <v>03월 08일</v>
      </c>
      <c r="D29" s="40" t="str">
        <f>IFERROR(TEXT(INDEX(contents!W:W,MATCH(B29,contents!V:V,0),0),"aaa"),"")</f>
        <v>금</v>
      </c>
      <c r="E29" s="40" t="str" cm="1">
        <f t="array" ref="E29">IF(INDEX('contents 추가정보'!E:E,MATCH(B29,'contents 추가정보'!A:A,0),0)=0,"",INDEX('contents 추가정보'!E:E,MATCH(B29,'contents 추가정보'!A:A,0),0))</f>
        <v>기획</v>
      </c>
      <c r="F29" s="62" t="str">
        <f>IFERROR(IF(INDEX(contents!C:C,MATCH(B29,contents!V:V,0)+1)="Sponsored","●",""),"")</f>
        <v/>
      </c>
      <c r="G29" s="213" t="str" cm="1">
        <f t="array" ref="G29">IF(INDEX('contents 추가정보'!C:C,MATCH(B29,'contents 추가정보'!A:A,0),0)=0,"",INDEX('contents 추가정보'!C:C,MATCH(B29,'contents 추가정보'!A:A,0),0))</f>
        <v>GTC24 행사 참여 안내 배너</v>
      </c>
      <c r="H29" s="40" t="str" cm="1">
        <f t="array" ref="H29">IF(INDEX('contents 추가정보'!D:D,MATCH(B29,'contents 추가정보'!A:A,0),0)=0,"",INDEX('contents 추가정보'!D:D,MATCH(B29,'contents 추가정보'!A:A,0),0))</f>
        <v>Events</v>
      </c>
      <c r="I29" s="40">
        <f>IFERROR(INDEX(contents!J:J,MATCH(B29,contents!V:V,0),0),"")</f>
        <v>2405</v>
      </c>
      <c r="J29" s="40">
        <f>IFERROR(INDEX(contents!M:M,MATCH(B29,contents!V:V,0),0),"")</f>
        <v>41</v>
      </c>
      <c r="K29" s="56" t="str">
        <f>IFERROR(TEXT(INDEX(contents!N:N,MATCH(B29,contents!V:V,0),0),"0.00%"),"")</f>
        <v>1.70%</v>
      </c>
      <c r="L29" s="40">
        <f>IFERROR(INDEX(contents!O:O,MATCH(B29,contents!V:V,0),0),"")</f>
        <v>37</v>
      </c>
      <c r="M29" s="40">
        <f>IFERROR(INDEX(contents!P:P,MATCH(B29,contents!V:V,0),0),"")</f>
        <v>0</v>
      </c>
      <c r="N29" s="40">
        <f>IFERROR(INDEX(contents!Q:Q,MATCH(B29,contents!V:V,0),0),"")</f>
        <v>1</v>
      </c>
      <c r="O29" s="57">
        <f t="shared" si="0"/>
        <v>79</v>
      </c>
      <c r="P29" s="58" t="str">
        <f>IFERROR(TEXT(INDEX(contents!Y:Y,MATCH(B29,contents!V:V,0),0),"0.00%"),"")</f>
        <v>3.28%</v>
      </c>
      <c r="R29" t="str">
        <f t="shared" si="1"/>
        <v>X</v>
      </c>
    </row>
    <row r="30" spans="2:18">
      <c r="B30" s="59">
        <v>24</v>
      </c>
      <c r="C30" s="89" t="str">
        <f>IFERROR(TEXT(INDEX(contents!W:W,MATCH(B30,contents!V:V,0),0),"mm월 dd일"),"")</f>
        <v>03월 14일</v>
      </c>
      <c r="D30" s="40" t="str">
        <f>IFERROR(TEXT(INDEX(contents!W:W,MATCH(B30,contents!V:V,0),0),"aaa"),"")</f>
        <v>목</v>
      </c>
      <c r="E30" s="40" t="str" cm="1">
        <f t="array" ref="E30">IF(INDEX('contents 추가정보'!E:E,MATCH(B30,'contents 추가정보'!A:A,0),0)=0,"",INDEX('contents 추가정보'!E:E,MATCH(B30,'contents 추가정보'!A:A,0),0))</f>
        <v>미러링</v>
      </c>
      <c r="F30" s="62" t="str">
        <f>IFERROR(IF(INDEX(contents!C:C,MATCH(B30,contents!V:V,0)+1)="Sponsored","●",""),"")</f>
        <v/>
      </c>
      <c r="G30" s="213" t="str" cm="1">
        <f t="array" ref="G30">IF(INDEX('contents 추가정보'!C:C,MATCH(B30,'contents 추가정보'!A:A,0),0)=0,"",INDEX('contents 추가정보'!C:C,MATCH(B30,'contents 추가정보'!A:A,0),0))</f>
        <v>GTC24 3D 부스 이미지</v>
      </c>
      <c r="H30" s="40" t="str" cm="1">
        <f t="array" ref="H30">IF(INDEX('contents 추가정보'!D:D,MATCH(B30,'contents 추가정보'!A:A,0),0)=0,"",INDEX('contents 추가정보'!D:D,MATCH(B30,'contents 추가정보'!A:A,0),0))</f>
        <v>Events</v>
      </c>
      <c r="I30" s="40">
        <f>IFERROR(INDEX(contents!J:J,MATCH(B30,contents!V:V,0),0),"")</f>
        <v>1714</v>
      </c>
      <c r="J30" s="40">
        <f>IFERROR(INDEX(contents!M:M,MATCH(B30,contents!V:V,0),0),"")</f>
        <v>32</v>
      </c>
      <c r="K30" s="56" t="str">
        <f>IFERROR(TEXT(INDEX(contents!N:N,MATCH(B30,contents!V:V,0),0),"0.00%"),"")</f>
        <v>1.87%</v>
      </c>
      <c r="L30" s="40">
        <f>IFERROR(INDEX(contents!O:O,MATCH(B30,contents!V:V,0),0),"")</f>
        <v>15</v>
      </c>
      <c r="M30" s="40">
        <f>IFERROR(INDEX(contents!P:P,MATCH(B30,contents!V:V,0),0),"")</f>
        <v>0</v>
      </c>
      <c r="N30" s="40">
        <f>IFERROR(INDEX(contents!Q:Q,MATCH(B30,contents!V:V,0),0),"")</f>
        <v>0</v>
      </c>
      <c r="O30" s="57">
        <f t="shared" si="0"/>
        <v>47</v>
      </c>
      <c r="P30" s="58" t="str">
        <f>IFERROR(TEXT(INDEX(contents!Y:Y,MATCH(B30,contents!V:V,0),0),"0.00%"),"")</f>
        <v>2.74%</v>
      </c>
      <c r="R30" t="str">
        <f t="shared" si="1"/>
        <v>X</v>
      </c>
    </row>
    <row r="31" spans="2:18">
      <c r="B31" s="39">
        <v>25</v>
      </c>
      <c r="C31" s="89" t="str">
        <f>IFERROR(TEXT(INDEX(contents!W:W,MATCH(B31,contents!V:V,0),0),"mm월 dd일"),"")</f>
        <v>03월 04일</v>
      </c>
      <c r="D31" s="40" t="str">
        <f>IFERROR(TEXT(INDEX(contents!W:W,MATCH(B31,contents!V:V,0),0),"aaa"),"")</f>
        <v>월</v>
      </c>
      <c r="E31" s="40" t="str" cm="1">
        <f t="array" ref="E31">IF(INDEX('contents 추가정보'!E:E,MATCH(B31,'contents 추가정보'!A:A,0),0)=0,"",INDEX('contents 추가정보'!E:E,MATCH(B31,'contents 추가정보'!A:A,0),0))</f>
        <v>미러링</v>
      </c>
      <c r="F31" s="62" t="str">
        <f>IFERROR(IF(INDEX(contents!C:C,MATCH(B31,contents!V:V,0)+1)="Sponsored","●",""),"")</f>
        <v>●</v>
      </c>
      <c r="G31" s="213" t="str" cm="1">
        <f t="array" ref="G31">IF(INDEX('contents 추가정보'!C:C,MATCH(B31,'contents 추가정보'!A:A,0),0)=0,"",INDEX('contents 추가정보'!C:C,MATCH(B31,'contents 추가정보'!A:A,0),0))</f>
        <v>HBM3E 영상 게재</v>
      </c>
      <c r="H31" s="40" t="str" cm="1">
        <f t="array" ref="H31">IF(INDEX('contents 추가정보'!D:D,MATCH(B31,'contents 추가정보'!A:A,0),0)=0,"",INDEX('contents 추가정보'!D:D,MATCH(B31,'contents 추가정보'!A:A,0),0))</f>
        <v>Products</v>
      </c>
      <c r="I31" s="40">
        <f>IFERROR(INDEX(contents!J:J,MATCH(B31,contents!V:V,0),0),"")</f>
        <v>10402</v>
      </c>
      <c r="J31" s="40">
        <f>IFERROR(INDEX(contents!M:M,MATCH(B31,contents!V:V,0),0),"")</f>
        <v>198</v>
      </c>
      <c r="K31" s="56" t="str">
        <f>IFERROR(TEXT(INDEX(contents!N:N,MATCH(B31,contents!V:V,0),0),"0.00%"),"")</f>
        <v>1.90%</v>
      </c>
      <c r="L31" s="40">
        <f>IFERROR(INDEX(contents!O:O,MATCH(B31,contents!V:V,0),0),"")</f>
        <v>77</v>
      </c>
      <c r="M31" s="40">
        <f>IFERROR(INDEX(contents!P:P,MATCH(B31,contents!V:V,0),0),"")</f>
        <v>2</v>
      </c>
      <c r="N31" s="40">
        <f>IFERROR(INDEX(contents!Q:Q,MATCH(B31,contents!V:V,0),0),"")</f>
        <v>4</v>
      </c>
      <c r="O31" s="57">
        <f t="shared" si="0"/>
        <v>281</v>
      </c>
      <c r="P31" s="58" t="str">
        <f>IFERROR(TEXT(INDEX(contents!Y:Y,MATCH(B31,contents!V:V,0),0),"0.00%"),"")</f>
        <v>2.70%</v>
      </c>
      <c r="R31" t="str">
        <f t="shared" si="1"/>
        <v>X</v>
      </c>
    </row>
    <row r="32" spans="2:18">
      <c r="B32" s="59">
        <v>26</v>
      </c>
      <c r="C32" s="89" t="str">
        <f>IFERROR(TEXT(INDEX(contents!W:W,MATCH(B32,contents!V:V,0),0),"mm월 dd일"),"")</f>
        <v>03월 11일</v>
      </c>
      <c r="D32" s="40" t="str">
        <f>IFERROR(TEXT(INDEX(contents!W:W,MATCH(B32,contents!V:V,0),0),"aaa"),"")</f>
        <v>월</v>
      </c>
      <c r="E32" s="40" t="str" cm="1">
        <f t="array" ref="E32">IF(INDEX('contents 추가정보'!E:E,MATCH(B32,'contents 추가정보'!A:A,0),0)=0,"",INDEX('contents 추가정보'!E:E,MATCH(B32,'contents 추가정보'!A:A,0),0))</f>
        <v>미러링</v>
      </c>
      <c r="F32" s="62" t="str">
        <f>IFERROR(IF(INDEX(contents!C:C,MATCH(B32,contents!V:V,0)+1)="Sponsored","●",""),"")</f>
        <v/>
      </c>
      <c r="G32" s="213" t="str" cm="1">
        <f t="array" ref="G32">IF(INDEX('contents 추가정보'!C:C,MATCH(B32,'contents 추가정보'!A:A,0),0)=0,"",INDEX('contents 추가정보'!C:C,MATCH(B32,'contents 추가정보'!A:A,0),0))</f>
        <v>Automotive memory solutions 영상 재게재</v>
      </c>
      <c r="H32" s="40" t="str" cm="1">
        <f t="array" ref="H32">IF(INDEX('contents 추가정보'!D:D,MATCH(B32,'contents 추가정보'!A:A,0),0)=0,"",INDEX('contents 추가정보'!D:D,MATCH(B32,'contents 추가정보'!A:A,0),0))</f>
        <v>Products</v>
      </c>
      <c r="I32" s="40">
        <f>IFERROR(INDEX(contents!J:J,MATCH(B32,contents!V:V,0),0),"")</f>
        <v>2886</v>
      </c>
      <c r="J32" s="40">
        <f>IFERROR(INDEX(contents!M:M,MATCH(B32,contents!V:V,0),0),"")</f>
        <v>40</v>
      </c>
      <c r="K32" s="56" t="str">
        <f>IFERROR(TEXT(INDEX(contents!N:N,MATCH(B32,contents!V:V,0),0),"0.00%"),"")</f>
        <v>1.39%</v>
      </c>
      <c r="L32" s="40">
        <f>IFERROR(INDEX(contents!O:O,MATCH(B32,contents!V:V,0),0),"")</f>
        <v>34</v>
      </c>
      <c r="M32" s="40">
        <f>IFERROR(INDEX(contents!P:P,MATCH(B32,contents!V:V,0),0),"")</f>
        <v>0</v>
      </c>
      <c r="N32" s="40">
        <f>IFERROR(INDEX(contents!Q:Q,MATCH(B32,contents!V:V,0),0),"")</f>
        <v>2</v>
      </c>
      <c r="O32" s="57">
        <f t="shared" si="0"/>
        <v>76</v>
      </c>
      <c r="P32" s="58" t="str">
        <f>IFERROR(TEXT(INDEX(contents!Y:Y,MATCH(B32,contents!V:V,0),0),"0.00%"),"")</f>
        <v>2.63%</v>
      </c>
      <c r="R32" t="str">
        <f t="shared" si="1"/>
        <v>X</v>
      </c>
    </row>
    <row r="33" spans="2:18">
      <c r="B33" s="39">
        <v>27</v>
      </c>
      <c r="C33" s="88" t="str">
        <f>IFERROR(TEXT(INDEX(contents!W:W,MATCH(B33,contents!V:V,0),0),"mm월 dd일"),"")</f>
        <v>03월 29일</v>
      </c>
      <c r="D33" s="40" t="str">
        <f>IFERROR(TEXT(INDEX(contents!W:W,MATCH(B33,contents!V:V,0),0),"aaa"),"")</f>
        <v>금</v>
      </c>
      <c r="E33" s="40" t="str" cm="1">
        <f t="array" ref="E33">IF(INDEX('contents 추가정보'!E:E,MATCH(B33,'contents 추가정보'!A:A,0),0)=0,"",INDEX('contents 추가정보'!E:E,MATCH(B33,'contents 추가정보'!A:A,0),0))</f>
        <v>기획</v>
      </c>
      <c r="F33" s="62" t="str">
        <f>IFERROR(IF(INDEX(contents!C:C,MATCH(B33,contents!V:V,0)+1)="Sponsored","●",""),"")</f>
        <v/>
      </c>
      <c r="G33" s="213" t="str" cm="1">
        <f t="array" ref="G33">IF(INDEX('contents 추가정보'!C:C,MATCH(B33,'contents 추가정보'!A:A,0),0)=0,"",INDEX('contents 추가정보'!C:C,MATCH(B33,'contents 추가정보'!A:A,0),0))</f>
        <v xml:space="preserve">데이터 백업의 날 </v>
      </c>
      <c r="H33" s="40" t="str" cm="1">
        <f t="array" ref="H33">IF(INDEX('contents 추가정보'!D:D,MATCH(B33,'contents 추가정보'!A:A,0),0)=0,"",INDEX('contents 추가정보'!D:D,MATCH(B33,'contents 추가정보'!A:A,0),0))</f>
        <v>Seasonal</v>
      </c>
      <c r="I33" s="40">
        <f>IFERROR(INDEX(contents!J:J,MATCH(B33,contents!V:V,0),0),"")</f>
        <v>2103</v>
      </c>
      <c r="J33" s="40">
        <f>IFERROR(INDEX(contents!M:M,MATCH(B33,contents!V:V,0),0),"")</f>
        <v>29</v>
      </c>
      <c r="K33" s="56" t="str">
        <f>IFERROR(TEXT(INDEX(contents!N:N,MATCH(B33,contents!V:V,0),0),"0.00%"),"")</f>
        <v>1.38%</v>
      </c>
      <c r="L33" s="40">
        <f>IFERROR(INDEX(contents!O:O,MATCH(B33,contents!V:V,0),0),"")</f>
        <v>26</v>
      </c>
      <c r="M33" s="40">
        <f>IFERROR(INDEX(contents!P:P,MATCH(B33,contents!V:V,0),0),"")</f>
        <v>0</v>
      </c>
      <c r="N33" s="40">
        <f>IFERROR(INDEX(contents!Q:Q,MATCH(B33,contents!V:V,0),0),"")</f>
        <v>0</v>
      </c>
      <c r="O33" s="57">
        <f t="shared" si="0"/>
        <v>55</v>
      </c>
      <c r="P33" s="58" t="str">
        <f>IFERROR(TEXT(INDEX(contents!Y:Y,MATCH(B33,contents!V:V,0),0),"0.00%"),"")</f>
        <v>2.62%</v>
      </c>
      <c r="R33" t="str">
        <f t="shared" si="1"/>
        <v>X</v>
      </c>
    </row>
    <row r="34" spans="2:18">
      <c r="B34" s="59">
        <v>28</v>
      </c>
      <c r="C34" s="55" t="str">
        <f>IFERROR(TEXT(INDEX(contents!W:W,MATCH(B34,contents!V:V,0),0),"mm월 dd일"),"")</f>
        <v>03월 18일</v>
      </c>
      <c r="D34" s="40" t="str">
        <f>IFERROR(TEXT(INDEX(contents!W:W,MATCH(B34,contents!V:V,0),0),"aaa"),"")</f>
        <v>월</v>
      </c>
      <c r="E34" s="40" t="str" cm="1">
        <f t="array" ref="E34">IF(INDEX('contents 추가정보'!E:E,MATCH(B34,'contents 추가정보'!A:A,0),0)=0,"",INDEX('contents 추가정보'!E:E,MATCH(B34,'contents 추가정보'!A:A,0),0))</f>
        <v>POLL</v>
      </c>
      <c r="F34" s="62" t="str">
        <f>IFERROR(IF(INDEX(contents!C:C,MATCH(B34,contents!V:V,0)+1)="Sponsored","●",""),"")</f>
        <v/>
      </c>
      <c r="G34" s="213" t="str" cm="1">
        <f t="array" ref="G34">IF(INDEX('contents 추가정보'!C:C,MATCH(B34,'contents 추가정보'!A:A,0),0)=0,"",INDEX('contents 추가정보'!C:C,MATCH(B34,'contents 추가정보'!A:A,0),0))</f>
        <v>GTC24 관련 Poll</v>
      </c>
      <c r="H34" s="40" t="str" cm="1">
        <f t="array" ref="H34">IF(INDEX('contents 추가정보'!D:D,MATCH(B34,'contents 추가정보'!A:A,0),0)=0,"",INDEX('contents 추가정보'!D:D,MATCH(B34,'contents 추가정보'!A:A,0),0))</f>
        <v>Events</v>
      </c>
      <c r="I34" s="40">
        <f>IFERROR(INDEX(contents!J:J,MATCH(B34,contents!V:V,0),0),"")</f>
        <v>12815</v>
      </c>
      <c r="J34" s="40">
        <f>IFERROR(INDEX(contents!M:M,MATCH(B34,contents!V:V,0),0),"")</f>
        <v>264</v>
      </c>
      <c r="K34" s="56" t="str">
        <f>IFERROR(TEXT(INDEX(contents!N:N,MATCH(B34,contents!V:V,0),0),"0.00%"),"")</f>
        <v>2.06%</v>
      </c>
      <c r="L34" s="40">
        <f>IFERROR(INDEX(contents!O:O,MATCH(B34,contents!V:V,0),0),"")</f>
        <v>10</v>
      </c>
      <c r="M34" s="40">
        <f>IFERROR(INDEX(contents!P:P,MATCH(B34,contents!V:V,0),0),"")</f>
        <v>0</v>
      </c>
      <c r="N34" s="40">
        <f>IFERROR(INDEX(contents!Q:Q,MATCH(B34,contents!V:V,0),0),"")</f>
        <v>1</v>
      </c>
      <c r="O34" s="57">
        <f t="shared" si="0"/>
        <v>275</v>
      </c>
      <c r="P34" s="58" t="str">
        <f>IFERROR(TEXT(INDEX(contents!Y:Y,MATCH(B34,contents!V:V,0),0),"0.00%"),"")</f>
        <v>2.15%</v>
      </c>
      <c r="R34" t="str">
        <f t="shared" si="1"/>
        <v>X</v>
      </c>
    </row>
    <row r="35" spans="2:18">
      <c r="B35" s="39">
        <v>29</v>
      </c>
      <c r="C35" s="55" t="str">
        <f>IFERROR(TEXT(INDEX(contents!W:W,MATCH(B35,contents!V:V,0),0),"mm월 dd일"),"")</f>
        <v>03월 05일</v>
      </c>
      <c r="D35" s="40" t="str">
        <f>IFERROR(TEXT(INDEX(contents!W:W,MATCH(B35,contents!V:V,0),0),"aaa"),"")</f>
        <v>화</v>
      </c>
      <c r="E35" s="40" t="str" cm="1">
        <f t="array" ref="E35">IF(INDEX('contents 추가정보'!E:E,MATCH(B35,'contents 추가정보'!A:A,0),0)=0,"",INDEX('contents 추가정보'!E:E,MATCH(B35,'contents 추가정보'!A:A,0),0))</f>
        <v>Repost</v>
      </c>
      <c r="F35" s="62" t="str">
        <f>IFERROR(IF(INDEX(contents!C:C,MATCH(B35,contents!V:V,0)+1)="Sponsored","●",""),"")</f>
        <v/>
      </c>
      <c r="G35" s="213" t="str" cm="1">
        <f t="array" ref="G35">IF(INDEX('contents 추가정보'!C:C,MATCH(B35,'contents 추가정보'!A:A,0),0)=0,"",INDEX('contents 추가정보'!C:C,MATCH(B35,'contents 추가정보'!A:A,0),0))</f>
        <v>미주법인 봉사 콘텐츠 리포스트</v>
      </c>
      <c r="H35" s="40" t="str" cm="1">
        <f t="array" ref="H35">IF(INDEX('contents 추가정보'!D:D,MATCH(B35,'contents 추가정보'!A:A,0),0)=0,"",INDEX('contents 추가정보'!D:D,MATCH(B35,'contents 추가정보'!A:A,0),0))</f>
        <v>Interest</v>
      </c>
      <c r="I35" s="40">
        <f>IFERROR(INDEX(contents!J:J,MATCH(B35,contents!V:V,0),0),"")</f>
        <v>1510</v>
      </c>
      <c r="J35" s="40">
        <f>IFERROR(INDEX(contents!M:M,MATCH(B35,contents!V:V,0),0),"")</f>
        <v>19</v>
      </c>
      <c r="K35" s="56" t="str">
        <f>IFERROR(TEXT(INDEX(contents!N:N,MATCH(B35,contents!V:V,0),0),"0.00%"),"")</f>
        <v>1.26%</v>
      </c>
      <c r="L35" s="40">
        <f>IFERROR(INDEX(contents!O:O,MATCH(B35,contents!V:V,0),0),"")</f>
        <v>13</v>
      </c>
      <c r="M35" s="40">
        <f>IFERROR(INDEX(contents!P:P,MATCH(B35,contents!V:V,0),0),"")</f>
        <v>0</v>
      </c>
      <c r="N35" s="40">
        <f>IFERROR(INDEX(contents!Q:Q,MATCH(B35,contents!V:V,0),0),"")</f>
        <v>0</v>
      </c>
      <c r="O35" s="57">
        <f t="shared" si="0"/>
        <v>32</v>
      </c>
      <c r="P35" s="58" t="str">
        <f>IFERROR(TEXT(INDEX(contents!Y:Y,MATCH(B35,contents!V:V,0),0),"0.00%"),"")</f>
        <v>2.12%</v>
      </c>
      <c r="R35" t="str">
        <f t="shared" si="1"/>
        <v>X</v>
      </c>
    </row>
    <row r="36" spans="2:18">
      <c r="B36" s="59">
        <v>30</v>
      </c>
      <c r="C36" s="55" t="str">
        <f>IFERROR(TEXT(INDEX(contents!W:W,MATCH(B36,contents!V:V,0),0),"mm월 dd일"),"")</f>
        <v/>
      </c>
      <c r="D36" s="40" t="str">
        <f>IFERROR(TEXT(INDEX(contents!W:W,MATCH(B36,contents!V:V,0),0),"aaa"),"")</f>
        <v/>
      </c>
      <c r="E36" s="40" t="str" cm="1">
        <f t="array" ref="E36">IF(INDEX('contents 추가정보'!E:E,MATCH(B36,'contents 추가정보'!A:A,0),0)=0,"",INDEX('contents 추가정보'!E:E,MATCH(B36,'contents 추가정보'!A:A,0),0))</f>
        <v/>
      </c>
      <c r="F36" s="62" t="str">
        <f>IFERROR(IF(INDEX(contents!C:C,MATCH(B36,contents!V:V,0)+1)="Sponsored","●",""),"")</f>
        <v/>
      </c>
      <c r="G36" s="213" t="str" cm="1">
        <f t="array" ref="G36">IF(INDEX('contents 추가정보'!C:C,MATCH(B36,'contents 추가정보'!A:A,0),0)=0,"",INDEX('contents 추가정보'!C:C,MATCH(B36,'contents 추가정보'!A:A,0),0))</f>
        <v/>
      </c>
      <c r="H36" s="40" t="str" cm="1">
        <f t="array" ref="H36">IF(INDEX('contents 추가정보'!D:D,MATCH(B36,'contents 추가정보'!A:A,0),0)=0,"",INDEX('contents 추가정보'!D:D,MATCH(B36,'contents 추가정보'!A:A,0),0))</f>
        <v/>
      </c>
      <c r="I36" s="40" t="str">
        <f>IFERROR(INDEX(contents!J:J,MATCH(B36,contents!V:V,0),0),"")</f>
        <v/>
      </c>
      <c r="J36" s="40" t="str">
        <f>IFERROR(INDEX(contents!M:M,MATCH(B36,contents!V:V,0),0),"")</f>
        <v/>
      </c>
      <c r="K36" s="56" t="str">
        <f>IFERROR(TEXT(INDEX(contents!N:N,MATCH(B36,contents!V:V,0),0),"0.00%"),"")</f>
        <v/>
      </c>
      <c r="L36" s="40" t="str">
        <f>IFERROR(INDEX(contents!O:O,MATCH(B36,contents!V:V,0),0),"")</f>
        <v/>
      </c>
      <c r="M36" s="40" t="str">
        <f>IFERROR(INDEX(contents!P:P,MATCH(B36,contents!V:V,0),0),"")</f>
        <v/>
      </c>
      <c r="N36" s="40" t="str">
        <f>IFERROR(INDEX(contents!Q:Q,MATCH(B36,contents!V:V,0),0),"")</f>
        <v/>
      </c>
      <c r="O36" s="57" t="str">
        <f t="shared" si="0"/>
        <v/>
      </c>
      <c r="P36" s="58" t="str">
        <f>IFERROR(TEXT(INDEX(contents!Y:Y,MATCH(B36,contents!V:V,0),0),"0.00%"),"")</f>
        <v/>
      </c>
      <c r="R36" t="str">
        <f t="shared" si="1"/>
        <v>X</v>
      </c>
    </row>
    <row r="37" spans="2:18">
      <c r="B37" s="39">
        <v>31</v>
      </c>
      <c r="C37" s="55" t="str">
        <f>IFERROR(TEXT(INDEX(contents!W:W,MATCH(B37,contents!V:V,0),0),"mm월 dd일"),"")</f>
        <v/>
      </c>
      <c r="D37" s="40" t="str">
        <f>IFERROR(TEXT(INDEX(contents!W:W,MATCH(B37,contents!V:V,0),0),"aaa"),"")</f>
        <v/>
      </c>
      <c r="E37" s="40" t="str" cm="1">
        <f t="array" ref="E37">IF(INDEX('contents 추가정보'!E:E,MATCH(B37,'contents 추가정보'!A:A,0),0)=0,"",INDEX('contents 추가정보'!E:E,MATCH(B37,'contents 추가정보'!A:A,0),0))</f>
        <v/>
      </c>
      <c r="F37" s="62" t="str">
        <f>IFERROR(IF(INDEX(contents!C:C,MATCH(B37,contents!V:V,0)+1)="Sponsored","●",""),"")</f>
        <v/>
      </c>
      <c r="G37" s="213" t="str" cm="1">
        <f t="array" ref="G37">IF(INDEX('contents 추가정보'!C:C,MATCH(B37,'contents 추가정보'!A:A,0),0)=0,"",INDEX('contents 추가정보'!C:C,MATCH(B37,'contents 추가정보'!A:A,0),0))</f>
        <v/>
      </c>
      <c r="H37" s="40" t="str" cm="1">
        <f t="array" ref="H37">IF(INDEX('contents 추가정보'!D:D,MATCH(B37,'contents 추가정보'!A:A,0),0)=0,"",INDEX('contents 추가정보'!D:D,MATCH(B37,'contents 추가정보'!A:A,0),0))</f>
        <v/>
      </c>
      <c r="I37" s="40" t="str">
        <f>IFERROR(INDEX(contents!J:J,MATCH(B37,contents!V:V,0),0),"")</f>
        <v/>
      </c>
      <c r="J37" s="40" t="str">
        <f>IFERROR(INDEX(contents!M:M,MATCH(B37,contents!V:V,0),0),"")</f>
        <v/>
      </c>
      <c r="K37" s="56" t="str">
        <f>IFERROR(TEXT(INDEX(contents!N:N,MATCH(B37,contents!V:V,0),0),"0.00%"),"")</f>
        <v/>
      </c>
      <c r="L37" s="40" t="str">
        <f>IFERROR(INDEX(contents!O:O,MATCH(B37,contents!V:V,0),0),"")</f>
        <v/>
      </c>
      <c r="M37" s="40" t="str">
        <f>IFERROR(INDEX(contents!P:P,MATCH(B37,contents!V:V,0),0),"")</f>
        <v/>
      </c>
      <c r="N37" s="40" t="str">
        <f>IFERROR(INDEX(contents!Q:Q,MATCH(B37,contents!V:V,0),0),"")</f>
        <v/>
      </c>
      <c r="O37" s="57" t="str">
        <f t="shared" si="0"/>
        <v/>
      </c>
      <c r="P37" s="58" t="str">
        <f>IFERROR(TEXT(INDEX(contents!Y:Y,MATCH(B37,contents!V:V,0),0),"0.00%"),"")</f>
        <v/>
      </c>
      <c r="R37" t="str">
        <f t="shared" si="1"/>
        <v>X</v>
      </c>
    </row>
    <row r="38" spans="2:18">
      <c r="B38" s="59">
        <v>32</v>
      </c>
      <c r="C38" s="55" t="str">
        <f>IFERROR(TEXT(INDEX(contents!W:W,MATCH(B38,contents!V:V,0),0),"mm월 dd일"),"")</f>
        <v/>
      </c>
      <c r="D38" s="40" t="str">
        <f>IFERROR(TEXT(INDEX(contents!W:W,MATCH(B38,contents!V:V,0),0),"aaa"),"")</f>
        <v/>
      </c>
      <c r="E38" s="40" t="str" cm="1">
        <f t="array" ref="E38">IF(INDEX('contents 추가정보'!E:E,MATCH(B38,'contents 추가정보'!A:A,0),0)=0,"",INDEX('contents 추가정보'!E:E,MATCH(B38,'contents 추가정보'!A:A,0),0))</f>
        <v/>
      </c>
      <c r="F38" s="62" t="str">
        <f>IFERROR(IF(INDEX(contents!C:C,MATCH(B38,contents!V:V,0)+1)="Sponsored","●",""),"")</f>
        <v/>
      </c>
      <c r="G38" s="213" t="str" cm="1">
        <f t="array" ref="G38">IF(INDEX('contents 추가정보'!C:C,MATCH(B38,'contents 추가정보'!A:A,0),0)=0,"",INDEX('contents 추가정보'!C:C,MATCH(B38,'contents 추가정보'!A:A,0),0))</f>
        <v/>
      </c>
      <c r="H38" s="40" t="str" cm="1">
        <f t="array" ref="H38">IF(INDEX('contents 추가정보'!D:D,MATCH(B38,'contents 추가정보'!A:A,0),0)=0,"",INDEX('contents 추가정보'!D:D,MATCH(B38,'contents 추가정보'!A:A,0),0))</f>
        <v/>
      </c>
      <c r="I38" s="40" t="str">
        <f>IFERROR(INDEX(contents!J:J,MATCH(B38,contents!V:V,0),0),"")</f>
        <v/>
      </c>
      <c r="J38" s="40" t="str">
        <f>IFERROR(INDEX(contents!M:M,MATCH(B38,contents!V:V,0),0),"")</f>
        <v/>
      </c>
      <c r="K38" s="56" t="str">
        <f>IFERROR(TEXT(INDEX(contents!N:N,MATCH(B38,contents!V:V,0),0),"0.00%"),"")</f>
        <v/>
      </c>
      <c r="L38" s="40" t="str">
        <f>IFERROR(INDEX(contents!O:O,MATCH(B38,contents!V:V,0),0),"")</f>
        <v/>
      </c>
      <c r="M38" s="40" t="str">
        <f>IFERROR(INDEX(contents!P:P,MATCH(B38,contents!V:V,0),0),"")</f>
        <v/>
      </c>
      <c r="N38" s="40" t="str">
        <f>IFERROR(INDEX(contents!Q:Q,MATCH(B38,contents!V:V,0),0),"")</f>
        <v/>
      </c>
      <c r="O38" s="57" t="str">
        <f t="shared" si="0"/>
        <v/>
      </c>
      <c r="P38" s="58" t="str">
        <f>IFERROR(TEXT(INDEX(contents!Y:Y,MATCH(B38,contents!V:V,0),0),"0.00%"),"")</f>
        <v/>
      </c>
      <c r="R38" t="str">
        <f t="shared" si="1"/>
        <v>X</v>
      </c>
    </row>
    <row r="39" spans="2:18">
      <c r="B39" s="39">
        <v>33</v>
      </c>
      <c r="C39" s="55" t="str">
        <f>IFERROR(TEXT(INDEX(contents!W:W,MATCH(B39,contents!V:V,0),0),"mm월 dd일"),"")</f>
        <v/>
      </c>
      <c r="D39" s="40" t="str">
        <f>IFERROR(TEXT(INDEX(contents!W:W,MATCH(B39,contents!V:V,0),0),"aaa"),"")</f>
        <v/>
      </c>
      <c r="E39" s="40" t="str" cm="1">
        <f t="array" ref="E39">IF(INDEX('contents 추가정보'!E:E,MATCH(B39,'contents 추가정보'!A:A,0),0)=0,"",INDEX('contents 추가정보'!E:E,MATCH(B39,'contents 추가정보'!A:A,0),0))</f>
        <v/>
      </c>
      <c r="F39" s="62" t="str">
        <f>IFERROR(IF(INDEX(contents!C:C,MATCH(B39,contents!V:V,0)+1)="Sponsored","●",""),"")</f>
        <v/>
      </c>
      <c r="G39" s="213" t="str" cm="1">
        <f t="array" ref="G39">IF(INDEX('contents 추가정보'!C:C,MATCH(B39,'contents 추가정보'!A:A,0),0)=0,"",INDEX('contents 추가정보'!C:C,MATCH(B39,'contents 추가정보'!A:A,0),0))</f>
        <v/>
      </c>
      <c r="H39" s="40" t="str" cm="1">
        <f t="array" ref="H39">IF(INDEX('contents 추가정보'!D:D,MATCH(B39,'contents 추가정보'!A:A,0),0)=0,"",INDEX('contents 추가정보'!D:D,MATCH(B39,'contents 추가정보'!A:A,0),0))</f>
        <v/>
      </c>
      <c r="I39" s="40" t="str">
        <f>IFERROR(INDEX(contents!J:J,MATCH(B39,contents!V:V,0),0),"")</f>
        <v/>
      </c>
      <c r="J39" s="40" t="str">
        <f>IFERROR(INDEX(contents!M:M,MATCH(B39,contents!V:V,0),0),"")</f>
        <v/>
      </c>
      <c r="K39" s="56" t="str">
        <f>IFERROR(TEXT(INDEX(contents!N:N,MATCH(B39,contents!V:V,0),0),"0.00%"),"")</f>
        <v/>
      </c>
      <c r="L39" s="40" t="str">
        <f>IFERROR(INDEX(contents!O:O,MATCH(B39,contents!V:V,0),0),"")</f>
        <v/>
      </c>
      <c r="M39" s="40" t="str">
        <f>IFERROR(INDEX(contents!P:P,MATCH(B39,contents!V:V,0),0),"")</f>
        <v/>
      </c>
      <c r="N39" s="40" t="str">
        <f>IFERROR(INDEX(contents!Q:Q,MATCH(B39,contents!V:V,0),0),"")</f>
        <v/>
      </c>
      <c r="O39" s="57" t="str">
        <f t="shared" si="0"/>
        <v/>
      </c>
      <c r="P39" s="58" t="str">
        <f>IFERROR(TEXT(INDEX(contents!Y:Y,MATCH(B39,contents!V:V,0),0),"0.00%"),"")</f>
        <v/>
      </c>
      <c r="R39" t="str">
        <f t="shared" si="1"/>
        <v>X</v>
      </c>
    </row>
    <row r="40" spans="2:18">
      <c r="B40" s="59">
        <v>34</v>
      </c>
      <c r="C40" s="55" t="str">
        <f>IFERROR(TEXT(INDEX(contents!W:W,MATCH(B40,contents!V:V,0),0),"mm월 dd일"),"")</f>
        <v/>
      </c>
      <c r="D40" s="40" t="str">
        <f>IFERROR(TEXT(INDEX(contents!W:W,MATCH(B40,contents!V:V,0),0),"aaa"),"")</f>
        <v/>
      </c>
      <c r="E40" s="40" t="str" cm="1">
        <f t="array" ref="E40">IF(INDEX('contents 추가정보'!E:E,MATCH(B40,'contents 추가정보'!A:A,0),0)=0,"",INDEX('contents 추가정보'!E:E,MATCH(B40,'contents 추가정보'!A:A,0),0))</f>
        <v/>
      </c>
      <c r="F40" s="62" t="str">
        <f>IFERROR(IF(INDEX(contents!C:C,MATCH(B40,contents!V:V,0)+1)="Sponsored","●",""),"")</f>
        <v/>
      </c>
      <c r="G40" s="213" t="str" cm="1">
        <f t="array" ref="G40">IF(INDEX('contents 추가정보'!C:C,MATCH(B40,'contents 추가정보'!A:A,0),0)=0,"",INDEX('contents 추가정보'!C:C,MATCH(B40,'contents 추가정보'!A:A,0),0))</f>
        <v/>
      </c>
      <c r="H40" s="40" t="str" cm="1">
        <f t="array" ref="H40">IF(INDEX('contents 추가정보'!D:D,MATCH(B40,'contents 추가정보'!A:A,0),0)=0,"",INDEX('contents 추가정보'!D:D,MATCH(B40,'contents 추가정보'!A:A,0),0))</f>
        <v/>
      </c>
      <c r="I40" s="40" t="str">
        <f>IFERROR(INDEX(contents!J:J,MATCH(B40,contents!V:V,0),0),"")</f>
        <v/>
      </c>
      <c r="J40" s="40" t="str">
        <f>IFERROR(INDEX(contents!M:M,MATCH(B40,contents!V:V,0),0),"")</f>
        <v/>
      </c>
      <c r="K40" s="56" t="str">
        <f>IFERROR(TEXT(INDEX(contents!N:N,MATCH(B40,contents!V:V,0),0),"0.00%"),"")</f>
        <v/>
      </c>
      <c r="L40" s="40" t="str">
        <f>IFERROR(INDEX(contents!O:O,MATCH(B40,contents!V:V,0),0),"")</f>
        <v/>
      </c>
      <c r="M40" s="40" t="str">
        <f>IFERROR(INDEX(contents!P:P,MATCH(B40,contents!V:V,0),0),"")</f>
        <v/>
      </c>
      <c r="N40" s="40" t="str">
        <f>IFERROR(INDEX(contents!Q:Q,MATCH(B40,contents!V:V,0),0),"")</f>
        <v/>
      </c>
      <c r="O40" s="57" t="str">
        <f t="shared" si="0"/>
        <v/>
      </c>
      <c r="P40" s="58" t="str">
        <f>IFERROR(TEXT(INDEX(contents!Y:Y,MATCH(B40,contents!V:V,0),0),"0.00%"),"")</f>
        <v/>
      </c>
      <c r="R40" t="str">
        <f t="shared" si="1"/>
        <v>X</v>
      </c>
    </row>
    <row r="41" spans="2:18">
      <c r="B41" s="39">
        <v>35</v>
      </c>
      <c r="C41" s="55" t="str">
        <f>IFERROR(TEXT(INDEX(contents!W:W,MATCH(B41,contents!V:V,0),0),"mm월 dd일"),"")</f>
        <v/>
      </c>
      <c r="D41" s="40" t="str">
        <f>IFERROR(TEXT(INDEX(contents!W:W,MATCH(B41,contents!V:V,0),0),"aaa"),"")</f>
        <v/>
      </c>
      <c r="E41" s="40" t="str" cm="1">
        <f t="array" ref="E41">IF(INDEX('contents 추가정보'!E:E,MATCH(B41,'contents 추가정보'!A:A,0),0)=0,"",INDEX('contents 추가정보'!E:E,MATCH(B41,'contents 추가정보'!A:A,0),0))</f>
        <v/>
      </c>
      <c r="F41" s="62" t="str">
        <f>IFERROR(IF(INDEX(contents!C:C,MATCH(B41,contents!V:V,0)+1)="Sponsored","●",""),"")</f>
        <v/>
      </c>
      <c r="G41" s="213" t="str" cm="1">
        <f t="array" ref="G41">IF(INDEX('contents 추가정보'!C:C,MATCH(B41,'contents 추가정보'!A:A,0),0)=0,"",INDEX('contents 추가정보'!C:C,MATCH(B41,'contents 추가정보'!A:A,0),0))</f>
        <v/>
      </c>
      <c r="H41" s="40" t="str" cm="1">
        <f t="array" ref="H41">IF(INDEX('contents 추가정보'!D:D,MATCH(B41,'contents 추가정보'!A:A,0),0)=0,"",INDEX('contents 추가정보'!D:D,MATCH(B41,'contents 추가정보'!A:A,0),0))</f>
        <v/>
      </c>
      <c r="I41" s="40" t="str">
        <f>IFERROR(INDEX(contents!J:J,MATCH(B41,contents!V:V,0),0),"")</f>
        <v/>
      </c>
      <c r="J41" s="40" t="str">
        <f>IFERROR(INDEX(contents!M:M,MATCH(B41,contents!V:V,0),0),"")</f>
        <v/>
      </c>
      <c r="K41" s="56" t="str">
        <f>IFERROR(TEXT(INDEX(contents!N:N,MATCH(B41,contents!V:V,0),0),"0.00%"),"")</f>
        <v/>
      </c>
      <c r="L41" s="40" t="str">
        <f>IFERROR(INDEX(contents!O:O,MATCH(B41,contents!V:V,0),0),"")</f>
        <v/>
      </c>
      <c r="M41" s="40" t="str">
        <f>IFERROR(INDEX(contents!P:P,MATCH(B41,contents!V:V,0),0),"")</f>
        <v/>
      </c>
      <c r="N41" s="40" t="str">
        <f>IFERROR(INDEX(contents!Q:Q,MATCH(B41,contents!V:V,0),0),"")</f>
        <v/>
      </c>
      <c r="O41" s="57" t="str">
        <f t="shared" si="0"/>
        <v/>
      </c>
      <c r="P41" s="58" t="str">
        <f>IFERROR(TEXT(INDEX(contents!Y:Y,MATCH(B41,contents!V:V,0),0),"0.00%"),"")</f>
        <v/>
      </c>
      <c r="R41" t="str">
        <f t="shared" si="1"/>
        <v>X</v>
      </c>
    </row>
    <row r="42" spans="2:18">
      <c r="B42" s="59">
        <v>36</v>
      </c>
      <c r="C42" s="55" t="str">
        <f>IFERROR(TEXT(INDEX(contents!W:W,MATCH(B42,contents!V:V,0),0),"mm월 dd일"),"")</f>
        <v/>
      </c>
      <c r="D42" s="40" t="str">
        <f>IFERROR(TEXT(INDEX(contents!W:W,MATCH(B42,contents!V:V,0),0),"aaa"),"")</f>
        <v/>
      </c>
      <c r="E42" s="40" t="str" cm="1">
        <f t="array" ref="E42">IF(INDEX('contents 추가정보'!E:E,MATCH(B42,'contents 추가정보'!A:A,0),0)=0,"",INDEX('contents 추가정보'!E:E,MATCH(B42,'contents 추가정보'!A:A,0),0))</f>
        <v/>
      </c>
      <c r="F42" s="62" t="str">
        <f>IFERROR(IF(INDEX(contents!C:C,MATCH(B42,contents!V:V,0)+1)="Sponsored","●",""),"")</f>
        <v/>
      </c>
      <c r="G42" s="213" t="str" cm="1">
        <f t="array" ref="G42">IF(INDEX('contents 추가정보'!C:C,MATCH(B42,'contents 추가정보'!A:A,0),0)=0,"",INDEX('contents 추가정보'!C:C,MATCH(B42,'contents 추가정보'!A:A,0),0))</f>
        <v/>
      </c>
      <c r="H42" s="40" t="str" cm="1">
        <f t="array" ref="H42">IF(INDEX('contents 추가정보'!D:D,MATCH(B42,'contents 추가정보'!A:A,0),0)=0,"",INDEX('contents 추가정보'!D:D,MATCH(B42,'contents 추가정보'!A:A,0),0))</f>
        <v/>
      </c>
      <c r="I42" s="40" t="str">
        <f>IFERROR(INDEX(contents!J:J,MATCH(B42,contents!V:V,0),0),"")</f>
        <v/>
      </c>
      <c r="J42" s="40" t="str">
        <f>IFERROR(INDEX(contents!M:M,MATCH(B42,contents!V:V,0),0),"")</f>
        <v/>
      </c>
      <c r="K42" s="56" t="str">
        <f>IFERROR(TEXT(INDEX(contents!N:N,MATCH(B42,contents!V:V,0),0),"0.00%"),"")</f>
        <v/>
      </c>
      <c r="L42" s="40" t="str">
        <f>IFERROR(INDEX(contents!O:O,MATCH(B42,contents!V:V,0),0),"")</f>
        <v/>
      </c>
      <c r="M42" s="40" t="str">
        <f>IFERROR(INDEX(contents!P:P,MATCH(B42,contents!V:V,0),0),"")</f>
        <v/>
      </c>
      <c r="N42" s="40" t="str">
        <f>IFERROR(INDEX(contents!Q:Q,MATCH(B42,contents!V:V,0),0),"")</f>
        <v/>
      </c>
      <c r="O42" s="57" t="str">
        <f t="shared" si="0"/>
        <v/>
      </c>
      <c r="P42" s="58" t="str">
        <f>IFERROR(TEXT(INDEX(contents!Y:Y,MATCH(B42,contents!V:V,0),0),"0.00%"),"")</f>
        <v/>
      </c>
      <c r="R42" t="str">
        <f t="shared" si="1"/>
        <v>X</v>
      </c>
    </row>
    <row r="43" spans="2:18">
      <c r="B43" s="39">
        <v>37</v>
      </c>
      <c r="C43" s="55" t="str">
        <f>IFERROR(TEXT(INDEX(contents!W:W,MATCH(B43,contents!V:V,0),0),"mm월 dd일"),"")</f>
        <v/>
      </c>
      <c r="D43" s="40" t="str">
        <f>IFERROR(TEXT(INDEX(contents!W:W,MATCH(B43,contents!V:V,0),0),"aaa"),"")</f>
        <v/>
      </c>
      <c r="E43" s="40" t="str" cm="1">
        <f t="array" ref="E43">IF(INDEX('contents 추가정보'!E:E,MATCH(B43,'contents 추가정보'!A:A,0),0)=0,"",INDEX('contents 추가정보'!E:E,MATCH(B43,'contents 추가정보'!A:A,0),0))</f>
        <v/>
      </c>
      <c r="F43" s="62" t="str">
        <f>IFERROR(IF(INDEX(contents!C:C,MATCH(B43,contents!V:V,0)+1)="Sponsored","●",""),"")</f>
        <v/>
      </c>
      <c r="G43" s="213" t="str" cm="1">
        <f t="array" ref="G43">IF(INDEX('contents 추가정보'!C:C,MATCH(B43,'contents 추가정보'!A:A,0),0)=0,"",INDEX('contents 추가정보'!C:C,MATCH(B43,'contents 추가정보'!A:A,0),0))</f>
        <v/>
      </c>
      <c r="H43" s="40" t="str" cm="1">
        <f t="array" ref="H43">IF(INDEX('contents 추가정보'!D:D,MATCH(B43,'contents 추가정보'!A:A,0),0)=0,"",INDEX('contents 추가정보'!D:D,MATCH(B43,'contents 추가정보'!A:A,0),0))</f>
        <v/>
      </c>
      <c r="I43" s="40" t="str">
        <f>IFERROR(INDEX(contents!J:J,MATCH(B43,contents!V:V,0),0),"")</f>
        <v/>
      </c>
      <c r="J43" s="40" t="str">
        <f>IFERROR(INDEX(contents!M:M,MATCH(B43,contents!V:V,0),0),"")</f>
        <v/>
      </c>
      <c r="K43" s="56" t="str">
        <f>IFERROR(TEXT(INDEX(contents!N:N,MATCH(B43,contents!V:V,0),0),"0.00%"),"")</f>
        <v/>
      </c>
      <c r="L43" s="40" t="str">
        <f>IFERROR(INDEX(contents!O:O,MATCH(B43,contents!V:V,0),0),"")</f>
        <v/>
      </c>
      <c r="M43" s="40" t="str">
        <f>IFERROR(INDEX(contents!P:P,MATCH(B43,contents!V:V,0),0),"")</f>
        <v/>
      </c>
      <c r="N43" s="40" t="str">
        <f>IFERROR(INDEX(contents!Q:Q,MATCH(B43,contents!V:V,0),0),"")</f>
        <v/>
      </c>
      <c r="O43" s="57" t="str">
        <f t="shared" si="0"/>
        <v/>
      </c>
      <c r="P43" s="58" t="str">
        <f>IFERROR(TEXT(INDEX(contents!Y:Y,MATCH(B43,contents!V:V,0),0),"0.00%"),"")</f>
        <v/>
      </c>
      <c r="R43" t="str">
        <f t="shared" si="1"/>
        <v>X</v>
      </c>
    </row>
    <row r="44" spans="2:18">
      <c r="B44" s="59">
        <v>38</v>
      </c>
      <c r="C44" s="55" t="str">
        <f>IFERROR(TEXT(INDEX(contents!W:W,MATCH(B44,contents!V:V,0),0),"mm월 dd일"),"")</f>
        <v/>
      </c>
      <c r="D44" s="40" t="str">
        <f>IFERROR(TEXT(INDEX(contents!W:W,MATCH(B44,contents!V:V,0),0),"aaa"),"")</f>
        <v/>
      </c>
      <c r="E44" s="40" t="str" cm="1">
        <f t="array" ref="E44">IF(INDEX('contents 추가정보'!E:E,MATCH(B44,'contents 추가정보'!A:A,0),0)=0,"",INDEX('contents 추가정보'!E:E,MATCH(B44,'contents 추가정보'!A:A,0),0))</f>
        <v/>
      </c>
      <c r="F44" s="62" t="str">
        <f>IFERROR(IF(INDEX(contents!C:C,MATCH(B44,contents!V:V,0)+1)="Sponsored","●",""),"")</f>
        <v/>
      </c>
      <c r="G44" s="213" t="str" cm="1">
        <f t="array" ref="G44">IF(INDEX('contents 추가정보'!C:C,MATCH(B44,'contents 추가정보'!A:A,0),0)=0,"",INDEX('contents 추가정보'!C:C,MATCH(B44,'contents 추가정보'!A:A,0),0))</f>
        <v/>
      </c>
      <c r="H44" s="40" t="str" cm="1">
        <f t="array" ref="H44">IF(INDEX('contents 추가정보'!D:D,MATCH(B44,'contents 추가정보'!A:A,0),0)=0,"",INDEX('contents 추가정보'!D:D,MATCH(B44,'contents 추가정보'!A:A,0),0))</f>
        <v/>
      </c>
      <c r="I44" s="40" t="str">
        <f>IFERROR(INDEX(contents!J:J,MATCH(B44,contents!V:V,0),0),"")</f>
        <v/>
      </c>
      <c r="J44" s="40" t="str">
        <f>IFERROR(INDEX(contents!M:M,MATCH(B44,contents!V:V,0),0),"")</f>
        <v/>
      </c>
      <c r="K44" s="56" t="str">
        <f>IFERROR(TEXT(INDEX(contents!N:N,MATCH(B44,contents!V:V,0),0),"0.00%"),"")</f>
        <v/>
      </c>
      <c r="L44" s="40" t="str">
        <f>IFERROR(INDEX(contents!O:O,MATCH(B44,contents!V:V,0),0),"")</f>
        <v/>
      </c>
      <c r="M44" s="40" t="str">
        <f>IFERROR(INDEX(contents!P:P,MATCH(B44,contents!V:V,0),0),"")</f>
        <v/>
      </c>
      <c r="N44" s="40" t="str">
        <f>IFERROR(INDEX(contents!Q:Q,MATCH(B44,contents!V:V,0),0),"")</f>
        <v/>
      </c>
      <c r="O44" s="57" t="str">
        <f t="shared" si="0"/>
        <v/>
      </c>
      <c r="P44" s="58" t="str">
        <f>IFERROR(TEXT(INDEX(contents!Y:Y,MATCH(B44,contents!V:V,0),0),"0.00%"),"")</f>
        <v/>
      </c>
      <c r="R44" t="str">
        <f t="shared" si="1"/>
        <v>X</v>
      </c>
    </row>
    <row r="45" spans="2:18">
      <c r="B45" s="39">
        <v>39</v>
      </c>
      <c r="C45" s="55" t="str">
        <f>IFERROR(TEXT(INDEX(contents!W:W,MATCH(B45,contents!V:V,0),0),"mm월 dd일"),"")</f>
        <v/>
      </c>
      <c r="D45" s="40" t="str">
        <f>IFERROR(TEXT(INDEX(contents!W:W,MATCH(B45,contents!V:V,0),0),"aaa"),"")</f>
        <v/>
      </c>
      <c r="E45" s="40" t="str" cm="1">
        <f t="array" ref="E45">IF(INDEX('contents 추가정보'!E:E,MATCH(B45,'contents 추가정보'!A:A,0),0)=0,"",INDEX('contents 추가정보'!E:E,MATCH(B45,'contents 추가정보'!A:A,0),0))</f>
        <v/>
      </c>
      <c r="F45" s="62" t="str">
        <f>IFERROR(IF(INDEX(contents!C:C,MATCH(B45,contents!V:V,0)+1)="Sponsored","●",""),"")</f>
        <v/>
      </c>
      <c r="G45" s="213" t="str" cm="1">
        <f t="array" ref="G45">IF(INDEX('contents 추가정보'!C:C,MATCH(B45,'contents 추가정보'!A:A,0),0)=0,"",INDEX('contents 추가정보'!C:C,MATCH(B45,'contents 추가정보'!A:A,0),0))</f>
        <v/>
      </c>
      <c r="H45" s="40" t="str" cm="1">
        <f t="array" ref="H45">IF(INDEX('contents 추가정보'!D:D,MATCH(B45,'contents 추가정보'!A:A,0),0)=0,"",INDEX('contents 추가정보'!D:D,MATCH(B45,'contents 추가정보'!A:A,0),0))</f>
        <v/>
      </c>
      <c r="I45" s="40" t="str">
        <f>IFERROR(INDEX(contents!J:J,MATCH(B45,contents!V:V,0),0),"")</f>
        <v/>
      </c>
      <c r="J45" s="40" t="str">
        <f>IFERROR(INDEX(contents!M:M,MATCH(B45,contents!V:V,0),0),"")</f>
        <v/>
      </c>
      <c r="K45" s="56" t="str">
        <f>IFERROR(TEXT(INDEX(contents!N:N,MATCH(B45,contents!V:V,0),0),"0.00%"),"")</f>
        <v/>
      </c>
      <c r="L45" s="40" t="str">
        <f>IFERROR(INDEX(contents!O:O,MATCH(B45,contents!V:V,0),0),"")</f>
        <v/>
      </c>
      <c r="M45" s="40" t="str">
        <f>IFERROR(INDEX(contents!P:P,MATCH(B45,contents!V:V,0),0),"")</f>
        <v/>
      </c>
      <c r="N45" s="40" t="str">
        <f>IFERROR(INDEX(contents!Q:Q,MATCH(B45,contents!V:V,0),0),"")</f>
        <v/>
      </c>
      <c r="O45" s="57" t="str">
        <f t="shared" si="0"/>
        <v/>
      </c>
      <c r="P45" s="58" t="str">
        <f>IFERROR(TEXT(INDEX(contents!Y:Y,MATCH(B45,contents!V:V,0),0),"0.00%"),"")</f>
        <v/>
      </c>
      <c r="R45" t="str">
        <f t="shared" si="1"/>
        <v>X</v>
      </c>
    </row>
    <row r="46" spans="2:18">
      <c r="B46" s="59">
        <v>40</v>
      </c>
      <c r="C46" s="55" t="str">
        <f>IFERROR(TEXT(INDEX(contents!W:W,MATCH(B46,contents!V:V,0),0),"mm월 dd일"),"")</f>
        <v/>
      </c>
      <c r="D46" s="40" t="str">
        <f>IFERROR(TEXT(INDEX(contents!W:W,MATCH(B46,contents!V:V,0),0),"aaa"),"")</f>
        <v/>
      </c>
      <c r="E46" s="40" t="str" cm="1">
        <f t="array" ref="E46">IF(INDEX('contents 추가정보'!E:E,MATCH(B46,'contents 추가정보'!A:A,0),0)=0,"",INDEX('contents 추가정보'!E:E,MATCH(B46,'contents 추가정보'!A:A,0),0))</f>
        <v/>
      </c>
      <c r="F46" s="62" t="str">
        <f>IFERROR(IF(INDEX(contents!C:C,MATCH(B46,contents!V:V,0)+1)="Sponsored","●",""),"")</f>
        <v/>
      </c>
      <c r="G46" s="213" t="str" cm="1">
        <f t="array" ref="G46">IF(INDEX('contents 추가정보'!C:C,MATCH(B46,'contents 추가정보'!A:A,0),0)=0,"",INDEX('contents 추가정보'!C:C,MATCH(B46,'contents 추가정보'!A:A,0),0))</f>
        <v/>
      </c>
      <c r="H46" s="40" t="str" cm="1">
        <f t="array" ref="H46">IF(INDEX('contents 추가정보'!D:D,MATCH(B46,'contents 추가정보'!A:A,0),0)=0,"",INDEX('contents 추가정보'!D:D,MATCH(B46,'contents 추가정보'!A:A,0),0))</f>
        <v/>
      </c>
      <c r="I46" s="40" t="str">
        <f>IFERROR(INDEX(contents!J:J,MATCH(B46,contents!V:V,0),0),"")</f>
        <v/>
      </c>
      <c r="J46" s="40" t="str">
        <f>IFERROR(INDEX(contents!M:M,MATCH(B46,contents!V:V,0),0),"")</f>
        <v/>
      </c>
      <c r="K46" s="56" t="str">
        <f>IFERROR(TEXT(INDEX(contents!N:N,MATCH(B46,contents!V:V,0),0),"0.00%"),"")</f>
        <v/>
      </c>
      <c r="L46" s="40" t="str">
        <f>IFERROR(INDEX(contents!O:O,MATCH(B46,contents!V:V,0),0),"")</f>
        <v/>
      </c>
      <c r="M46" s="40" t="str">
        <f>IFERROR(INDEX(contents!P:P,MATCH(B46,contents!V:V,0),0),"")</f>
        <v/>
      </c>
      <c r="N46" s="40" t="str">
        <f>IFERROR(INDEX(contents!Q:Q,MATCH(B46,contents!V:V,0),0),"")</f>
        <v/>
      </c>
      <c r="O46" s="57" t="str">
        <f t="shared" si="0"/>
        <v/>
      </c>
      <c r="P46" s="58" t="str">
        <f>IFERROR(TEXT(INDEX(contents!Y:Y,MATCH(B46,contents!V:V,0),0),"0.00%"),"")</f>
        <v/>
      </c>
      <c r="R46" t="str">
        <f t="shared" si="1"/>
        <v>X</v>
      </c>
    </row>
    <row r="47" spans="2:18">
      <c r="B47" s="39">
        <v>41</v>
      </c>
      <c r="C47" s="55" t="str">
        <f>IFERROR(TEXT(INDEX(contents!W:W,MATCH(B47,contents!V:V,0),0),"mm월 dd일"),"")</f>
        <v/>
      </c>
      <c r="D47" s="40" t="str">
        <f>IFERROR(TEXT(INDEX(contents!W:W,MATCH(B47,contents!V:V,0),0),"aaa"),"")</f>
        <v/>
      </c>
      <c r="E47" s="40" t="str" cm="1">
        <f t="array" ref="E47">IF(INDEX('contents 추가정보'!E:E,MATCH(B47,'contents 추가정보'!A:A,0),0)=0,"",INDEX('contents 추가정보'!E:E,MATCH(B47,'contents 추가정보'!A:A,0),0))</f>
        <v/>
      </c>
      <c r="F47" s="62" t="str">
        <f>IFERROR(IF(INDEX(contents!C:C,MATCH(B47,contents!V:V,0)+1)="Sponsored","●",""),"")</f>
        <v/>
      </c>
      <c r="G47" s="213" t="str" cm="1">
        <f t="array" ref="G47">IF(INDEX('contents 추가정보'!C:C,MATCH(B47,'contents 추가정보'!A:A,0),0)=0,"",INDEX('contents 추가정보'!C:C,MATCH(B47,'contents 추가정보'!A:A,0),0))</f>
        <v/>
      </c>
      <c r="H47" s="40" t="str" cm="1">
        <f t="array" ref="H47">IF(INDEX('contents 추가정보'!D:D,MATCH(B47,'contents 추가정보'!A:A,0),0)=0,"",INDEX('contents 추가정보'!D:D,MATCH(B47,'contents 추가정보'!A:A,0),0))</f>
        <v/>
      </c>
      <c r="I47" s="40" t="str">
        <f>IFERROR(INDEX(contents!J:J,MATCH(B47,contents!V:V,0),0),"")</f>
        <v/>
      </c>
      <c r="J47" s="40" t="str">
        <f>IFERROR(INDEX(contents!M:M,MATCH(B47,contents!V:V,0),0),"")</f>
        <v/>
      </c>
      <c r="K47" s="56" t="str">
        <f>IFERROR(TEXT(INDEX(contents!N:N,MATCH(B47,contents!V:V,0),0),"0.00%"),"")</f>
        <v/>
      </c>
      <c r="L47" s="40" t="str">
        <f>IFERROR(INDEX(contents!O:O,MATCH(B47,contents!V:V,0),0),"")</f>
        <v/>
      </c>
      <c r="M47" s="40" t="str">
        <f>IFERROR(INDEX(contents!P:P,MATCH(B47,contents!V:V,0),0),"")</f>
        <v/>
      </c>
      <c r="N47" s="40" t="str">
        <f>IFERROR(INDEX(contents!Q:Q,MATCH(B47,contents!V:V,0),0),"")</f>
        <v/>
      </c>
      <c r="O47" s="57" t="str">
        <f t="shared" si="0"/>
        <v/>
      </c>
      <c r="P47" s="58" t="str">
        <f>IFERROR(TEXT(INDEX(contents!Y:Y,MATCH(B47,contents!V:V,0),0),"0.00%"),"")</f>
        <v/>
      </c>
      <c r="R47" t="str">
        <f t="shared" si="1"/>
        <v>X</v>
      </c>
    </row>
    <row r="48" spans="2:18">
      <c r="B48" s="59">
        <v>42</v>
      </c>
      <c r="C48" s="55" t="str">
        <f>IFERROR(TEXT(INDEX(contents!W:W,MATCH(B48,contents!V:V,0),0),"mm월 dd일"),"")</f>
        <v/>
      </c>
      <c r="D48" s="40" t="str">
        <f>IFERROR(TEXT(INDEX(contents!W:W,MATCH(B48,contents!V:V,0),0),"aaa"),"")</f>
        <v/>
      </c>
      <c r="E48" s="40" t="str" cm="1">
        <f t="array" ref="E48">IF(INDEX('contents 추가정보'!E:E,MATCH(B48,'contents 추가정보'!A:A,0),0)=0,"",INDEX('contents 추가정보'!E:E,MATCH(B48,'contents 추가정보'!A:A,0),0))</f>
        <v/>
      </c>
      <c r="F48" s="62" t="str">
        <f>IFERROR(IF(INDEX(contents!C:C,MATCH(B48,contents!V:V,0)+1)="Sponsored","●",""),"")</f>
        <v/>
      </c>
      <c r="G48" s="213" t="str" cm="1">
        <f t="array" ref="G48">IF(INDEX('contents 추가정보'!C:C,MATCH(B48,'contents 추가정보'!A:A,0),0)=0,"",INDEX('contents 추가정보'!C:C,MATCH(B48,'contents 추가정보'!A:A,0),0))</f>
        <v/>
      </c>
      <c r="H48" s="40" t="str" cm="1">
        <f t="array" ref="H48">IF(INDEX('contents 추가정보'!D:D,MATCH(B48,'contents 추가정보'!A:A,0),0)=0,"",INDEX('contents 추가정보'!D:D,MATCH(B48,'contents 추가정보'!A:A,0),0))</f>
        <v/>
      </c>
      <c r="I48" s="40" t="str">
        <f>IFERROR(INDEX(contents!J:J,MATCH(B48,contents!V:V,0),0),"")</f>
        <v/>
      </c>
      <c r="J48" s="40" t="str">
        <f>IFERROR(INDEX(contents!M:M,MATCH(B48,contents!V:V,0),0),"")</f>
        <v/>
      </c>
      <c r="K48" s="56" t="str">
        <f>IFERROR(TEXT(INDEX(contents!N:N,MATCH(B48,contents!V:V,0),0),"0.00%"),"")</f>
        <v/>
      </c>
      <c r="L48" s="40" t="str">
        <f>IFERROR(INDEX(contents!O:O,MATCH(B48,contents!V:V,0),0),"")</f>
        <v/>
      </c>
      <c r="M48" s="40" t="str">
        <f>IFERROR(INDEX(contents!P:P,MATCH(B48,contents!V:V,0),0),"")</f>
        <v/>
      </c>
      <c r="N48" s="40" t="str">
        <f>IFERROR(INDEX(contents!Q:Q,MATCH(B48,contents!V:V,0),0),"")</f>
        <v/>
      </c>
      <c r="O48" s="57" t="str">
        <f t="shared" si="0"/>
        <v/>
      </c>
      <c r="P48" s="58" t="str">
        <f>IFERROR(TEXT(INDEX(contents!Y:Y,MATCH(B48,contents!V:V,0),0),"0.00%"),"")</f>
        <v/>
      </c>
      <c r="R48" t="str">
        <f t="shared" si="1"/>
        <v>X</v>
      </c>
    </row>
    <row r="49" spans="2:18">
      <c r="B49" s="39">
        <v>43</v>
      </c>
      <c r="C49" s="55" t="str">
        <f>IFERROR(TEXT(INDEX(contents!W:W,MATCH(B49,contents!V:V,0),0),"mm월 dd일"),"")</f>
        <v/>
      </c>
      <c r="D49" s="40" t="str">
        <f>IFERROR(TEXT(INDEX(contents!W:W,MATCH(B49,contents!V:V,0),0),"aaa"),"")</f>
        <v/>
      </c>
      <c r="E49" s="40" t="str" cm="1">
        <f t="array" ref="E49">IF(INDEX('contents 추가정보'!E:E,MATCH(B49,'contents 추가정보'!A:A,0),0)=0,"",INDEX('contents 추가정보'!E:E,MATCH(B49,'contents 추가정보'!A:A,0),0))</f>
        <v/>
      </c>
      <c r="F49" s="62" t="str">
        <f>IFERROR(IF(INDEX(contents!C:C,MATCH(B49,contents!V:V,0)+1)="Sponsored","●",""),"")</f>
        <v/>
      </c>
      <c r="G49" s="213" t="str" cm="1">
        <f t="array" ref="G49">IF(INDEX('contents 추가정보'!C:C,MATCH(B49,'contents 추가정보'!A:A,0),0)=0,"",INDEX('contents 추가정보'!C:C,MATCH(B49,'contents 추가정보'!A:A,0),0))</f>
        <v/>
      </c>
      <c r="H49" s="40" t="str" cm="1">
        <f t="array" ref="H49">IF(INDEX('contents 추가정보'!D:D,MATCH(B49,'contents 추가정보'!A:A,0),0)=0,"",INDEX('contents 추가정보'!D:D,MATCH(B49,'contents 추가정보'!A:A,0),0))</f>
        <v/>
      </c>
      <c r="I49" s="40" t="str">
        <f>IFERROR(INDEX(contents!J:J,MATCH(B49,contents!V:V,0),0),"")</f>
        <v/>
      </c>
      <c r="J49" s="40" t="str">
        <f>IFERROR(INDEX(contents!M:M,MATCH(B49,contents!V:V,0),0),"")</f>
        <v/>
      </c>
      <c r="K49" s="56" t="str">
        <f>IFERROR(TEXT(INDEX(contents!N:N,MATCH(B49,contents!V:V,0),0),"0.00%"),"")</f>
        <v/>
      </c>
      <c r="L49" s="40" t="str">
        <f>IFERROR(INDEX(contents!O:O,MATCH(B49,contents!V:V,0),0),"")</f>
        <v/>
      </c>
      <c r="M49" s="40" t="str">
        <f>IFERROR(INDEX(contents!P:P,MATCH(B49,contents!V:V,0),0),"")</f>
        <v/>
      </c>
      <c r="N49" s="40" t="str">
        <f>IFERROR(INDEX(contents!Q:Q,MATCH(B49,contents!V:V,0),0),"")</f>
        <v/>
      </c>
      <c r="O49" s="57" t="str">
        <f t="shared" si="0"/>
        <v/>
      </c>
      <c r="P49" s="58" t="str">
        <f>IFERROR(TEXT(INDEX(contents!Y:Y,MATCH(B49,contents!V:V,0),0),"0.00%"),"")</f>
        <v/>
      </c>
      <c r="R49" t="str">
        <f t="shared" si="1"/>
        <v>X</v>
      </c>
    </row>
    <row r="50" spans="2:18">
      <c r="B50" s="59">
        <v>44</v>
      </c>
      <c r="C50" s="55" t="str">
        <f>IFERROR(TEXT(INDEX(contents!W:W,MATCH(B50,contents!V:V,0),0),"mm월 dd일"),"")</f>
        <v/>
      </c>
      <c r="D50" s="40" t="str">
        <f>IFERROR(TEXT(INDEX(contents!W:W,MATCH(B50,contents!V:V,0),0),"aaa"),"")</f>
        <v/>
      </c>
      <c r="E50" s="40" t="str" cm="1">
        <f t="array" ref="E50">IF(INDEX('contents 추가정보'!E:E,MATCH(B50,'contents 추가정보'!A:A,0),0)=0,"",INDEX('contents 추가정보'!E:E,MATCH(B50,'contents 추가정보'!A:A,0),0))</f>
        <v/>
      </c>
      <c r="F50" s="62" t="str">
        <f>IFERROR(IF(INDEX(contents!C:C,MATCH(B50,contents!V:V,0)+1)="Sponsored","●",""),"")</f>
        <v/>
      </c>
      <c r="G50" s="213" t="str" cm="1">
        <f t="array" ref="G50">IF(INDEX('contents 추가정보'!C:C,MATCH(B50,'contents 추가정보'!A:A,0),0)=0,"",INDEX('contents 추가정보'!C:C,MATCH(B50,'contents 추가정보'!A:A,0),0))</f>
        <v/>
      </c>
      <c r="H50" s="40" t="str" cm="1">
        <f t="array" ref="H50">IF(INDEX('contents 추가정보'!D:D,MATCH(B50,'contents 추가정보'!A:A,0),0)=0,"",INDEX('contents 추가정보'!D:D,MATCH(B50,'contents 추가정보'!A:A,0),0))</f>
        <v/>
      </c>
      <c r="I50" s="40" t="str">
        <f>IFERROR(INDEX(contents!J:J,MATCH(B50,contents!V:V,0),0),"")</f>
        <v/>
      </c>
      <c r="J50" s="40" t="str">
        <f>IFERROR(INDEX(contents!M:M,MATCH(B50,contents!V:V,0),0),"")</f>
        <v/>
      </c>
      <c r="K50" s="56" t="str">
        <f>IFERROR(TEXT(INDEX(contents!N:N,MATCH(B50,contents!V:V,0),0),"0.00%"),"")</f>
        <v/>
      </c>
      <c r="L50" s="40" t="str">
        <f>IFERROR(INDEX(contents!O:O,MATCH(B50,contents!V:V,0),0),"")</f>
        <v/>
      </c>
      <c r="M50" s="40" t="str">
        <f>IFERROR(INDEX(contents!P:P,MATCH(B50,contents!V:V,0),0),"")</f>
        <v/>
      </c>
      <c r="N50" s="40" t="str">
        <f>IFERROR(INDEX(contents!Q:Q,MATCH(B50,contents!V:V,0),0),"")</f>
        <v/>
      </c>
      <c r="O50" s="57" t="str">
        <f t="shared" si="0"/>
        <v/>
      </c>
      <c r="P50" s="58" t="str">
        <f>IFERROR(TEXT(INDEX(contents!Y:Y,MATCH(B50,contents!V:V,0),0),"0.00%"),"")</f>
        <v/>
      </c>
      <c r="R50" t="str">
        <f t="shared" si="1"/>
        <v>X</v>
      </c>
    </row>
    <row r="52" spans="2:18">
      <c r="G52" s="73"/>
      <c r="I52" s="73"/>
    </row>
  </sheetData>
  <autoFilter ref="B6:P50" xr:uid="{00000000-0009-0000-0000-000009000000}">
    <sortState xmlns:xlrd2="http://schemas.microsoft.com/office/spreadsheetml/2017/richdata2" ref="B7:P50">
      <sortCondition ref="B7"/>
    </sortState>
  </autoFilter>
  <phoneticPr fontId="2"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7" tint="0.79998168889431442"/>
  </sheetPr>
  <dimension ref="A1:Y71"/>
  <sheetViews>
    <sheetView zoomScale="70" zoomScaleNormal="70" workbookViewId="0">
      <selection activeCell="A2" sqref="A2:T33"/>
    </sheetView>
  </sheetViews>
  <sheetFormatPr defaultRowHeight="16.5"/>
  <cols>
    <col min="1" max="20" width="8.875" style="4"/>
    <col min="22" max="22" width="9" customWidth="1"/>
    <col min="23" max="23" width="18.375" customWidth="1"/>
    <col min="24" max="24" width="11.125" customWidth="1"/>
    <col min="25" max="25" width="10.625" customWidth="1"/>
    <col min="27" max="29" width="8.375" customWidth="1"/>
  </cols>
  <sheetData>
    <row r="1" spans="1:25" ht="17.25" thickBot="1">
      <c r="A1" s="4" t="s">
        <v>98</v>
      </c>
    </row>
    <row r="2" spans="1:25">
      <c r="A2" s="4" t="s">
        <v>0</v>
      </c>
      <c r="B2" s="4" t="s">
        <v>99</v>
      </c>
      <c r="C2" s="4" t="s">
        <v>100</v>
      </c>
      <c r="D2" s="4" t="s">
        <v>101</v>
      </c>
      <c r="E2" s="4" t="s">
        <v>102</v>
      </c>
      <c r="F2" s="4" t="s">
        <v>103</v>
      </c>
      <c r="G2" s="4" t="s">
        <v>104</v>
      </c>
      <c r="H2" s="4" t="s">
        <v>105</v>
      </c>
      <c r="I2" s="4" t="s">
        <v>106</v>
      </c>
      <c r="J2" s="4" t="s">
        <v>107</v>
      </c>
      <c r="K2" s="4" t="s">
        <v>108</v>
      </c>
      <c r="L2" s="4" t="s">
        <v>109</v>
      </c>
      <c r="M2" s="4" t="s">
        <v>110</v>
      </c>
      <c r="N2" s="4" t="s">
        <v>111</v>
      </c>
      <c r="O2" s="4" t="s">
        <v>112</v>
      </c>
      <c r="P2" s="4" t="s">
        <v>113</v>
      </c>
      <c r="Q2" s="4" t="s">
        <v>114</v>
      </c>
      <c r="R2" s="4" t="s">
        <v>115</v>
      </c>
      <c r="S2" s="4" t="s">
        <v>116</v>
      </c>
      <c r="T2" s="4" t="s">
        <v>117</v>
      </c>
      <c r="U2" s="4" t="s">
        <v>87</v>
      </c>
      <c r="W2" s="67"/>
      <c r="X2" s="131" t="str">
        <f>MONTH(followers!H1)&amp;"월"</f>
        <v>3월</v>
      </c>
      <c r="Y2" s="132" t="str">
        <f>IF(MONTH(followers!H1)-1=0,"12월",MONTH(followers!H1)-1&amp;"월")</f>
        <v>2월</v>
      </c>
    </row>
    <row r="3" spans="1:25">
      <c r="A3" s="4" t="s">
        <v>623</v>
      </c>
      <c r="B3" s="4">
        <v>3886</v>
      </c>
      <c r="C3" s="4">
        <v>10169</v>
      </c>
      <c r="D3" s="4">
        <v>14055</v>
      </c>
      <c r="E3" s="4">
        <v>1642</v>
      </c>
      <c r="F3" s="4">
        <v>290</v>
      </c>
      <c r="G3" s="4">
        <v>323</v>
      </c>
      <c r="H3" s="4">
        <v>613</v>
      </c>
      <c r="I3" s="4">
        <v>41</v>
      </c>
      <c r="J3" s="4">
        <v>29</v>
      </c>
      <c r="K3" s="4">
        <v>70</v>
      </c>
      <c r="L3" s="4">
        <v>1</v>
      </c>
      <c r="M3" s="4">
        <v>0</v>
      </c>
      <c r="N3" s="4">
        <v>1</v>
      </c>
      <c r="O3" s="4">
        <v>0</v>
      </c>
      <c r="P3" s="4">
        <v>0</v>
      </c>
      <c r="Q3" s="4">
        <v>0</v>
      </c>
      <c r="R3" s="4">
        <v>8.5434894493051985E-2</v>
      </c>
      <c r="S3" s="4">
        <v>3.2353230406136295E-2</v>
      </c>
      <c r="T3" s="4">
        <v>4.702952685876912E-2</v>
      </c>
      <c r="U3" s="18">
        <f>IF(F3="","",SUM(F3,I3,L3,O3))</f>
        <v>332</v>
      </c>
      <c r="W3" s="68" t="s">
        <v>90</v>
      </c>
      <c r="X3" s="37">
        <f>SUM(B3:B104)</f>
        <v>170500</v>
      </c>
      <c r="Y3" s="69">
        <v>139143</v>
      </c>
    </row>
    <row r="4" spans="1:25">
      <c r="A4" s="4" t="s">
        <v>624</v>
      </c>
      <c r="B4" s="4">
        <v>3448</v>
      </c>
      <c r="C4" s="4">
        <v>12644</v>
      </c>
      <c r="D4" s="4">
        <v>16092</v>
      </c>
      <c r="E4" s="4">
        <v>1336</v>
      </c>
      <c r="F4" s="4">
        <v>322</v>
      </c>
      <c r="G4" s="4">
        <v>199</v>
      </c>
      <c r="H4" s="4">
        <v>521</v>
      </c>
      <c r="I4" s="4">
        <v>31</v>
      </c>
      <c r="J4" s="4">
        <v>38</v>
      </c>
      <c r="K4" s="4">
        <v>69</v>
      </c>
      <c r="L4" s="4">
        <v>0</v>
      </c>
      <c r="M4" s="4">
        <v>0</v>
      </c>
      <c r="N4" s="4">
        <v>0</v>
      </c>
      <c r="O4" s="4">
        <v>0</v>
      </c>
      <c r="P4" s="4">
        <v>2</v>
      </c>
      <c r="Q4" s="4">
        <v>2</v>
      </c>
      <c r="R4" s="4">
        <v>0.10237819025522042</v>
      </c>
      <c r="S4" s="4">
        <v>1.6055045871559634E-2</v>
      </c>
      <c r="T4" s="4">
        <v>3.4551329853343277E-2</v>
      </c>
      <c r="U4" s="18">
        <f t="shared" ref="U4:U67" si="0">IF(F4="","",SUM(F4,I4,L4,O4))</f>
        <v>353</v>
      </c>
      <c r="W4" s="68" t="s">
        <v>91</v>
      </c>
      <c r="X4" s="37">
        <f>SUM(U:U)</f>
        <v>20307</v>
      </c>
      <c r="Y4" s="69">
        <v>9922</v>
      </c>
    </row>
    <row r="5" spans="1:25" ht="17.25" thickBot="1">
      <c r="A5" s="4" t="s">
        <v>625</v>
      </c>
      <c r="B5" s="4">
        <v>3072</v>
      </c>
      <c r="C5" s="4">
        <v>12652</v>
      </c>
      <c r="D5" s="4">
        <v>15724</v>
      </c>
      <c r="E5" s="4">
        <v>1272</v>
      </c>
      <c r="F5" s="4">
        <v>214</v>
      </c>
      <c r="G5" s="4">
        <v>216</v>
      </c>
      <c r="H5" s="4">
        <v>430</v>
      </c>
      <c r="I5" s="4">
        <v>25</v>
      </c>
      <c r="J5" s="4">
        <v>31</v>
      </c>
      <c r="K5" s="4">
        <v>56</v>
      </c>
      <c r="L5" s="4">
        <v>1</v>
      </c>
      <c r="M5" s="4">
        <v>0</v>
      </c>
      <c r="N5" s="4">
        <v>1</v>
      </c>
      <c r="O5" s="4">
        <v>0</v>
      </c>
      <c r="P5" s="4">
        <v>1</v>
      </c>
      <c r="Q5" s="4">
        <v>1</v>
      </c>
      <c r="R5" s="4">
        <v>7.8125E-2</v>
      </c>
      <c r="S5" s="4">
        <v>1.7467594056275688E-2</v>
      </c>
      <c r="T5" s="4">
        <v>2.9318239633680996E-2</v>
      </c>
      <c r="U5" s="18">
        <f t="shared" si="0"/>
        <v>240</v>
      </c>
      <c r="W5" s="70" t="s">
        <v>92</v>
      </c>
      <c r="X5" s="71">
        <f>SUM(F:F)</f>
        <v>18437</v>
      </c>
      <c r="Y5" s="72">
        <v>8507</v>
      </c>
    </row>
    <row r="6" spans="1:25">
      <c r="A6" s="4" t="s">
        <v>626</v>
      </c>
      <c r="B6" s="90">
        <v>4815</v>
      </c>
      <c r="C6" s="4">
        <v>16924</v>
      </c>
      <c r="D6" s="4">
        <v>21739</v>
      </c>
      <c r="E6" s="4">
        <v>1875</v>
      </c>
      <c r="F6" s="4">
        <v>294</v>
      </c>
      <c r="G6" s="4">
        <v>180</v>
      </c>
      <c r="H6" s="4">
        <v>474</v>
      </c>
      <c r="I6" s="4">
        <v>50</v>
      </c>
      <c r="J6" s="4">
        <v>21</v>
      </c>
      <c r="K6" s="4">
        <v>71</v>
      </c>
      <c r="L6" s="4">
        <v>1</v>
      </c>
      <c r="M6" s="4">
        <v>0</v>
      </c>
      <c r="N6" s="4">
        <v>1</v>
      </c>
      <c r="O6" s="4">
        <v>0</v>
      </c>
      <c r="P6" s="4">
        <v>1</v>
      </c>
      <c r="Q6" s="4">
        <v>1</v>
      </c>
      <c r="R6" s="4">
        <v>7.1651090342679122E-2</v>
      </c>
      <c r="S6" s="4">
        <v>1.0872134247222878E-2</v>
      </c>
      <c r="T6" s="4">
        <v>2.4334146004876024E-2</v>
      </c>
      <c r="U6" s="18">
        <f t="shared" si="0"/>
        <v>345</v>
      </c>
    </row>
    <row r="7" spans="1:25">
      <c r="A7" s="4" t="s">
        <v>627</v>
      </c>
      <c r="B7" s="90">
        <v>7116</v>
      </c>
      <c r="C7" s="4">
        <v>15273</v>
      </c>
      <c r="D7" s="4">
        <v>22389</v>
      </c>
      <c r="E7" s="4">
        <v>2644</v>
      </c>
      <c r="F7" s="4">
        <v>219</v>
      </c>
      <c r="G7" s="4">
        <v>259</v>
      </c>
      <c r="H7" s="4">
        <v>478</v>
      </c>
      <c r="I7" s="4">
        <v>70</v>
      </c>
      <c r="J7" s="4">
        <v>39</v>
      </c>
      <c r="K7" s="4">
        <v>109</v>
      </c>
      <c r="L7" s="4">
        <v>1</v>
      </c>
      <c r="M7" s="4">
        <v>0</v>
      </c>
      <c r="N7" s="4">
        <v>1</v>
      </c>
      <c r="O7" s="4">
        <v>0</v>
      </c>
      <c r="P7" s="4">
        <v>0</v>
      </c>
      <c r="Q7" s="4">
        <v>0</v>
      </c>
      <c r="R7" s="4">
        <v>4.0753232152894885E-2</v>
      </c>
      <c r="S7" s="4">
        <v>1.7154455575198062E-2</v>
      </c>
      <c r="T7" s="4">
        <v>2.4654964491491356E-2</v>
      </c>
      <c r="U7" s="18">
        <f t="shared" si="0"/>
        <v>290</v>
      </c>
    </row>
    <row r="8" spans="1:25">
      <c r="A8" s="4" t="s">
        <v>628</v>
      </c>
      <c r="B8" s="4">
        <v>3967</v>
      </c>
      <c r="C8" s="4">
        <v>9614</v>
      </c>
      <c r="D8" s="4">
        <v>13581</v>
      </c>
      <c r="E8" s="4">
        <v>1474</v>
      </c>
      <c r="F8" s="4">
        <v>334</v>
      </c>
      <c r="G8" s="4">
        <v>241</v>
      </c>
      <c r="H8" s="4">
        <v>575</v>
      </c>
      <c r="I8" s="4">
        <v>38</v>
      </c>
      <c r="J8" s="4">
        <v>33</v>
      </c>
      <c r="K8" s="4">
        <v>71</v>
      </c>
      <c r="L8" s="4">
        <v>0</v>
      </c>
      <c r="M8" s="4">
        <v>1</v>
      </c>
      <c r="N8" s="4">
        <v>1</v>
      </c>
      <c r="O8" s="4">
        <v>0</v>
      </c>
      <c r="P8" s="4">
        <v>2</v>
      </c>
      <c r="Q8" s="4">
        <v>2</v>
      </c>
      <c r="R8" s="4">
        <v>9.3773632467859844E-2</v>
      </c>
      <c r="S8" s="4">
        <v>2.5795714582899937E-2</v>
      </c>
      <c r="T8" s="4">
        <v>4.5652013842868711E-2</v>
      </c>
      <c r="U8" s="18">
        <f t="shared" si="0"/>
        <v>372</v>
      </c>
    </row>
    <row r="9" spans="1:25">
      <c r="A9" s="4" t="s">
        <v>629</v>
      </c>
      <c r="B9" s="4">
        <v>4392</v>
      </c>
      <c r="C9" s="4">
        <v>11926</v>
      </c>
      <c r="D9" s="4">
        <v>16318</v>
      </c>
      <c r="E9" s="4">
        <v>1986</v>
      </c>
      <c r="F9" s="4">
        <v>457</v>
      </c>
      <c r="G9" s="4">
        <v>188</v>
      </c>
      <c r="H9" s="4">
        <v>645</v>
      </c>
      <c r="I9" s="4">
        <v>45</v>
      </c>
      <c r="J9" s="4">
        <v>26</v>
      </c>
      <c r="K9" s="4">
        <v>71</v>
      </c>
      <c r="L9" s="4">
        <v>0</v>
      </c>
      <c r="M9" s="4">
        <v>1</v>
      </c>
      <c r="N9" s="4">
        <v>1</v>
      </c>
      <c r="O9" s="4">
        <v>0</v>
      </c>
      <c r="P9" s="4">
        <v>1</v>
      </c>
      <c r="Q9" s="4">
        <v>1</v>
      </c>
      <c r="R9" s="4">
        <v>0.11429872495446267</v>
      </c>
      <c r="S9" s="4">
        <v>1.651853094080161E-2</v>
      </c>
      <c r="T9" s="4">
        <v>4.2836131878906732E-2</v>
      </c>
      <c r="U9" s="18">
        <f t="shared" si="0"/>
        <v>502</v>
      </c>
      <c r="X9" s="93"/>
    </row>
    <row r="10" spans="1:25">
      <c r="A10" s="4" t="s">
        <v>630</v>
      </c>
      <c r="B10" s="4">
        <v>5468</v>
      </c>
      <c r="C10" s="4">
        <v>18146</v>
      </c>
      <c r="D10" s="4">
        <v>23614</v>
      </c>
      <c r="E10" s="4">
        <v>1593</v>
      </c>
      <c r="F10" s="4">
        <v>456</v>
      </c>
      <c r="G10" s="4">
        <v>198</v>
      </c>
      <c r="H10" s="4">
        <v>654</v>
      </c>
      <c r="I10" s="4">
        <v>87</v>
      </c>
      <c r="J10" s="4">
        <v>24</v>
      </c>
      <c r="K10" s="4">
        <v>111</v>
      </c>
      <c r="L10" s="4">
        <v>3</v>
      </c>
      <c r="M10" s="4">
        <v>1</v>
      </c>
      <c r="N10" s="4">
        <v>4</v>
      </c>
      <c r="O10" s="4">
        <v>0</v>
      </c>
      <c r="P10" s="4">
        <v>1</v>
      </c>
      <c r="Q10" s="4">
        <v>1</v>
      </c>
      <c r="R10" s="4">
        <v>9.9853694220921732E-2</v>
      </c>
      <c r="S10" s="4">
        <v>1.1187038465777581E-2</v>
      </c>
      <c r="T10" s="4">
        <v>3.1718472092826293E-2</v>
      </c>
      <c r="U10" s="18">
        <f t="shared" si="0"/>
        <v>546</v>
      </c>
    </row>
    <row r="11" spans="1:25">
      <c r="A11" s="4" t="s">
        <v>631</v>
      </c>
      <c r="B11" s="4">
        <v>2145</v>
      </c>
      <c r="C11" s="4">
        <v>15667</v>
      </c>
      <c r="D11" s="4">
        <v>17812</v>
      </c>
      <c r="E11" s="4">
        <v>959</v>
      </c>
      <c r="F11" s="4">
        <v>206</v>
      </c>
      <c r="G11" s="4">
        <v>161</v>
      </c>
      <c r="H11" s="4">
        <v>367</v>
      </c>
      <c r="I11" s="4">
        <v>19</v>
      </c>
      <c r="J11" s="4">
        <v>14</v>
      </c>
      <c r="K11" s="4">
        <v>33</v>
      </c>
      <c r="L11" s="4">
        <v>0</v>
      </c>
      <c r="M11" s="4">
        <v>0</v>
      </c>
      <c r="N11" s="4">
        <v>0</v>
      </c>
      <c r="O11" s="4">
        <v>0</v>
      </c>
      <c r="P11" s="4">
        <v>0</v>
      </c>
      <c r="Q11" s="4">
        <v>0</v>
      </c>
      <c r="R11" s="4">
        <v>0.1048951048951049</v>
      </c>
      <c r="S11" s="4">
        <v>1.0659347673453756E-2</v>
      </c>
      <c r="T11" s="4">
        <v>2.2007635302043565E-2</v>
      </c>
      <c r="U11" s="18">
        <f t="shared" si="0"/>
        <v>225</v>
      </c>
    </row>
    <row r="12" spans="1:25">
      <c r="A12" s="4" t="s">
        <v>632</v>
      </c>
      <c r="B12" s="4">
        <v>2094</v>
      </c>
      <c r="C12" s="4">
        <v>22350</v>
      </c>
      <c r="D12" s="4">
        <v>24444</v>
      </c>
      <c r="E12" s="4">
        <v>908</v>
      </c>
      <c r="F12" s="4">
        <v>298</v>
      </c>
      <c r="G12" s="4">
        <v>209</v>
      </c>
      <c r="H12" s="4">
        <v>507</v>
      </c>
      <c r="I12" s="4">
        <v>27</v>
      </c>
      <c r="J12" s="4">
        <v>22</v>
      </c>
      <c r="K12" s="4">
        <v>49</v>
      </c>
      <c r="L12" s="4">
        <v>0</v>
      </c>
      <c r="M12" s="4">
        <v>0</v>
      </c>
      <c r="N12" s="4">
        <v>0</v>
      </c>
      <c r="O12" s="4">
        <v>0</v>
      </c>
      <c r="P12" s="4">
        <v>1</v>
      </c>
      <c r="Q12" s="4">
        <v>1</v>
      </c>
      <c r="R12" s="4">
        <v>0.15520534861509075</v>
      </c>
      <c r="S12" s="4">
        <v>9.3959731543624154E-3</v>
      </c>
      <c r="T12" s="4">
        <v>2.1886761577483226E-2</v>
      </c>
      <c r="U12" s="18">
        <f t="shared" si="0"/>
        <v>325</v>
      </c>
    </row>
    <row r="13" spans="1:25">
      <c r="A13" s="4" t="s">
        <v>633</v>
      </c>
      <c r="B13" s="90">
        <v>6746</v>
      </c>
      <c r="C13" s="4">
        <v>21091</v>
      </c>
      <c r="D13" s="4">
        <v>27837</v>
      </c>
      <c r="E13" s="4">
        <v>1890</v>
      </c>
      <c r="F13" s="4">
        <v>572</v>
      </c>
      <c r="G13" s="4">
        <v>299</v>
      </c>
      <c r="H13" s="4">
        <v>871</v>
      </c>
      <c r="I13" s="4">
        <v>65</v>
      </c>
      <c r="J13" s="4">
        <v>39</v>
      </c>
      <c r="K13" s="4">
        <v>104</v>
      </c>
      <c r="L13" s="4">
        <v>0</v>
      </c>
      <c r="M13" s="4">
        <v>1</v>
      </c>
      <c r="N13" s="4">
        <v>1</v>
      </c>
      <c r="O13" s="4">
        <v>0</v>
      </c>
      <c r="P13" s="4">
        <v>1</v>
      </c>
      <c r="Q13" s="4">
        <v>1</v>
      </c>
      <c r="R13" s="4">
        <v>9.442632671212571E-2</v>
      </c>
      <c r="S13" s="4">
        <v>1.4461144564032052E-2</v>
      </c>
      <c r="T13" s="4">
        <v>3.3839853432481949E-2</v>
      </c>
      <c r="U13" s="18">
        <f t="shared" si="0"/>
        <v>637</v>
      </c>
    </row>
    <row r="14" spans="1:25">
      <c r="A14" s="4" t="s">
        <v>634</v>
      </c>
      <c r="B14" s="4">
        <v>4123</v>
      </c>
      <c r="C14" s="4">
        <v>16496</v>
      </c>
      <c r="D14" s="4">
        <v>20619</v>
      </c>
      <c r="E14" s="4">
        <v>1302</v>
      </c>
      <c r="F14" s="4">
        <v>370</v>
      </c>
      <c r="G14" s="4">
        <v>201</v>
      </c>
      <c r="H14" s="4">
        <v>571</v>
      </c>
      <c r="I14" s="4">
        <v>65</v>
      </c>
      <c r="J14" s="4">
        <v>22</v>
      </c>
      <c r="K14" s="4">
        <v>87</v>
      </c>
      <c r="L14" s="4">
        <v>0</v>
      </c>
      <c r="M14" s="4">
        <v>1</v>
      </c>
      <c r="N14" s="4">
        <v>1</v>
      </c>
      <c r="O14" s="4">
        <v>0</v>
      </c>
      <c r="P14" s="4">
        <v>0</v>
      </c>
      <c r="Q14" s="4">
        <v>0</v>
      </c>
      <c r="R14" s="4">
        <v>0.10550569973320398</v>
      </c>
      <c r="S14" s="4">
        <v>1.2487875848690592E-2</v>
      </c>
      <c r="T14" s="4">
        <v>3.1087831611620351E-2</v>
      </c>
      <c r="U14" s="18">
        <f t="shared" si="0"/>
        <v>435</v>
      </c>
    </row>
    <row r="15" spans="1:25">
      <c r="A15" s="4" t="s">
        <v>635</v>
      </c>
      <c r="B15" s="90">
        <v>8043</v>
      </c>
      <c r="C15" s="4">
        <v>15330</v>
      </c>
      <c r="D15" s="4">
        <v>23373</v>
      </c>
      <c r="E15" s="4">
        <v>2764</v>
      </c>
      <c r="F15" s="4">
        <v>655</v>
      </c>
      <c r="G15" s="4">
        <v>218</v>
      </c>
      <c r="H15" s="4">
        <v>873</v>
      </c>
      <c r="I15" s="4">
        <v>108</v>
      </c>
      <c r="J15" s="4">
        <v>21</v>
      </c>
      <c r="K15" s="4">
        <v>129</v>
      </c>
      <c r="L15" s="4">
        <v>1</v>
      </c>
      <c r="M15" s="4">
        <v>0</v>
      </c>
      <c r="N15" s="4">
        <v>1</v>
      </c>
      <c r="O15" s="4">
        <v>1</v>
      </c>
      <c r="P15" s="4">
        <v>0</v>
      </c>
      <c r="Q15" s="4">
        <v>1</v>
      </c>
      <c r="R15" s="4">
        <v>9.5113763521074229E-2</v>
      </c>
      <c r="S15" s="4">
        <v>1.4350945857795172E-2</v>
      </c>
      <c r="T15" s="4">
        <v>4.2142643220810336E-2</v>
      </c>
      <c r="U15" s="18">
        <f t="shared" si="0"/>
        <v>765</v>
      </c>
    </row>
    <row r="16" spans="1:25">
      <c r="A16" s="4" t="s">
        <v>636</v>
      </c>
      <c r="B16" s="90">
        <v>7051</v>
      </c>
      <c r="C16" s="4">
        <v>13821</v>
      </c>
      <c r="D16" s="4">
        <v>20872</v>
      </c>
      <c r="E16" s="4">
        <v>2379</v>
      </c>
      <c r="F16" s="4">
        <v>490</v>
      </c>
      <c r="G16" s="4">
        <v>244</v>
      </c>
      <c r="H16" s="4">
        <v>734</v>
      </c>
      <c r="I16" s="4">
        <v>90</v>
      </c>
      <c r="J16" s="4">
        <v>21</v>
      </c>
      <c r="K16" s="4">
        <v>111</v>
      </c>
      <c r="L16" s="4">
        <v>0</v>
      </c>
      <c r="M16" s="4">
        <v>0</v>
      </c>
      <c r="N16" s="4">
        <v>0</v>
      </c>
      <c r="O16" s="4">
        <v>0</v>
      </c>
      <c r="P16" s="4">
        <v>1</v>
      </c>
      <c r="Q16" s="4">
        <v>1</v>
      </c>
      <c r="R16" s="4">
        <v>8.225783576797617E-2</v>
      </c>
      <c r="S16" s="4">
        <v>1.8088416178279429E-2</v>
      </c>
      <c r="T16" s="4">
        <v>3.9766193944039865E-2</v>
      </c>
      <c r="U16" s="18">
        <f t="shared" si="0"/>
        <v>580</v>
      </c>
    </row>
    <row r="17" spans="1:21">
      <c r="A17" s="4" t="s">
        <v>637</v>
      </c>
      <c r="B17" s="4">
        <v>5248</v>
      </c>
      <c r="C17" s="4">
        <v>11502</v>
      </c>
      <c r="D17" s="4">
        <v>16750</v>
      </c>
      <c r="E17" s="4">
        <v>1975</v>
      </c>
      <c r="F17" s="4">
        <v>478</v>
      </c>
      <c r="G17" s="4">
        <v>239</v>
      </c>
      <c r="H17" s="4">
        <v>717</v>
      </c>
      <c r="I17" s="4">
        <v>66</v>
      </c>
      <c r="J17" s="4">
        <v>18</v>
      </c>
      <c r="K17" s="4">
        <v>84</v>
      </c>
      <c r="L17" s="4">
        <v>0</v>
      </c>
      <c r="M17" s="4">
        <v>0</v>
      </c>
      <c r="N17" s="4">
        <v>0</v>
      </c>
      <c r="O17" s="4">
        <v>0</v>
      </c>
      <c r="P17" s="4">
        <v>1</v>
      </c>
      <c r="Q17" s="4">
        <v>1</v>
      </c>
      <c r="R17" s="4">
        <v>0.10365853658536585</v>
      </c>
      <c r="S17" s="4">
        <v>2.1387584767866459E-2</v>
      </c>
      <c r="T17" s="4">
        <v>4.7164179104477615E-2</v>
      </c>
      <c r="U17" s="18">
        <f t="shared" si="0"/>
        <v>544</v>
      </c>
    </row>
    <row r="18" spans="1:21">
      <c r="A18" s="4" t="s">
        <v>638</v>
      </c>
      <c r="B18" s="4">
        <v>2766</v>
      </c>
      <c r="C18" s="4">
        <v>12991</v>
      </c>
      <c r="D18" s="4">
        <v>15757</v>
      </c>
      <c r="E18" s="4">
        <v>1125</v>
      </c>
      <c r="F18" s="4">
        <v>320</v>
      </c>
      <c r="G18" s="4">
        <v>197</v>
      </c>
      <c r="H18" s="4">
        <v>517</v>
      </c>
      <c r="I18" s="4">
        <v>29</v>
      </c>
      <c r="J18" s="4">
        <v>23</v>
      </c>
      <c r="K18" s="4">
        <v>52</v>
      </c>
      <c r="L18" s="4">
        <v>0</v>
      </c>
      <c r="M18" s="4">
        <v>0</v>
      </c>
      <c r="N18" s="4">
        <v>0</v>
      </c>
      <c r="O18" s="4">
        <v>0</v>
      </c>
      <c r="P18" s="4">
        <v>0</v>
      </c>
      <c r="Q18" s="4">
        <v>0</v>
      </c>
      <c r="R18" s="4">
        <v>0.12617498192335502</v>
      </c>
      <c r="S18" s="4">
        <v>1.5164344546224309E-2</v>
      </c>
      <c r="T18" s="4">
        <v>3.4651266103953797E-2</v>
      </c>
      <c r="U18" s="18">
        <f t="shared" si="0"/>
        <v>349</v>
      </c>
    </row>
    <row r="19" spans="1:21">
      <c r="A19" s="4" t="s">
        <v>639</v>
      </c>
      <c r="B19" s="4">
        <v>2789</v>
      </c>
      <c r="C19" s="4">
        <v>8202</v>
      </c>
      <c r="D19" s="4">
        <v>10991</v>
      </c>
      <c r="E19" s="4">
        <v>1069</v>
      </c>
      <c r="F19" s="4">
        <v>379</v>
      </c>
      <c r="G19" s="4">
        <v>142</v>
      </c>
      <c r="H19" s="4">
        <v>521</v>
      </c>
      <c r="I19" s="4">
        <v>32</v>
      </c>
      <c r="J19" s="4">
        <v>12</v>
      </c>
      <c r="K19" s="4">
        <v>44</v>
      </c>
      <c r="L19" s="4">
        <v>0</v>
      </c>
      <c r="M19" s="4">
        <v>0</v>
      </c>
      <c r="N19" s="4">
        <v>0</v>
      </c>
      <c r="O19" s="4">
        <v>0</v>
      </c>
      <c r="P19" s="4">
        <v>0</v>
      </c>
      <c r="Q19" s="4">
        <v>0</v>
      </c>
      <c r="R19" s="4">
        <v>0.14736464682681966</v>
      </c>
      <c r="S19" s="4">
        <v>1.7312850524262374E-2</v>
      </c>
      <c r="T19" s="4">
        <v>5.0313893185333455E-2</v>
      </c>
      <c r="U19" s="18">
        <f t="shared" si="0"/>
        <v>411</v>
      </c>
    </row>
    <row r="20" spans="1:21">
      <c r="A20" s="4" t="s">
        <v>640</v>
      </c>
      <c r="B20" s="90">
        <v>9307</v>
      </c>
      <c r="C20" s="4">
        <v>11097</v>
      </c>
      <c r="D20" s="4">
        <v>20404</v>
      </c>
      <c r="E20" s="4">
        <v>4423</v>
      </c>
      <c r="F20" s="4">
        <v>510</v>
      </c>
      <c r="G20" s="4">
        <v>209</v>
      </c>
      <c r="H20" s="4">
        <v>719</v>
      </c>
      <c r="I20" s="4">
        <v>50</v>
      </c>
      <c r="J20" s="4">
        <v>22</v>
      </c>
      <c r="K20" s="4">
        <v>72</v>
      </c>
      <c r="L20" s="4">
        <v>0</v>
      </c>
      <c r="M20" s="4">
        <v>0</v>
      </c>
      <c r="N20" s="4">
        <v>0</v>
      </c>
      <c r="O20" s="4">
        <v>0</v>
      </c>
      <c r="P20" s="4">
        <v>0</v>
      </c>
      <c r="Q20" s="4">
        <v>0</v>
      </c>
      <c r="R20" s="4">
        <v>6.0169764693241645E-2</v>
      </c>
      <c r="S20" s="4">
        <v>1.9284491303956024E-2</v>
      </c>
      <c r="T20" s="4">
        <v>3.7933738482650463E-2</v>
      </c>
      <c r="U20" s="18">
        <f t="shared" si="0"/>
        <v>560</v>
      </c>
    </row>
    <row r="21" spans="1:21">
      <c r="A21" s="4" t="s">
        <v>641</v>
      </c>
      <c r="B21" s="4">
        <v>10736</v>
      </c>
      <c r="C21" s="4">
        <v>12882</v>
      </c>
      <c r="D21" s="4">
        <v>23618</v>
      </c>
      <c r="E21" s="4">
        <v>4165</v>
      </c>
      <c r="F21" s="4">
        <v>1549</v>
      </c>
      <c r="G21" s="4">
        <v>288</v>
      </c>
      <c r="H21" s="4">
        <v>1837</v>
      </c>
      <c r="I21" s="4">
        <v>127</v>
      </c>
      <c r="J21" s="4">
        <v>39</v>
      </c>
      <c r="K21" s="4">
        <v>166</v>
      </c>
      <c r="L21" s="4">
        <v>2</v>
      </c>
      <c r="M21" s="4">
        <v>0</v>
      </c>
      <c r="N21" s="4">
        <v>2</v>
      </c>
      <c r="O21" s="4">
        <v>1</v>
      </c>
      <c r="P21" s="4">
        <v>0</v>
      </c>
      <c r="Q21" s="4">
        <v>1</v>
      </c>
      <c r="R21" s="4">
        <v>0.15638971684053651</v>
      </c>
      <c r="S21" s="4">
        <v>2.2589659990684675E-2</v>
      </c>
      <c r="T21" s="4">
        <v>8.3410957744093489E-2</v>
      </c>
      <c r="U21" s="18">
        <f t="shared" si="0"/>
        <v>1679</v>
      </c>
    </row>
    <row r="22" spans="1:21">
      <c r="A22" s="4" t="s">
        <v>642</v>
      </c>
      <c r="B22" s="90">
        <v>10672</v>
      </c>
      <c r="C22" s="4">
        <v>13611</v>
      </c>
      <c r="D22" s="4">
        <v>24283</v>
      </c>
      <c r="E22" s="4">
        <v>3426</v>
      </c>
      <c r="F22" s="4">
        <v>1300</v>
      </c>
      <c r="G22" s="4">
        <v>216</v>
      </c>
      <c r="H22" s="4">
        <v>1516</v>
      </c>
      <c r="I22" s="4">
        <v>137</v>
      </c>
      <c r="J22" s="4">
        <v>31</v>
      </c>
      <c r="K22" s="4">
        <v>168</v>
      </c>
      <c r="L22" s="4">
        <v>2</v>
      </c>
      <c r="M22" s="4">
        <v>1</v>
      </c>
      <c r="N22" s="4">
        <v>3</v>
      </c>
      <c r="O22" s="4">
        <v>3</v>
      </c>
      <c r="P22" s="4">
        <v>0</v>
      </c>
      <c r="Q22" s="4">
        <v>3</v>
      </c>
      <c r="R22" s="4">
        <v>0.13511994002998501</v>
      </c>
      <c r="S22" s="4">
        <v>1.6163397252222468E-2</v>
      </c>
      <c r="T22" s="4">
        <v>6.8442943623110819E-2</v>
      </c>
      <c r="U22" s="18">
        <f t="shared" si="0"/>
        <v>1442</v>
      </c>
    </row>
    <row r="23" spans="1:21">
      <c r="A23" s="4" t="s">
        <v>643</v>
      </c>
      <c r="B23" s="90">
        <v>6578</v>
      </c>
      <c r="C23" s="4">
        <v>15488</v>
      </c>
      <c r="D23" s="4">
        <v>22066</v>
      </c>
      <c r="E23" s="4">
        <v>2641</v>
      </c>
      <c r="F23" s="4">
        <v>615</v>
      </c>
      <c r="G23" s="4">
        <v>204</v>
      </c>
      <c r="H23" s="4">
        <v>819</v>
      </c>
      <c r="I23" s="4">
        <v>91</v>
      </c>
      <c r="J23" s="4">
        <v>17</v>
      </c>
      <c r="K23" s="4">
        <v>108</v>
      </c>
      <c r="L23" s="4">
        <v>0</v>
      </c>
      <c r="M23" s="4">
        <v>0</v>
      </c>
      <c r="N23" s="4">
        <v>0</v>
      </c>
      <c r="O23" s="4">
        <v>0</v>
      </c>
      <c r="P23" s="4">
        <v>0</v>
      </c>
      <c r="Q23" s="4">
        <v>0</v>
      </c>
      <c r="R23" s="4">
        <v>0.10732745515354211</v>
      </c>
      <c r="S23" s="4">
        <v>1.3494318181818182E-2</v>
      </c>
      <c r="T23" s="4">
        <v>4.1466509562222427E-2</v>
      </c>
      <c r="U23" s="18">
        <f t="shared" si="0"/>
        <v>706</v>
      </c>
    </row>
    <row r="24" spans="1:21">
      <c r="A24" s="4" t="s">
        <v>644</v>
      </c>
      <c r="B24" s="4">
        <v>5510</v>
      </c>
      <c r="C24" s="4">
        <v>13115</v>
      </c>
      <c r="D24" s="4">
        <v>18625</v>
      </c>
      <c r="E24" s="4">
        <v>1966</v>
      </c>
      <c r="F24" s="4">
        <v>490</v>
      </c>
      <c r="G24" s="4">
        <v>220</v>
      </c>
      <c r="H24" s="4">
        <v>710</v>
      </c>
      <c r="I24" s="4">
        <v>53</v>
      </c>
      <c r="J24" s="4">
        <v>44</v>
      </c>
      <c r="K24" s="4">
        <v>97</v>
      </c>
      <c r="L24" s="4">
        <v>0</v>
      </c>
      <c r="M24" s="4">
        <v>0</v>
      </c>
      <c r="N24" s="4">
        <v>0</v>
      </c>
      <c r="O24" s="4">
        <v>3</v>
      </c>
      <c r="P24" s="4">
        <v>1</v>
      </c>
      <c r="Q24" s="4">
        <v>4</v>
      </c>
      <c r="R24" s="4">
        <v>9.9092558983666063E-2</v>
      </c>
      <c r="S24" s="4">
        <v>1.7079679756004575E-2</v>
      </c>
      <c r="T24" s="4">
        <v>4.1342281879194628E-2</v>
      </c>
      <c r="U24" s="18">
        <f t="shared" si="0"/>
        <v>546</v>
      </c>
    </row>
    <row r="25" spans="1:21">
      <c r="A25" s="4" t="s">
        <v>645</v>
      </c>
      <c r="B25" s="4">
        <v>3155</v>
      </c>
      <c r="C25" s="4">
        <v>14870</v>
      </c>
      <c r="D25" s="4">
        <v>18025</v>
      </c>
      <c r="E25" s="4">
        <v>1291</v>
      </c>
      <c r="F25" s="4">
        <v>383</v>
      </c>
      <c r="G25" s="4">
        <v>148</v>
      </c>
      <c r="H25" s="4">
        <v>531</v>
      </c>
      <c r="I25" s="4">
        <v>29</v>
      </c>
      <c r="J25" s="4">
        <v>15</v>
      </c>
      <c r="K25" s="4">
        <v>44</v>
      </c>
      <c r="L25" s="4">
        <v>1</v>
      </c>
      <c r="M25" s="4">
        <v>1</v>
      </c>
      <c r="N25" s="4">
        <v>2</v>
      </c>
      <c r="O25" s="4">
        <v>0</v>
      </c>
      <c r="P25" s="4">
        <v>0</v>
      </c>
      <c r="Q25" s="4">
        <v>0</v>
      </c>
      <c r="R25" s="4">
        <v>0.13090332805071314</v>
      </c>
      <c r="S25" s="4">
        <v>1.0289172831203766E-2</v>
      </c>
      <c r="T25" s="4">
        <v>3.1400832177531209E-2</v>
      </c>
      <c r="U25" s="18">
        <f t="shared" si="0"/>
        <v>413</v>
      </c>
    </row>
    <row r="26" spans="1:21">
      <c r="A26" s="4" t="s">
        <v>646</v>
      </c>
      <c r="B26" s="4">
        <v>2907</v>
      </c>
      <c r="C26" s="4">
        <v>17709</v>
      </c>
      <c r="D26" s="4">
        <v>20616</v>
      </c>
      <c r="E26" s="4">
        <v>1269</v>
      </c>
      <c r="F26" s="4">
        <v>242</v>
      </c>
      <c r="G26" s="4">
        <v>186</v>
      </c>
      <c r="H26" s="4">
        <v>428</v>
      </c>
      <c r="I26" s="4">
        <v>21</v>
      </c>
      <c r="J26" s="4">
        <v>14</v>
      </c>
      <c r="K26" s="4">
        <v>35</v>
      </c>
      <c r="L26" s="4">
        <v>0</v>
      </c>
      <c r="M26" s="4">
        <v>0</v>
      </c>
      <c r="N26" s="4">
        <v>0</v>
      </c>
      <c r="O26" s="4">
        <v>0</v>
      </c>
      <c r="P26" s="4">
        <v>2</v>
      </c>
      <c r="Q26" s="4">
        <v>2</v>
      </c>
      <c r="R26" s="4">
        <v>9.0471276229790162E-2</v>
      </c>
      <c r="S26" s="4">
        <v>1.0729007849116269E-2</v>
      </c>
      <c r="T26" s="4">
        <v>2.1973224679860303E-2</v>
      </c>
      <c r="U26" s="18">
        <f t="shared" si="0"/>
        <v>263</v>
      </c>
    </row>
    <row r="27" spans="1:21">
      <c r="A27" s="4" t="s">
        <v>647</v>
      </c>
      <c r="B27" s="4">
        <v>6648</v>
      </c>
      <c r="C27" s="4">
        <v>22679</v>
      </c>
      <c r="D27" s="4">
        <v>29327</v>
      </c>
      <c r="E27" s="4">
        <v>2961</v>
      </c>
      <c r="F27" s="4">
        <v>1567</v>
      </c>
      <c r="G27" s="4">
        <v>262</v>
      </c>
      <c r="H27" s="4">
        <v>1829</v>
      </c>
      <c r="I27" s="4">
        <v>56</v>
      </c>
      <c r="J27" s="4">
        <v>28</v>
      </c>
      <c r="K27" s="4">
        <v>84</v>
      </c>
      <c r="L27" s="4">
        <v>1</v>
      </c>
      <c r="M27" s="4">
        <v>1</v>
      </c>
      <c r="N27" s="4">
        <v>2</v>
      </c>
      <c r="O27" s="4">
        <v>0</v>
      </c>
      <c r="P27" s="4">
        <v>1</v>
      </c>
      <c r="Q27" s="4">
        <v>1</v>
      </c>
      <c r="R27" s="4">
        <v>0.24428399518652227</v>
      </c>
      <c r="S27" s="4">
        <v>1.1949380484148332E-2</v>
      </c>
      <c r="T27" s="4">
        <v>6.461622395744536E-2</v>
      </c>
      <c r="U27" s="18">
        <f t="shared" si="0"/>
        <v>1624</v>
      </c>
    </row>
    <row r="28" spans="1:21">
      <c r="A28" s="4" t="s">
        <v>648</v>
      </c>
      <c r="B28" s="90">
        <v>7327</v>
      </c>
      <c r="C28" s="4">
        <v>21321</v>
      </c>
      <c r="D28" s="4">
        <v>28648</v>
      </c>
      <c r="E28" s="4">
        <v>2712</v>
      </c>
      <c r="F28" s="4">
        <v>1413</v>
      </c>
      <c r="G28" s="4">
        <v>266</v>
      </c>
      <c r="H28" s="4">
        <v>1679</v>
      </c>
      <c r="I28" s="4">
        <v>77</v>
      </c>
      <c r="J28" s="4">
        <v>22</v>
      </c>
      <c r="K28" s="4">
        <v>99</v>
      </c>
      <c r="L28" s="4">
        <v>2</v>
      </c>
      <c r="M28" s="4">
        <v>0</v>
      </c>
      <c r="N28" s="4">
        <v>2</v>
      </c>
      <c r="O28" s="4">
        <v>0</v>
      </c>
      <c r="P28" s="4">
        <v>0</v>
      </c>
      <c r="Q28" s="4">
        <v>0</v>
      </c>
      <c r="R28" s="4">
        <v>0.2036304080797052</v>
      </c>
      <c r="S28" s="4">
        <v>1.2757375357628629E-2</v>
      </c>
      <c r="T28" s="4">
        <v>6.1574979056129575E-2</v>
      </c>
      <c r="U28" s="18">
        <f t="shared" si="0"/>
        <v>1492</v>
      </c>
    </row>
    <row r="29" spans="1:21">
      <c r="A29" s="4" t="s">
        <v>649</v>
      </c>
      <c r="B29" s="4">
        <v>6232</v>
      </c>
      <c r="C29" s="4">
        <v>15330</v>
      </c>
      <c r="D29" s="4">
        <v>21562</v>
      </c>
      <c r="E29" s="4">
        <v>2531</v>
      </c>
      <c r="F29" s="4">
        <v>922</v>
      </c>
      <c r="G29" s="4">
        <v>244</v>
      </c>
      <c r="H29" s="4">
        <v>1166</v>
      </c>
      <c r="I29" s="4">
        <v>80</v>
      </c>
      <c r="J29" s="4">
        <v>16</v>
      </c>
      <c r="K29" s="4">
        <v>96</v>
      </c>
      <c r="L29" s="4">
        <v>1</v>
      </c>
      <c r="M29" s="4">
        <v>1</v>
      </c>
      <c r="N29" s="4">
        <v>2</v>
      </c>
      <c r="O29" s="4">
        <v>0</v>
      </c>
      <c r="P29" s="4">
        <v>0</v>
      </c>
      <c r="Q29" s="4">
        <v>0</v>
      </c>
      <c r="R29" s="4">
        <v>0.16094351732991014</v>
      </c>
      <c r="S29" s="4">
        <v>1.643835616438356E-2</v>
      </c>
      <c r="T29" s="4">
        <v>5.8204248214451353E-2</v>
      </c>
      <c r="U29" s="18">
        <f t="shared" si="0"/>
        <v>1003</v>
      </c>
    </row>
    <row r="30" spans="1:21">
      <c r="A30" s="4" t="s">
        <v>650</v>
      </c>
      <c r="B30" s="4">
        <v>7264</v>
      </c>
      <c r="C30" s="4">
        <v>12827</v>
      </c>
      <c r="D30" s="4">
        <v>20091</v>
      </c>
      <c r="E30" s="4">
        <v>2591</v>
      </c>
      <c r="F30" s="4">
        <v>793</v>
      </c>
      <c r="G30" s="4">
        <v>229</v>
      </c>
      <c r="H30" s="4">
        <v>1022</v>
      </c>
      <c r="I30" s="4">
        <v>80</v>
      </c>
      <c r="J30" s="4">
        <v>22</v>
      </c>
      <c r="K30" s="4">
        <v>102</v>
      </c>
      <c r="L30" s="4">
        <v>0</v>
      </c>
      <c r="M30" s="4">
        <v>0</v>
      </c>
      <c r="N30" s="4">
        <v>0</v>
      </c>
      <c r="O30" s="4">
        <v>0</v>
      </c>
      <c r="P30" s="4">
        <v>0</v>
      </c>
      <c r="Q30" s="4">
        <v>0</v>
      </c>
      <c r="R30" s="4">
        <v>0.12018171806167401</v>
      </c>
      <c r="S30" s="4">
        <v>1.8476650814687769E-2</v>
      </c>
      <c r="T30" s="4">
        <v>5.5248618784530384E-2</v>
      </c>
      <c r="U30" s="18">
        <f t="shared" si="0"/>
        <v>873</v>
      </c>
    </row>
    <row r="31" spans="1:21">
      <c r="A31" s="4" t="s">
        <v>651</v>
      </c>
      <c r="B31" s="4">
        <v>7547</v>
      </c>
      <c r="C31" s="4">
        <v>9998</v>
      </c>
      <c r="D31" s="4">
        <v>17545</v>
      </c>
      <c r="E31" s="4">
        <v>3363</v>
      </c>
      <c r="F31" s="4">
        <v>1019</v>
      </c>
      <c r="G31" s="4">
        <v>194</v>
      </c>
      <c r="H31" s="4">
        <v>1213</v>
      </c>
      <c r="I31" s="4">
        <v>55</v>
      </c>
      <c r="J31" s="4">
        <v>23</v>
      </c>
      <c r="K31" s="4">
        <v>78</v>
      </c>
      <c r="L31" s="4">
        <v>1</v>
      </c>
      <c r="M31" s="4">
        <v>0</v>
      </c>
      <c r="N31" s="4">
        <v>1</v>
      </c>
      <c r="O31" s="4">
        <v>0</v>
      </c>
      <c r="P31" s="4">
        <v>0</v>
      </c>
      <c r="Q31" s="4">
        <v>0</v>
      </c>
      <c r="R31" s="4">
        <v>0.14244070491586061</v>
      </c>
      <c r="S31" s="4">
        <v>1.9703940788157633E-2</v>
      </c>
      <c r="T31" s="4">
        <v>7.2499287546309493E-2</v>
      </c>
      <c r="U31" s="18">
        <f t="shared" si="0"/>
        <v>1075</v>
      </c>
    </row>
    <row r="32" spans="1:21">
      <c r="A32" s="4" t="s">
        <v>652</v>
      </c>
      <c r="B32" s="4">
        <v>5977</v>
      </c>
      <c r="C32" s="4">
        <v>12444</v>
      </c>
      <c r="D32" s="4">
        <v>18421</v>
      </c>
      <c r="E32" s="4">
        <v>1924</v>
      </c>
      <c r="F32" s="4">
        <v>799</v>
      </c>
      <c r="G32" s="4">
        <v>190</v>
      </c>
      <c r="H32" s="4">
        <v>989</v>
      </c>
      <c r="I32" s="4">
        <v>69</v>
      </c>
      <c r="J32" s="4">
        <v>21</v>
      </c>
      <c r="K32" s="4">
        <v>90</v>
      </c>
      <c r="L32" s="4">
        <v>0</v>
      </c>
      <c r="M32" s="4">
        <v>0</v>
      </c>
      <c r="N32" s="4">
        <v>0</v>
      </c>
      <c r="O32" s="4">
        <v>0</v>
      </c>
      <c r="P32" s="4">
        <v>0</v>
      </c>
      <c r="Q32" s="4">
        <v>0</v>
      </c>
      <c r="R32" s="4">
        <v>0.14522335619876192</v>
      </c>
      <c r="S32" s="4">
        <v>1.5429122468659595E-2</v>
      </c>
      <c r="T32" s="4">
        <v>5.7543021551490145E-2</v>
      </c>
      <c r="U32" s="18">
        <f t="shared" si="0"/>
        <v>868</v>
      </c>
    </row>
    <row r="33" spans="1:21">
      <c r="A33" s="4" t="s">
        <v>152</v>
      </c>
      <c r="B33" s="4">
        <v>3471</v>
      </c>
      <c r="C33" s="4">
        <v>14382</v>
      </c>
      <c r="D33" s="4">
        <v>17853</v>
      </c>
      <c r="E33" s="4">
        <v>1534</v>
      </c>
      <c r="F33" s="4">
        <v>481</v>
      </c>
      <c r="G33" s="4">
        <v>197</v>
      </c>
      <c r="H33" s="4">
        <v>678</v>
      </c>
      <c r="I33" s="4">
        <v>31</v>
      </c>
      <c r="J33" s="4">
        <v>19</v>
      </c>
      <c r="K33" s="4">
        <v>50</v>
      </c>
      <c r="L33" s="4">
        <v>0</v>
      </c>
      <c r="M33" s="4">
        <v>0</v>
      </c>
      <c r="N33" s="4">
        <v>0</v>
      </c>
      <c r="O33" s="4">
        <v>0</v>
      </c>
      <c r="P33" s="4">
        <v>0</v>
      </c>
      <c r="Q33" s="4">
        <v>0</v>
      </c>
      <c r="R33" s="4">
        <v>0.14750792278882166</v>
      </c>
      <c r="S33" s="4">
        <v>1.3906271728549576E-2</v>
      </c>
      <c r="T33" s="4">
        <v>3.9881252450568533E-2</v>
      </c>
      <c r="U33" s="18">
        <f t="shared" si="0"/>
        <v>512</v>
      </c>
    </row>
    <row r="34" spans="1:21">
      <c r="U34" s="18" t="str">
        <f t="shared" si="0"/>
        <v/>
      </c>
    </row>
    <row r="35" spans="1:21">
      <c r="U35" s="18" t="str">
        <f t="shared" si="0"/>
        <v/>
      </c>
    </row>
    <row r="36" spans="1:21">
      <c r="U36" s="18" t="str">
        <f t="shared" si="0"/>
        <v/>
      </c>
    </row>
    <row r="37" spans="1:21">
      <c r="U37" s="18" t="str">
        <f t="shared" si="0"/>
        <v/>
      </c>
    </row>
    <row r="38" spans="1:21">
      <c r="U38" s="18" t="str">
        <f t="shared" si="0"/>
        <v/>
      </c>
    </row>
    <row r="39" spans="1:21">
      <c r="U39" s="18" t="str">
        <f t="shared" si="0"/>
        <v/>
      </c>
    </row>
    <row r="40" spans="1:21">
      <c r="U40" s="18" t="str">
        <f t="shared" si="0"/>
        <v/>
      </c>
    </row>
    <row r="41" spans="1:21">
      <c r="U41" s="18" t="str">
        <f t="shared" si="0"/>
        <v/>
      </c>
    </row>
    <row r="42" spans="1:21">
      <c r="U42" s="18" t="str">
        <f t="shared" si="0"/>
        <v/>
      </c>
    </row>
    <row r="43" spans="1:21">
      <c r="U43" s="18" t="str">
        <f t="shared" si="0"/>
        <v/>
      </c>
    </row>
    <row r="44" spans="1:21">
      <c r="U44" s="18" t="str">
        <f t="shared" si="0"/>
        <v/>
      </c>
    </row>
    <row r="45" spans="1:21">
      <c r="U45" s="18" t="str">
        <f t="shared" si="0"/>
        <v/>
      </c>
    </row>
    <row r="46" spans="1:21">
      <c r="U46" s="18" t="str">
        <f t="shared" si="0"/>
        <v/>
      </c>
    </row>
    <row r="47" spans="1:21">
      <c r="U47" s="18" t="str">
        <f t="shared" si="0"/>
        <v/>
      </c>
    </row>
    <row r="48" spans="1:21">
      <c r="U48" s="18" t="str">
        <f t="shared" si="0"/>
        <v/>
      </c>
    </row>
    <row r="49" spans="21:21">
      <c r="U49" s="18" t="str">
        <f t="shared" si="0"/>
        <v/>
      </c>
    </row>
    <row r="50" spans="21:21">
      <c r="U50" s="18" t="str">
        <f t="shared" si="0"/>
        <v/>
      </c>
    </row>
    <row r="51" spans="21:21">
      <c r="U51" s="18" t="str">
        <f t="shared" si="0"/>
        <v/>
      </c>
    </row>
    <row r="52" spans="21:21">
      <c r="U52" s="18" t="str">
        <f t="shared" si="0"/>
        <v/>
      </c>
    </row>
    <row r="53" spans="21:21">
      <c r="U53" s="18" t="str">
        <f t="shared" si="0"/>
        <v/>
      </c>
    </row>
    <row r="54" spans="21:21">
      <c r="U54" s="18" t="str">
        <f t="shared" si="0"/>
        <v/>
      </c>
    </row>
    <row r="55" spans="21:21">
      <c r="U55" s="18" t="str">
        <f t="shared" si="0"/>
        <v/>
      </c>
    </row>
    <row r="56" spans="21:21">
      <c r="U56" s="18" t="str">
        <f t="shared" si="0"/>
        <v/>
      </c>
    </row>
    <row r="57" spans="21:21">
      <c r="U57" s="18" t="str">
        <f t="shared" si="0"/>
        <v/>
      </c>
    </row>
    <row r="58" spans="21:21">
      <c r="U58" s="18" t="str">
        <f t="shared" si="0"/>
        <v/>
      </c>
    </row>
    <row r="59" spans="21:21">
      <c r="U59" s="18" t="str">
        <f t="shared" si="0"/>
        <v/>
      </c>
    </row>
    <row r="60" spans="21:21">
      <c r="U60" s="18" t="str">
        <f t="shared" si="0"/>
        <v/>
      </c>
    </row>
    <row r="61" spans="21:21">
      <c r="U61" s="18" t="str">
        <f t="shared" si="0"/>
        <v/>
      </c>
    </row>
    <row r="62" spans="21:21">
      <c r="U62" s="18" t="str">
        <f t="shared" si="0"/>
        <v/>
      </c>
    </row>
    <row r="63" spans="21:21">
      <c r="U63" s="18" t="str">
        <f t="shared" si="0"/>
        <v/>
      </c>
    </row>
    <row r="64" spans="21:21">
      <c r="U64" s="18" t="str">
        <f t="shared" si="0"/>
        <v/>
      </c>
    </row>
    <row r="65" spans="21:21">
      <c r="U65" s="18" t="str">
        <f t="shared" si="0"/>
        <v/>
      </c>
    </row>
    <row r="66" spans="21:21">
      <c r="U66" s="18" t="str">
        <f t="shared" si="0"/>
        <v/>
      </c>
    </row>
    <row r="67" spans="21:21">
      <c r="U67" s="18" t="str">
        <f t="shared" si="0"/>
        <v/>
      </c>
    </row>
    <row r="68" spans="21:21">
      <c r="U68" s="18" t="str">
        <f t="shared" ref="U68:U71" si="1">IF(F68="","",SUM(F68,I68,L68,O68))</f>
        <v/>
      </c>
    </row>
    <row r="69" spans="21:21">
      <c r="U69" s="18" t="str">
        <f t="shared" si="1"/>
        <v/>
      </c>
    </row>
    <row r="70" spans="21:21">
      <c r="U70" s="18" t="str">
        <f t="shared" si="1"/>
        <v/>
      </c>
    </row>
    <row r="71" spans="21:21">
      <c r="U71" s="18" t="str">
        <f t="shared" si="1"/>
        <v/>
      </c>
    </row>
  </sheetData>
  <phoneticPr fontId="2"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35F80-C7F1-46F2-B0CC-D3D603278165}">
  <sheetPr>
    <tabColor theme="9" tint="0.79998168889431442"/>
  </sheetPr>
  <dimension ref="A1:J50"/>
  <sheetViews>
    <sheetView workbookViewId="0">
      <selection activeCell="E10" sqref="E10"/>
    </sheetView>
  </sheetViews>
  <sheetFormatPr defaultRowHeight="16.5"/>
  <cols>
    <col min="1" max="3" width="12.625" style="95" customWidth="1"/>
    <col min="8" max="10" width="16.875" customWidth="1"/>
  </cols>
  <sheetData>
    <row r="1" spans="1:10" ht="17.25" thickBot="1">
      <c r="H1" s="171" t="s">
        <v>4</v>
      </c>
      <c r="I1" s="172" t="s">
        <v>163</v>
      </c>
      <c r="J1" s="173" t="s">
        <v>164</v>
      </c>
    </row>
    <row r="2" spans="1:10" ht="17.25" thickBot="1">
      <c r="A2" s="171" t="s">
        <v>4</v>
      </c>
      <c r="B2" s="172" t="s">
        <v>163</v>
      </c>
      <c r="C2" s="173" t="s">
        <v>164</v>
      </c>
      <c r="H2" s="19">
        <f>followers!H1</f>
        <v>45352</v>
      </c>
      <c r="I2" s="180">
        <f>SUM('contents(daily)'!B:B)</f>
        <v>170500</v>
      </c>
      <c r="J2" s="181">
        <f>SUM('contents(daily)'!U:U)</f>
        <v>20307</v>
      </c>
    </row>
    <row r="3" spans="1:10">
      <c r="A3" s="163">
        <v>44835</v>
      </c>
      <c r="B3" s="174">
        <v>71378</v>
      </c>
      <c r="C3" s="175">
        <v>4419</v>
      </c>
    </row>
    <row r="4" spans="1:10">
      <c r="A4" s="163">
        <v>44866</v>
      </c>
      <c r="B4" s="174">
        <v>79940</v>
      </c>
      <c r="C4" s="175">
        <v>2632</v>
      </c>
    </row>
    <row r="5" spans="1:10">
      <c r="A5" s="163">
        <v>44896</v>
      </c>
      <c r="B5" s="174">
        <v>82794</v>
      </c>
      <c r="C5" s="175">
        <v>7342</v>
      </c>
    </row>
    <row r="6" spans="1:10">
      <c r="A6" s="163">
        <v>44927</v>
      </c>
      <c r="B6" s="174">
        <v>105299</v>
      </c>
      <c r="C6" s="175">
        <v>6498</v>
      </c>
    </row>
    <row r="7" spans="1:10">
      <c r="A7" s="163">
        <v>44958</v>
      </c>
      <c r="B7" s="174">
        <v>137799</v>
      </c>
      <c r="C7" s="175">
        <v>9888</v>
      </c>
    </row>
    <row r="8" spans="1:10">
      <c r="A8" s="163">
        <v>44986</v>
      </c>
      <c r="B8" s="174">
        <v>117990</v>
      </c>
      <c r="C8" s="175">
        <v>5736</v>
      </c>
    </row>
    <row r="9" spans="1:10">
      <c r="A9" s="163">
        <v>45017</v>
      </c>
      <c r="B9" s="174">
        <v>120798</v>
      </c>
      <c r="C9" s="175">
        <v>10610</v>
      </c>
    </row>
    <row r="10" spans="1:10">
      <c r="A10" s="163">
        <v>45047</v>
      </c>
      <c r="B10" s="174">
        <v>128565</v>
      </c>
      <c r="C10" s="175">
        <v>12673</v>
      </c>
    </row>
    <row r="11" spans="1:10">
      <c r="A11" s="163">
        <v>45078</v>
      </c>
      <c r="B11" s="174">
        <v>145916</v>
      </c>
      <c r="C11" s="175">
        <v>12283</v>
      </c>
    </row>
    <row r="12" spans="1:10">
      <c r="A12" s="163">
        <v>45108</v>
      </c>
      <c r="B12" s="174">
        <v>111215</v>
      </c>
      <c r="C12" s="175">
        <v>6177</v>
      </c>
    </row>
    <row r="13" spans="1:10">
      <c r="A13" s="163">
        <v>45139</v>
      </c>
      <c r="B13" s="174">
        <v>114968</v>
      </c>
      <c r="C13" s="175">
        <v>9620</v>
      </c>
    </row>
    <row r="14" spans="1:10">
      <c r="A14" s="163">
        <v>45170</v>
      </c>
      <c r="B14" s="174">
        <v>132612</v>
      </c>
      <c r="C14" s="175">
        <v>12295</v>
      </c>
    </row>
    <row r="15" spans="1:10">
      <c r="A15" s="163">
        <v>45200</v>
      </c>
      <c r="B15" s="174">
        <v>138632</v>
      </c>
      <c r="C15" s="175">
        <v>16261</v>
      </c>
    </row>
    <row r="16" spans="1:10">
      <c r="A16" s="163">
        <v>45231</v>
      </c>
      <c r="B16" s="174">
        <v>160929</v>
      </c>
      <c r="C16" s="175">
        <v>20617</v>
      </c>
    </row>
    <row r="17" spans="1:10">
      <c r="A17" s="163">
        <v>45261</v>
      </c>
      <c r="B17" s="174">
        <v>96535</v>
      </c>
      <c r="C17" s="175">
        <v>5071</v>
      </c>
    </row>
    <row r="18" spans="1:10">
      <c r="A18" s="163">
        <v>45292</v>
      </c>
      <c r="B18" s="174">
        <v>120721</v>
      </c>
      <c r="C18" s="175">
        <v>7086</v>
      </c>
    </row>
    <row r="19" spans="1:10">
      <c r="A19" s="163">
        <v>45323</v>
      </c>
      <c r="B19" s="174">
        <v>139143</v>
      </c>
      <c r="C19" s="175">
        <v>9922</v>
      </c>
    </row>
    <row r="20" spans="1:10">
      <c r="A20" s="163">
        <v>45352</v>
      </c>
      <c r="B20" s="174">
        <v>170500</v>
      </c>
      <c r="C20" s="175">
        <v>20307</v>
      </c>
    </row>
    <row r="21" spans="1:10">
      <c r="A21" s="163"/>
      <c r="B21" s="174"/>
      <c r="C21" s="175"/>
    </row>
    <row r="22" spans="1:10">
      <c r="A22" s="163"/>
      <c r="B22" s="174"/>
      <c r="C22" s="175"/>
    </row>
    <row r="23" spans="1:10">
      <c r="A23" s="163"/>
      <c r="B23" s="174"/>
      <c r="C23" s="175"/>
    </row>
    <row r="24" spans="1:10" ht="17.25" thickBot="1">
      <c r="A24" s="163"/>
      <c r="B24" s="174"/>
      <c r="C24" s="175"/>
    </row>
    <row r="25" spans="1:10">
      <c r="A25" s="163"/>
      <c r="B25" s="174"/>
      <c r="C25" s="175"/>
      <c r="H25" s="171" t="s">
        <v>4</v>
      </c>
      <c r="I25" s="172" t="s">
        <v>163</v>
      </c>
      <c r="J25" s="173" t="s">
        <v>164</v>
      </c>
    </row>
    <row r="26" spans="1:10">
      <c r="A26" s="163"/>
      <c r="B26" s="174"/>
      <c r="C26" s="175"/>
      <c r="H26" s="165" cm="1">
        <f t="array" ref="H26">INDEX(A:A,COUNTA(A:A)-13)</f>
        <v>44927</v>
      </c>
      <c r="I26" s="178" cm="1">
        <f t="array" ref="I26">INDEX(B:B,COUNTA(B:B)-13)</f>
        <v>105299</v>
      </c>
      <c r="J26" s="179" cm="1">
        <f t="array" ref="J26">INDEX(C:C,COUNTA(C:C)-13)</f>
        <v>6498</v>
      </c>
    </row>
    <row r="27" spans="1:10">
      <c r="A27" s="163"/>
      <c r="B27" s="174"/>
      <c r="C27" s="175"/>
      <c r="H27" s="165" cm="1">
        <f t="array" ref="H27">INDEX(A:A,COUNTA(A:A)-12)</f>
        <v>44958</v>
      </c>
      <c r="I27" s="178" cm="1">
        <f t="array" ref="I27">INDEX(B:B,COUNTA(B:B)-12)</f>
        <v>137799</v>
      </c>
      <c r="J27" s="179" cm="1">
        <f t="array" ref="J27">INDEX(C:C,COUNTA(C:C)-12)</f>
        <v>9888</v>
      </c>
    </row>
    <row r="28" spans="1:10">
      <c r="A28" s="163"/>
      <c r="B28" s="174"/>
      <c r="C28" s="175"/>
      <c r="H28" s="165" cm="1">
        <f t="array" ref="H28">INDEX(A:A,COUNTA(A:A)-11)</f>
        <v>44986</v>
      </c>
      <c r="I28" s="178" cm="1">
        <f t="array" ref="I28">INDEX(B:B,COUNTA(B:B)-11)</f>
        <v>117990</v>
      </c>
      <c r="J28" s="179" cm="1">
        <f t="array" ref="J28">INDEX(C:C,COUNTA(C:C)-11)</f>
        <v>5736</v>
      </c>
    </row>
    <row r="29" spans="1:10">
      <c r="A29" s="163"/>
      <c r="B29" s="174"/>
      <c r="C29" s="175"/>
      <c r="H29" s="165" cm="1">
        <f t="array" ref="H29">INDEX(A:A,COUNTA(A:A)-10)</f>
        <v>45017</v>
      </c>
      <c r="I29" s="178" cm="1">
        <f t="array" ref="I29">INDEX(B:B,COUNTA(B:B)-10)</f>
        <v>120798</v>
      </c>
      <c r="J29" s="179" cm="1">
        <f t="array" ref="J29">INDEX(C:C,COUNTA(C:C)-10)</f>
        <v>10610</v>
      </c>
    </row>
    <row r="30" spans="1:10">
      <c r="A30" s="163"/>
      <c r="B30" s="174"/>
      <c r="C30" s="175"/>
      <c r="H30" s="165" cm="1">
        <f t="array" ref="H30">INDEX(A:A,COUNTA(A:A)-9)</f>
        <v>45047</v>
      </c>
      <c r="I30" s="178" cm="1">
        <f t="array" ref="I30">INDEX(B:B,COUNTA(B:B)-9)</f>
        <v>128565</v>
      </c>
      <c r="J30" s="179" cm="1">
        <f t="array" ref="J30">INDEX(C:C,COUNTA(C:C)-9)</f>
        <v>12673</v>
      </c>
    </row>
    <row r="31" spans="1:10">
      <c r="A31" s="163"/>
      <c r="B31" s="174"/>
      <c r="C31" s="175"/>
      <c r="H31" s="165" cm="1">
        <f t="array" ref="H31">INDEX(A:A,COUNTA(A:A)-8)</f>
        <v>45078</v>
      </c>
      <c r="I31" s="178" cm="1">
        <f t="array" ref="I31">INDEX(B:B,COUNTA(B:B)-8)</f>
        <v>145916</v>
      </c>
      <c r="J31" s="179" cm="1">
        <f t="array" ref="J31">INDEX(C:C,COUNTA(C:C)-8)</f>
        <v>12283</v>
      </c>
    </row>
    <row r="32" spans="1:10">
      <c r="A32" s="163"/>
      <c r="B32" s="174"/>
      <c r="C32" s="175"/>
      <c r="H32" s="165" cm="1">
        <f t="array" ref="H32">INDEX(A:A,COUNTA(A:A)-7)</f>
        <v>45108</v>
      </c>
      <c r="I32" s="178" cm="1">
        <f t="array" ref="I32">INDEX(B:B,COUNTA(B:B)-7)</f>
        <v>111215</v>
      </c>
      <c r="J32" s="179" cm="1">
        <f t="array" ref="J32">INDEX(C:C,COUNTA(C:C)-7)</f>
        <v>6177</v>
      </c>
    </row>
    <row r="33" spans="1:10">
      <c r="A33" s="163"/>
      <c r="B33" s="174"/>
      <c r="C33" s="175"/>
      <c r="H33" s="165" cm="1">
        <f t="array" ref="H33">INDEX(A:A,COUNTA(A:A)-6)</f>
        <v>45139</v>
      </c>
      <c r="I33" s="178" cm="1">
        <f t="array" ref="I33">INDEX(B:B,COUNTA(B:B)-6)</f>
        <v>114968</v>
      </c>
      <c r="J33" s="179" cm="1">
        <f t="array" ref="J33">INDEX(C:C,COUNTA(C:C)-6)</f>
        <v>9620</v>
      </c>
    </row>
    <row r="34" spans="1:10">
      <c r="A34" s="163"/>
      <c r="B34" s="174"/>
      <c r="C34" s="175"/>
      <c r="H34" s="165" cm="1">
        <f t="array" ref="H34">INDEX(A:A,COUNTA(A:A)-5)</f>
        <v>45170</v>
      </c>
      <c r="I34" s="178" cm="1">
        <f t="array" ref="I34">INDEX(B:B,COUNTA(B:B)-5)</f>
        <v>132612</v>
      </c>
      <c r="J34" s="179" cm="1">
        <f t="array" ref="J34">INDEX(C:C,COUNTA(C:C)-5)</f>
        <v>12295</v>
      </c>
    </row>
    <row r="35" spans="1:10">
      <c r="A35" s="163"/>
      <c r="B35" s="174"/>
      <c r="C35" s="175"/>
      <c r="H35" s="165" cm="1">
        <f t="array" ref="H35">INDEX(A:A,COUNTA(A:A)-4)</f>
        <v>45200</v>
      </c>
      <c r="I35" s="178" cm="1">
        <f t="array" ref="I35">INDEX(B:B,COUNTA(B:B)-4)</f>
        <v>138632</v>
      </c>
      <c r="J35" s="179" cm="1">
        <f t="array" ref="J35">INDEX(C:C,COUNTA(C:C)-4)</f>
        <v>16261</v>
      </c>
    </row>
    <row r="36" spans="1:10">
      <c r="A36" s="163"/>
      <c r="B36" s="174"/>
      <c r="C36" s="175"/>
      <c r="H36" s="165" cm="1">
        <f t="array" ref="H36">INDEX(A:A,COUNTA(A:A)-3)</f>
        <v>45231</v>
      </c>
      <c r="I36" s="178" cm="1">
        <f t="array" ref="I36">INDEX(B:B,COUNTA(B:B)-3)</f>
        <v>160929</v>
      </c>
      <c r="J36" s="179" cm="1">
        <f t="array" ref="J36">INDEX(C:C,COUNTA(C:C)-3)</f>
        <v>20617</v>
      </c>
    </row>
    <row r="37" spans="1:10">
      <c r="A37" s="163"/>
      <c r="B37" s="174"/>
      <c r="C37" s="175"/>
      <c r="H37" s="165" cm="1">
        <f t="array" ref="H37">INDEX(A:A,COUNTA(A:A)-2)</f>
        <v>45261</v>
      </c>
      <c r="I37" s="178" cm="1">
        <f t="array" ref="I37">INDEX(B:B,COUNTA(B:B)-2)</f>
        <v>96535</v>
      </c>
      <c r="J37" s="179" cm="1">
        <f t="array" ref="J37">INDEX(C:C,COUNTA(C:C)-2)</f>
        <v>5071</v>
      </c>
    </row>
    <row r="38" spans="1:10">
      <c r="A38" s="163"/>
      <c r="B38" s="174"/>
      <c r="C38" s="175"/>
      <c r="H38" s="165" cm="1">
        <f t="array" ref="H38">INDEX(A:A,COUNTA(A:A)-1)</f>
        <v>45292</v>
      </c>
      <c r="I38" s="178" cm="1">
        <f t="array" ref="I38">INDEX(B:B,COUNTA(B:B)-1)</f>
        <v>120721</v>
      </c>
      <c r="J38" s="179" cm="1">
        <f t="array" ref="J38">INDEX(C:C,COUNTA(C:C)-1)</f>
        <v>7086</v>
      </c>
    </row>
    <row r="39" spans="1:10">
      <c r="A39" s="163"/>
      <c r="B39" s="174"/>
      <c r="C39" s="175"/>
      <c r="H39" s="165" cm="1">
        <f t="array" ref="H39">INDEX(A:A,COUNTA(A:A))</f>
        <v>45323</v>
      </c>
      <c r="I39" s="178" cm="1">
        <f t="array" ref="I39">INDEX(B:B,COUNTA(B:B))</f>
        <v>139143</v>
      </c>
      <c r="J39" s="179" cm="1">
        <f t="array" ref="J39">INDEX(C:C,COUNTA(C:C))</f>
        <v>9922</v>
      </c>
    </row>
    <row r="40" spans="1:10" ht="17.25" thickBot="1">
      <c r="A40" s="163"/>
      <c r="B40" s="174"/>
      <c r="C40" s="175"/>
      <c r="H40" s="19" cm="1">
        <f t="array" ref="H40">INDEX(A:A,COUNTA(A:A)+1)</f>
        <v>45352</v>
      </c>
      <c r="I40" s="180" cm="1">
        <f t="array" ref="I40">INDEX(B:B,COUNTA(B:B)+1)</f>
        <v>170500</v>
      </c>
      <c r="J40" s="181" cm="1">
        <f t="array" ref="J40">INDEX(C:C,COUNTA(C:C)+1)</f>
        <v>20307</v>
      </c>
    </row>
    <row r="41" spans="1:10">
      <c r="A41" s="163"/>
      <c r="B41" s="174"/>
      <c r="C41" s="175"/>
    </row>
    <row r="42" spans="1:10">
      <c r="A42" s="163"/>
      <c r="B42" s="174"/>
      <c r="C42" s="175"/>
    </row>
    <row r="43" spans="1:10">
      <c r="A43" s="163"/>
      <c r="B43" s="174"/>
      <c r="C43" s="175"/>
    </row>
    <row r="44" spans="1:10">
      <c r="A44" s="163"/>
      <c r="B44" s="174"/>
      <c r="C44" s="175"/>
    </row>
    <row r="45" spans="1:10">
      <c r="A45" s="163"/>
      <c r="B45" s="174"/>
      <c r="C45" s="175"/>
    </row>
    <row r="46" spans="1:10">
      <c r="A46" s="163"/>
      <c r="B46" s="174"/>
      <c r="C46" s="175"/>
    </row>
    <row r="47" spans="1:10">
      <c r="A47" s="163"/>
      <c r="B47" s="174"/>
      <c r="C47" s="175"/>
    </row>
    <row r="48" spans="1:10">
      <c r="A48" s="163"/>
      <c r="B48" s="174"/>
      <c r="C48" s="175"/>
    </row>
    <row r="49" spans="1:3">
      <c r="A49" s="163"/>
      <c r="B49" s="174"/>
      <c r="C49" s="175"/>
    </row>
    <row r="50" spans="1:3" ht="17.25" thickBot="1">
      <c r="A50" s="164"/>
      <c r="B50" s="176"/>
      <c r="C50" s="177"/>
    </row>
  </sheetData>
  <phoneticPr fontId="2" type="noConversion"/>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04F78-AA7E-4546-83B8-9BF535CF88D6}">
  <sheetPr>
    <tabColor theme="9" tint="0.79998168889431442"/>
  </sheetPr>
  <dimension ref="A2:W288"/>
  <sheetViews>
    <sheetView topLeftCell="D1" workbookViewId="0">
      <selection activeCell="P38" sqref="P38"/>
    </sheetView>
  </sheetViews>
  <sheetFormatPr defaultRowHeight="16.5"/>
  <cols>
    <col min="1" max="1" width="31.625" bestFit="1" customWidth="1"/>
    <col min="2" max="2" width="10.125" bestFit="1" customWidth="1"/>
    <col min="4" max="4" width="8.375" customWidth="1"/>
    <col min="5" max="5" width="31.625" bestFit="1" customWidth="1"/>
    <col min="6" max="6" width="10.125" bestFit="1" customWidth="1"/>
    <col min="10" max="10" width="3.125" bestFit="1" customWidth="1"/>
    <col min="11" max="11" width="21.875" bestFit="1" customWidth="1"/>
    <col min="12" max="12" width="10.75" bestFit="1" customWidth="1"/>
    <col min="13" max="13" width="11.5" bestFit="1" customWidth="1"/>
    <col min="20" max="20" width="3.125" bestFit="1" customWidth="1"/>
    <col min="21" max="21" width="21.875" bestFit="1" customWidth="1"/>
    <col min="22" max="22" width="11.125" bestFit="1" customWidth="1"/>
    <col min="23" max="23" width="11.5" bestFit="1" customWidth="1"/>
  </cols>
  <sheetData>
    <row r="2" spans="1:23">
      <c r="A2" s="191"/>
      <c r="E2" s="191"/>
    </row>
    <row r="3" spans="1:23" ht="17.25" thickBot="1"/>
    <row r="4" spans="1:23">
      <c r="A4" s="183" t="s">
        <v>194</v>
      </c>
      <c r="B4" s="184" t="s">
        <v>167</v>
      </c>
      <c r="E4" s="183" t="s">
        <v>166</v>
      </c>
      <c r="F4" s="184" t="s">
        <v>167</v>
      </c>
      <c r="J4" s="192"/>
      <c r="K4" s="193" t="s">
        <v>165</v>
      </c>
      <c r="L4" s="193" t="s">
        <v>291</v>
      </c>
      <c r="M4" s="194" t="s">
        <v>292</v>
      </c>
      <c r="T4" s="192"/>
      <c r="U4" s="193" t="s">
        <v>290</v>
      </c>
      <c r="V4" s="193" t="s">
        <v>291</v>
      </c>
      <c r="W4" s="194" t="s">
        <v>292</v>
      </c>
    </row>
    <row r="5" spans="1:23">
      <c r="A5" s="185" t="s">
        <v>289</v>
      </c>
      <c r="B5" s="186">
        <v>73</v>
      </c>
      <c r="C5" s="18">
        <f>IF(B5="","",RANK(B5,B:B,0))</f>
        <v>29</v>
      </c>
      <c r="E5" s="185" t="s">
        <v>189</v>
      </c>
      <c r="F5" s="186">
        <v>262</v>
      </c>
      <c r="G5" s="18">
        <f>IF(F5="","",RANK(F5,F:F,0))</f>
        <v>11</v>
      </c>
      <c r="J5" s="141">
        <v>1</v>
      </c>
      <c r="K5" s="158" t="str">
        <f>INDEX($E:$E,MATCH($J5,$G:$G,0))</f>
        <v>Engineering</v>
      </c>
      <c r="L5" s="158">
        <f>INDEX($F:$F,MATCH($J5,$G:$G,0))</f>
        <v>1889</v>
      </c>
      <c r="M5" s="195">
        <f t="shared" ref="M5:M14" si="0">L5/SUM(F:F)</f>
        <v>0.20986557049216753</v>
      </c>
      <c r="T5" s="141">
        <v>1</v>
      </c>
      <c r="U5" s="158" t="str">
        <f t="shared" ref="U5:U14" si="1">INDEX($A:$A,MATCH($T5,$C:$C,0))</f>
        <v>Semiconductor Manufacturing</v>
      </c>
      <c r="V5" s="158">
        <f t="shared" ref="V5:V14" si="2">INDEX($B:$B,MATCH($T5,$C:$C,0))</f>
        <v>2931</v>
      </c>
      <c r="W5" s="195">
        <f t="shared" ref="W5:W14" si="3">V5/SUM(B:B)</f>
        <v>0.22355274197238958</v>
      </c>
    </row>
    <row r="6" spans="1:23">
      <c r="A6" s="185" t="s">
        <v>287</v>
      </c>
      <c r="B6" s="186">
        <v>7</v>
      </c>
      <c r="C6" s="18">
        <f t="shared" ref="C6:C69" si="4">IF(B6="","",RANK(B6,B:B,0))</f>
        <v>99</v>
      </c>
      <c r="E6" s="185" t="s">
        <v>190</v>
      </c>
      <c r="F6" s="186">
        <v>25</v>
      </c>
      <c r="G6" s="18">
        <f t="shared" ref="G6:G39" si="5">IF(F6="","",RANK(F6,F:F,0))</f>
        <v>24</v>
      </c>
      <c r="J6" s="141">
        <v>2</v>
      </c>
      <c r="K6" s="158" t="str">
        <f t="shared" ref="K6:K14" si="6">INDEX($E:$E,MATCH($J6,$G:$G,0))</f>
        <v>Sales</v>
      </c>
      <c r="L6" s="158">
        <f t="shared" ref="L6:L14" si="7">INDEX($F:$F,MATCH($J6,$G:$G,0))</f>
        <v>1124</v>
      </c>
      <c r="M6" s="195">
        <f t="shared" si="0"/>
        <v>0.12487501388734586</v>
      </c>
      <c r="T6" s="141">
        <v>2</v>
      </c>
      <c r="U6" s="158" t="str">
        <f t="shared" si="1"/>
        <v>IT Services and IT Consulting</v>
      </c>
      <c r="V6" s="158">
        <f t="shared" si="2"/>
        <v>1424</v>
      </c>
      <c r="W6" s="195">
        <f t="shared" si="3"/>
        <v>0.10861108992449088</v>
      </c>
    </row>
    <row r="7" spans="1:23">
      <c r="A7" s="185" t="s">
        <v>265</v>
      </c>
      <c r="B7" s="186">
        <v>32</v>
      </c>
      <c r="C7" s="18">
        <f t="shared" si="4"/>
        <v>56</v>
      </c>
      <c r="E7" s="185" t="s">
        <v>191</v>
      </c>
      <c r="F7" s="186">
        <v>744</v>
      </c>
      <c r="G7" s="18">
        <f t="shared" si="5"/>
        <v>4</v>
      </c>
      <c r="J7" s="141">
        <v>3</v>
      </c>
      <c r="K7" s="158" t="str">
        <f t="shared" si="6"/>
        <v>Business Development</v>
      </c>
      <c r="L7" s="158">
        <f t="shared" si="7"/>
        <v>898</v>
      </c>
      <c r="M7" s="195">
        <f t="shared" si="0"/>
        <v>9.9766692589712255E-2</v>
      </c>
      <c r="T7" s="141">
        <v>3</v>
      </c>
      <c r="U7" s="158" t="str">
        <f t="shared" si="1"/>
        <v>Software Development</v>
      </c>
      <c r="V7" s="158">
        <f t="shared" si="2"/>
        <v>1406</v>
      </c>
      <c r="W7" s="195">
        <f t="shared" si="3"/>
        <v>0.10723819693387232</v>
      </c>
    </row>
    <row r="8" spans="1:23">
      <c r="A8" s="185" t="s">
        <v>266</v>
      </c>
      <c r="B8" s="186">
        <v>436</v>
      </c>
      <c r="C8" s="18">
        <f t="shared" si="4"/>
        <v>5</v>
      </c>
      <c r="E8" s="185" t="s">
        <v>192</v>
      </c>
      <c r="F8" s="186">
        <v>1124</v>
      </c>
      <c r="G8" s="18">
        <f t="shared" si="5"/>
        <v>2</v>
      </c>
      <c r="J8" s="141">
        <v>4</v>
      </c>
      <c r="K8" s="158" t="str">
        <f t="shared" si="6"/>
        <v>Research</v>
      </c>
      <c r="L8" s="158">
        <f t="shared" si="7"/>
        <v>744</v>
      </c>
      <c r="M8" s="195">
        <f t="shared" si="0"/>
        <v>8.2657482501944227E-2</v>
      </c>
      <c r="T8" s="141">
        <v>4</v>
      </c>
      <c r="U8" s="158" t="str">
        <f t="shared" si="1"/>
        <v>Advertising Services</v>
      </c>
      <c r="V8" s="158">
        <f t="shared" si="2"/>
        <v>632</v>
      </c>
      <c r="W8" s="195">
        <f t="shared" si="3"/>
        <v>4.8203798337274048E-2</v>
      </c>
    </row>
    <row r="9" spans="1:23">
      <c r="A9" s="185" t="s">
        <v>267</v>
      </c>
      <c r="B9" s="186">
        <v>29</v>
      </c>
      <c r="C9" s="18">
        <f t="shared" si="4"/>
        <v>60</v>
      </c>
      <c r="E9" s="185" t="s">
        <v>193</v>
      </c>
      <c r="F9" s="186">
        <v>121</v>
      </c>
      <c r="G9" s="18">
        <f t="shared" si="5"/>
        <v>17</v>
      </c>
      <c r="J9" s="141">
        <v>5</v>
      </c>
      <c r="K9" s="158" t="str">
        <f t="shared" si="6"/>
        <v>Operations</v>
      </c>
      <c r="L9" s="158">
        <f t="shared" si="7"/>
        <v>709</v>
      </c>
      <c r="M9" s="195">
        <f t="shared" si="0"/>
        <v>7.8769025663815134E-2</v>
      </c>
      <c r="T9" s="141">
        <v>5</v>
      </c>
      <c r="U9" s="158" t="str">
        <f t="shared" si="1"/>
        <v>Appliances, Electrical, and Electronics Manufacturing</v>
      </c>
      <c r="V9" s="158">
        <f t="shared" si="2"/>
        <v>436</v>
      </c>
      <c r="W9" s="195">
        <f t="shared" si="3"/>
        <v>3.3254519106094123E-2</v>
      </c>
    </row>
    <row r="10" spans="1:23">
      <c r="A10" s="185" t="s">
        <v>268</v>
      </c>
      <c r="B10" s="186">
        <v>92</v>
      </c>
      <c r="C10" s="18">
        <f t="shared" si="4"/>
        <v>24</v>
      </c>
      <c r="E10" s="185" t="s">
        <v>177</v>
      </c>
      <c r="F10" s="186">
        <v>140</v>
      </c>
      <c r="G10" s="18">
        <f t="shared" si="5"/>
        <v>15</v>
      </c>
      <c r="J10" s="141">
        <v>6</v>
      </c>
      <c r="K10" s="158" t="str">
        <f t="shared" si="6"/>
        <v>Information Technology</v>
      </c>
      <c r="L10" s="158">
        <f t="shared" si="7"/>
        <v>498</v>
      </c>
      <c r="M10" s="195">
        <f t="shared" si="0"/>
        <v>5.5327185868236865E-2</v>
      </c>
      <c r="T10" s="141">
        <v>6</v>
      </c>
      <c r="U10" s="158" t="str">
        <f t="shared" si="1"/>
        <v>Business Consulting and Services</v>
      </c>
      <c r="V10" s="158">
        <f t="shared" si="2"/>
        <v>341</v>
      </c>
      <c r="W10" s="195">
        <f t="shared" si="3"/>
        <v>2.6008694988940585E-2</v>
      </c>
    </row>
    <row r="11" spans="1:23">
      <c r="A11" s="185" t="s">
        <v>269</v>
      </c>
      <c r="B11" s="186">
        <v>19</v>
      </c>
      <c r="C11" s="18">
        <f t="shared" si="4"/>
        <v>72</v>
      </c>
      <c r="E11" s="185" t="s">
        <v>178</v>
      </c>
      <c r="F11" s="186">
        <v>15</v>
      </c>
      <c r="G11" s="18">
        <f t="shared" si="5"/>
        <v>26</v>
      </c>
      <c r="J11" s="141">
        <v>7</v>
      </c>
      <c r="K11" s="158" t="str">
        <f t="shared" si="6"/>
        <v>Marketing</v>
      </c>
      <c r="L11" s="158">
        <f t="shared" si="7"/>
        <v>457</v>
      </c>
      <c r="M11" s="195">
        <f t="shared" si="0"/>
        <v>5.0772136429285637E-2</v>
      </c>
      <c r="T11" s="141">
        <v>7</v>
      </c>
      <c r="U11" s="158" t="str">
        <f t="shared" si="1"/>
        <v>Financial Services</v>
      </c>
      <c r="V11" s="158">
        <f t="shared" si="2"/>
        <v>325</v>
      </c>
      <c r="W11" s="195">
        <f t="shared" si="3"/>
        <v>2.4788345663946304E-2</v>
      </c>
    </row>
    <row r="12" spans="1:23">
      <c r="A12" s="185" t="s">
        <v>270</v>
      </c>
      <c r="B12" s="186">
        <v>64</v>
      </c>
      <c r="C12" s="18">
        <f t="shared" si="4"/>
        <v>33</v>
      </c>
      <c r="E12" s="185" t="s">
        <v>179</v>
      </c>
      <c r="F12" s="186">
        <v>332</v>
      </c>
      <c r="G12" s="18">
        <f t="shared" si="5"/>
        <v>8</v>
      </c>
      <c r="J12" s="141">
        <v>8</v>
      </c>
      <c r="K12" s="158" t="str">
        <f t="shared" si="6"/>
        <v>Human Resources</v>
      </c>
      <c r="L12" s="158">
        <f t="shared" si="7"/>
        <v>332</v>
      </c>
      <c r="M12" s="195">
        <f t="shared" si="0"/>
        <v>3.6884790578824572E-2</v>
      </c>
      <c r="T12" s="141">
        <v>8</v>
      </c>
      <c r="U12" s="158" t="str">
        <f t="shared" si="1"/>
        <v>Higher Education</v>
      </c>
      <c r="V12" s="158">
        <f t="shared" si="2"/>
        <v>290</v>
      </c>
      <c r="W12" s="195">
        <f t="shared" si="3"/>
        <v>2.2118831515521319E-2</v>
      </c>
    </row>
    <row r="13" spans="1:23">
      <c r="A13" s="185" t="s">
        <v>250</v>
      </c>
      <c r="B13" s="186">
        <v>7</v>
      </c>
      <c r="C13" s="18">
        <f t="shared" si="4"/>
        <v>99</v>
      </c>
      <c r="E13" s="185" t="s">
        <v>180</v>
      </c>
      <c r="F13" s="186">
        <v>498</v>
      </c>
      <c r="G13" s="18">
        <f t="shared" si="5"/>
        <v>6</v>
      </c>
      <c r="J13" s="141">
        <v>9</v>
      </c>
      <c r="K13" s="158" t="str">
        <f t="shared" si="6"/>
        <v>Media and Communication</v>
      </c>
      <c r="L13" s="158">
        <f t="shared" si="7"/>
        <v>296</v>
      </c>
      <c r="M13" s="195">
        <f t="shared" si="0"/>
        <v>3.2885234973891793E-2</v>
      </c>
      <c r="T13" s="141">
        <v>9</v>
      </c>
      <c r="U13" s="158" t="str">
        <f t="shared" si="1"/>
        <v>Staffing and Recruiting</v>
      </c>
      <c r="V13" s="158">
        <f t="shared" si="2"/>
        <v>285</v>
      </c>
      <c r="W13" s="195">
        <f t="shared" si="3"/>
        <v>2.1737472351460604E-2</v>
      </c>
    </row>
    <row r="14" spans="1:23" ht="17.25" thickBot="1">
      <c r="A14" s="185" t="s">
        <v>251</v>
      </c>
      <c r="B14" s="186">
        <v>25</v>
      </c>
      <c r="C14" s="18">
        <f t="shared" si="4"/>
        <v>63</v>
      </c>
      <c r="E14" s="185" t="s">
        <v>181</v>
      </c>
      <c r="F14" s="186">
        <v>120</v>
      </c>
      <c r="G14" s="18">
        <f t="shared" si="5"/>
        <v>18</v>
      </c>
      <c r="J14" s="142">
        <v>10</v>
      </c>
      <c r="K14" s="143" t="str">
        <f t="shared" si="6"/>
        <v>Education</v>
      </c>
      <c r="L14" s="143">
        <f t="shared" si="7"/>
        <v>267</v>
      </c>
      <c r="M14" s="196">
        <f t="shared" si="0"/>
        <v>2.9663370736584822E-2</v>
      </c>
      <c r="T14" s="142">
        <v>10</v>
      </c>
      <c r="U14" s="143" t="str">
        <f t="shared" si="1"/>
        <v>Computers and Electronics Manufacturing</v>
      </c>
      <c r="V14" s="143">
        <f t="shared" si="2"/>
        <v>258</v>
      </c>
      <c r="W14" s="196">
        <f t="shared" si="3"/>
        <v>1.9678132865532758E-2</v>
      </c>
    </row>
    <row r="15" spans="1:23">
      <c r="A15" s="185" t="s">
        <v>271</v>
      </c>
      <c r="B15" s="186">
        <v>34</v>
      </c>
      <c r="C15" s="18">
        <f t="shared" si="4"/>
        <v>54</v>
      </c>
      <c r="E15" s="185" t="s">
        <v>182</v>
      </c>
      <c r="F15" s="186">
        <v>457</v>
      </c>
      <c r="G15" s="18">
        <f t="shared" si="5"/>
        <v>7</v>
      </c>
    </row>
    <row r="16" spans="1:23">
      <c r="A16" s="185" t="s">
        <v>343</v>
      </c>
      <c r="B16" s="186">
        <v>33</v>
      </c>
      <c r="C16" s="18">
        <f t="shared" si="4"/>
        <v>55</v>
      </c>
      <c r="E16" s="185" t="s">
        <v>183</v>
      </c>
      <c r="F16" s="186">
        <v>296</v>
      </c>
      <c r="G16" s="18">
        <f t="shared" si="5"/>
        <v>9</v>
      </c>
    </row>
    <row r="17" spans="1:7">
      <c r="A17" s="185" t="s">
        <v>252</v>
      </c>
      <c r="B17" s="186">
        <v>92</v>
      </c>
      <c r="C17" s="18">
        <f t="shared" si="4"/>
        <v>24</v>
      </c>
      <c r="E17" s="185" t="s">
        <v>184</v>
      </c>
      <c r="F17" s="186">
        <v>24</v>
      </c>
      <c r="G17" s="18">
        <f t="shared" si="5"/>
        <v>25</v>
      </c>
    </row>
    <row r="18" spans="1:7">
      <c r="A18" s="185" t="s">
        <v>253</v>
      </c>
      <c r="B18" s="186">
        <v>15</v>
      </c>
      <c r="C18" s="18">
        <f t="shared" si="4"/>
        <v>78</v>
      </c>
      <c r="E18" s="185" t="s">
        <v>185</v>
      </c>
      <c r="F18" s="186">
        <v>709</v>
      </c>
      <c r="G18" s="18">
        <f t="shared" si="5"/>
        <v>5</v>
      </c>
    </row>
    <row r="19" spans="1:7">
      <c r="A19" s="185" t="s">
        <v>254</v>
      </c>
      <c r="B19" s="186">
        <v>1424</v>
      </c>
      <c r="C19" s="18">
        <f t="shared" si="4"/>
        <v>2</v>
      </c>
      <c r="E19" s="185" t="s">
        <v>186</v>
      </c>
      <c r="F19" s="186">
        <v>132</v>
      </c>
      <c r="G19" s="18">
        <f t="shared" si="5"/>
        <v>16</v>
      </c>
    </row>
    <row r="20" spans="1:7">
      <c r="A20" s="185" t="s">
        <v>255</v>
      </c>
      <c r="B20" s="186">
        <v>240</v>
      </c>
      <c r="C20" s="18">
        <f t="shared" si="4"/>
        <v>12</v>
      </c>
      <c r="E20" s="185" t="s">
        <v>168</v>
      </c>
      <c r="F20" s="186">
        <v>60</v>
      </c>
      <c r="G20" s="18">
        <f t="shared" si="5"/>
        <v>21</v>
      </c>
    </row>
    <row r="21" spans="1:7">
      <c r="A21" s="185" t="s">
        <v>203</v>
      </c>
      <c r="B21" s="186">
        <v>32</v>
      </c>
      <c r="C21" s="18">
        <f t="shared" si="4"/>
        <v>56</v>
      </c>
      <c r="E21" s="185" t="s">
        <v>169</v>
      </c>
      <c r="F21" s="186">
        <v>82</v>
      </c>
      <c r="G21" s="18">
        <f t="shared" si="5"/>
        <v>19</v>
      </c>
    </row>
    <row r="22" spans="1:7">
      <c r="A22" s="185" t="s">
        <v>256</v>
      </c>
      <c r="B22" s="186">
        <v>208</v>
      </c>
      <c r="C22" s="18">
        <f t="shared" si="4"/>
        <v>13</v>
      </c>
      <c r="E22" s="185" t="s">
        <v>170</v>
      </c>
      <c r="F22" s="186">
        <v>203</v>
      </c>
      <c r="G22" s="18">
        <f t="shared" si="5"/>
        <v>13</v>
      </c>
    </row>
    <row r="23" spans="1:7">
      <c r="A23" s="185" t="s">
        <v>747</v>
      </c>
      <c r="B23" s="186">
        <v>6</v>
      </c>
      <c r="C23" s="18">
        <f t="shared" si="4"/>
        <v>102</v>
      </c>
      <c r="E23" s="185" t="s">
        <v>171</v>
      </c>
      <c r="F23" s="186">
        <v>898</v>
      </c>
      <c r="G23" s="18">
        <f t="shared" si="5"/>
        <v>3</v>
      </c>
    </row>
    <row r="24" spans="1:7">
      <c r="A24" s="185" t="s">
        <v>257</v>
      </c>
      <c r="B24" s="186">
        <v>75</v>
      </c>
      <c r="C24" s="18">
        <f t="shared" si="4"/>
        <v>28</v>
      </c>
      <c r="E24" s="185" t="s">
        <v>172</v>
      </c>
      <c r="F24" s="186">
        <v>80</v>
      </c>
      <c r="G24" s="18">
        <f t="shared" si="5"/>
        <v>20</v>
      </c>
    </row>
    <row r="25" spans="1:7">
      <c r="A25" s="185" t="s">
        <v>204</v>
      </c>
      <c r="B25" s="186">
        <v>341</v>
      </c>
      <c r="C25" s="18">
        <f t="shared" si="4"/>
        <v>6</v>
      </c>
      <c r="E25" s="185" t="s">
        <v>173</v>
      </c>
      <c r="F25" s="186">
        <v>185</v>
      </c>
      <c r="G25" s="18">
        <f t="shared" si="5"/>
        <v>14</v>
      </c>
    </row>
    <row r="26" spans="1:7">
      <c r="A26" s="185" t="s">
        <v>205</v>
      </c>
      <c r="B26" s="186">
        <v>64</v>
      </c>
      <c r="C26" s="18">
        <f t="shared" si="4"/>
        <v>33</v>
      </c>
      <c r="E26" s="185" t="s">
        <v>174</v>
      </c>
      <c r="F26" s="186">
        <v>267</v>
      </c>
      <c r="G26" s="18">
        <f t="shared" si="5"/>
        <v>10</v>
      </c>
    </row>
    <row r="27" spans="1:7">
      <c r="A27" s="185" t="s">
        <v>206</v>
      </c>
      <c r="B27" s="186">
        <v>54</v>
      </c>
      <c r="C27" s="18">
        <f t="shared" si="4"/>
        <v>37</v>
      </c>
      <c r="E27" s="185" t="s">
        <v>175</v>
      </c>
      <c r="F27" s="186">
        <v>1889</v>
      </c>
      <c r="G27" s="18">
        <f t="shared" si="5"/>
        <v>1</v>
      </c>
    </row>
    <row r="28" spans="1:7">
      <c r="A28" s="185" t="s">
        <v>207</v>
      </c>
      <c r="B28" s="186">
        <v>43</v>
      </c>
      <c r="C28" s="18">
        <f t="shared" si="4"/>
        <v>46</v>
      </c>
      <c r="E28" s="185" t="s">
        <v>176</v>
      </c>
      <c r="F28" s="186">
        <v>41</v>
      </c>
      <c r="G28" s="18">
        <f t="shared" si="5"/>
        <v>23</v>
      </c>
    </row>
    <row r="29" spans="1:7">
      <c r="A29" s="185" t="s">
        <v>208</v>
      </c>
      <c r="B29" s="186">
        <v>86</v>
      </c>
      <c r="C29" s="18">
        <f t="shared" si="4"/>
        <v>27</v>
      </c>
      <c r="E29" s="185" t="s">
        <v>187</v>
      </c>
      <c r="F29" s="186">
        <v>249</v>
      </c>
      <c r="G29" s="18">
        <f t="shared" si="5"/>
        <v>12</v>
      </c>
    </row>
    <row r="30" spans="1:7">
      <c r="A30" s="185" t="s">
        <v>209</v>
      </c>
      <c r="B30" s="186">
        <v>10</v>
      </c>
      <c r="C30" s="18">
        <f t="shared" si="4"/>
        <v>87</v>
      </c>
      <c r="E30" s="185" t="s">
        <v>188</v>
      </c>
      <c r="F30" s="186">
        <v>48</v>
      </c>
      <c r="G30" s="18">
        <f t="shared" si="5"/>
        <v>22</v>
      </c>
    </row>
    <row r="31" spans="1:7">
      <c r="A31" s="185" t="s">
        <v>210</v>
      </c>
      <c r="B31" s="186">
        <v>12</v>
      </c>
      <c r="C31" s="18">
        <f t="shared" si="4"/>
        <v>82</v>
      </c>
      <c r="E31" s="187"/>
      <c r="F31" s="188"/>
      <c r="G31" s="18" t="str">
        <f t="shared" si="5"/>
        <v/>
      </c>
    </row>
    <row r="32" spans="1:7">
      <c r="A32" s="185" t="s">
        <v>272</v>
      </c>
      <c r="B32" s="186">
        <v>10</v>
      </c>
      <c r="C32" s="18">
        <f t="shared" si="4"/>
        <v>87</v>
      </c>
      <c r="E32" s="187"/>
      <c r="F32" s="188"/>
      <c r="G32" s="18" t="str">
        <f t="shared" si="5"/>
        <v/>
      </c>
    </row>
    <row r="33" spans="1:7">
      <c r="A33" s="185" t="s">
        <v>273</v>
      </c>
      <c r="B33" s="186">
        <v>7</v>
      </c>
      <c r="C33" s="18">
        <f t="shared" si="4"/>
        <v>99</v>
      </c>
      <c r="E33" s="187"/>
      <c r="F33" s="188"/>
      <c r="G33" s="18" t="str">
        <f t="shared" si="5"/>
        <v/>
      </c>
    </row>
    <row r="34" spans="1:7">
      <c r="A34" s="185" t="s">
        <v>195</v>
      </c>
      <c r="B34" s="186">
        <v>25</v>
      </c>
      <c r="C34" s="18">
        <f t="shared" si="4"/>
        <v>63</v>
      </c>
      <c r="E34" s="187"/>
      <c r="F34" s="188"/>
      <c r="G34" s="18" t="str">
        <f t="shared" si="5"/>
        <v/>
      </c>
    </row>
    <row r="35" spans="1:7">
      <c r="A35" s="185" t="s">
        <v>274</v>
      </c>
      <c r="B35" s="186">
        <v>54</v>
      </c>
      <c r="C35" s="18">
        <f t="shared" si="4"/>
        <v>37</v>
      </c>
      <c r="E35" s="187"/>
      <c r="F35" s="188"/>
      <c r="G35" s="18" t="str">
        <f t="shared" si="5"/>
        <v/>
      </c>
    </row>
    <row r="36" spans="1:7">
      <c r="A36" s="185" t="s">
        <v>196</v>
      </c>
      <c r="B36" s="186">
        <v>253</v>
      </c>
      <c r="C36" s="18">
        <f t="shared" si="4"/>
        <v>11</v>
      </c>
      <c r="E36" s="187"/>
      <c r="F36" s="188"/>
      <c r="G36" s="18" t="str">
        <f t="shared" si="5"/>
        <v/>
      </c>
    </row>
    <row r="37" spans="1:7">
      <c r="A37" s="185" t="s">
        <v>197</v>
      </c>
      <c r="B37" s="186">
        <v>1406</v>
      </c>
      <c r="C37" s="18">
        <f t="shared" si="4"/>
        <v>3</v>
      </c>
      <c r="E37" s="187"/>
      <c r="F37" s="188"/>
      <c r="G37" s="18" t="str">
        <f t="shared" si="5"/>
        <v/>
      </c>
    </row>
    <row r="38" spans="1:7">
      <c r="A38" s="185" t="s">
        <v>275</v>
      </c>
      <c r="B38" s="186">
        <v>28</v>
      </c>
      <c r="C38" s="18">
        <f t="shared" si="4"/>
        <v>61</v>
      </c>
      <c r="E38" s="187"/>
      <c r="F38" s="188"/>
      <c r="G38" s="18" t="str">
        <f t="shared" si="5"/>
        <v/>
      </c>
    </row>
    <row r="39" spans="1:7" ht="17.25" thickBot="1">
      <c r="A39" s="185" t="s">
        <v>198</v>
      </c>
      <c r="B39" s="186">
        <v>41</v>
      </c>
      <c r="C39" s="18">
        <f t="shared" si="4"/>
        <v>49</v>
      </c>
      <c r="E39" s="189"/>
      <c r="F39" s="190"/>
      <c r="G39" s="18" t="str">
        <f t="shared" si="5"/>
        <v/>
      </c>
    </row>
    <row r="40" spans="1:7">
      <c r="A40" s="185" t="s">
        <v>199</v>
      </c>
      <c r="B40" s="186">
        <v>143</v>
      </c>
      <c r="C40" s="18">
        <f t="shared" si="4"/>
        <v>19</v>
      </c>
    </row>
    <row r="41" spans="1:7">
      <c r="A41" s="185" t="s">
        <v>748</v>
      </c>
      <c r="B41" s="186">
        <v>6</v>
      </c>
      <c r="C41" s="18">
        <f t="shared" si="4"/>
        <v>102</v>
      </c>
    </row>
    <row r="42" spans="1:7">
      <c r="A42" s="185" t="s">
        <v>200</v>
      </c>
      <c r="B42" s="186">
        <v>2931</v>
      </c>
      <c r="C42" s="18">
        <f t="shared" si="4"/>
        <v>1</v>
      </c>
    </row>
    <row r="43" spans="1:7">
      <c r="A43" s="185" t="s">
        <v>201</v>
      </c>
      <c r="B43" s="186">
        <v>87</v>
      </c>
      <c r="C43" s="18">
        <f t="shared" si="4"/>
        <v>26</v>
      </c>
    </row>
    <row r="44" spans="1:7">
      <c r="A44" s="185" t="s">
        <v>202</v>
      </c>
      <c r="B44" s="186">
        <v>61</v>
      </c>
      <c r="C44" s="18">
        <f t="shared" si="4"/>
        <v>35</v>
      </c>
    </row>
    <row r="45" spans="1:7">
      <c r="A45" s="185" t="s">
        <v>288</v>
      </c>
      <c r="B45" s="186">
        <v>20</v>
      </c>
      <c r="C45" s="18">
        <f t="shared" si="4"/>
        <v>71</v>
      </c>
    </row>
    <row r="46" spans="1:7">
      <c r="A46" s="185" t="s">
        <v>211</v>
      </c>
      <c r="B46" s="186">
        <v>15</v>
      </c>
      <c r="C46" s="18">
        <f t="shared" si="4"/>
        <v>78</v>
      </c>
    </row>
    <row r="47" spans="1:7">
      <c r="A47" s="185" t="s">
        <v>212</v>
      </c>
      <c r="B47" s="186">
        <v>258</v>
      </c>
      <c r="C47" s="18">
        <f t="shared" si="4"/>
        <v>10</v>
      </c>
    </row>
    <row r="48" spans="1:7">
      <c r="A48" s="185" t="s">
        <v>213</v>
      </c>
      <c r="B48" s="186">
        <v>133</v>
      </c>
      <c r="C48" s="18">
        <f t="shared" si="4"/>
        <v>20</v>
      </c>
    </row>
    <row r="49" spans="1:3">
      <c r="A49" s="185" t="s">
        <v>214</v>
      </c>
      <c r="B49" s="186">
        <v>9</v>
      </c>
      <c r="C49" s="18">
        <f t="shared" si="4"/>
        <v>93</v>
      </c>
    </row>
    <row r="50" spans="1:3">
      <c r="A50" s="185" t="s">
        <v>215</v>
      </c>
      <c r="B50" s="186">
        <v>165</v>
      </c>
      <c r="C50" s="18">
        <f t="shared" si="4"/>
        <v>17</v>
      </c>
    </row>
    <row r="51" spans="1:3">
      <c r="A51" s="185" t="s">
        <v>216</v>
      </c>
      <c r="B51" s="186">
        <v>106</v>
      </c>
      <c r="C51" s="18">
        <f t="shared" si="4"/>
        <v>22</v>
      </c>
    </row>
    <row r="52" spans="1:3">
      <c r="A52" s="185" t="s">
        <v>344</v>
      </c>
      <c r="B52" s="186">
        <v>10</v>
      </c>
      <c r="C52" s="18">
        <f t="shared" si="4"/>
        <v>87</v>
      </c>
    </row>
    <row r="53" spans="1:3">
      <c r="A53" s="185" t="s">
        <v>276</v>
      </c>
      <c r="B53" s="186">
        <v>9</v>
      </c>
      <c r="C53" s="18">
        <f t="shared" si="4"/>
        <v>93</v>
      </c>
    </row>
    <row r="54" spans="1:3">
      <c r="A54" s="185" t="s">
        <v>277</v>
      </c>
      <c r="B54" s="186">
        <v>11</v>
      </c>
      <c r="C54" s="18">
        <f t="shared" si="4"/>
        <v>84</v>
      </c>
    </row>
    <row r="55" spans="1:3">
      <c r="A55" s="185" t="s">
        <v>278</v>
      </c>
      <c r="B55" s="186">
        <v>15</v>
      </c>
      <c r="C55" s="18">
        <f t="shared" si="4"/>
        <v>78</v>
      </c>
    </row>
    <row r="56" spans="1:3">
      <c r="A56" s="185" t="s">
        <v>279</v>
      </c>
      <c r="B56" s="186">
        <v>176</v>
      </c>
      <c r="C56" s="18">
        <f t="shared" si="4"/>
        <v>16</v>
      </c>
    </row>
    <row r="57" spans="1:3">
      <c r="A57" s="185" t="s">
        <v>280</v>
      </c>
      <c r="B57" s="186">
        <v>10</v>
      </c>
      <c r="C57" s="18">
        <f t="shared" si="4"/>
        <v>87</v>
      </c>
    </row>
    <row r="58" spans="1:3">
      <c r="A58" s="185" t="s">
        <v>281</v>
      </c>
      <c r="B58" s="186">
        <v>164</v>
      </c>
      <c r="C58" s="18">
        <f t="shared" si="4"/>
        <v>18</v>
      </c>
    </row>
    <row r="59" spans="1:3">
      <c r="A59" s="185" t="s">
        <v>217</v>
      </c>
      <c r="B59" s="186">
        <v>10</v>
      </c>
      <c r="C59" s="18">
        <f t="shared" si="4"/>
        <v>87</v>
      </c>
    </row>
    <row r="60" spans="1:3">
      <c r="A60" s="185" t="s">
        <v>218</v>
      </c>
      <c r="B60" s="186">
        <v>8</v>
      </c>
      <c r="C60" s="18">
        <f t="shared" si="4"/>
        <v>97</v>
      </c>
    </row>
    <row r="61" spans="1:3">
      <c r="A61" s="185" t="s">
        <v>219</v>
      </c>
      <c r="B61" s="186">
        <v>21</v>
      </c>
      <c r="C61" s="18">
        <f t="shared" si="4"/>
        <v>69</v>
      </c>
    </row>
    <row r="62" spans="1:3">
      <c r="A62" s="185" t="s">
        <v>220</v>
      </c>
      <c r="B62" s="186">
        <v>45</v>
      </c>
      <c r="C62" s="18">
        <f t="shared" si="4"/>
        <v>44</v>
      </c>
    </row>
    <row r="63" spans="1:3">
      <c r="A63" s="185" t="s">
        <v>221</v>
      </c>
      <c r="B63" s="186">
        <v>16</v>
      </c>
      <c r="C63" s="18">
        <f t="shared" si="4"/>
        <v>77</v>
      </c>
    </row>
    <row r="64" spans="1:3">
      <c r="A64" s="185" t="s">
        <v>282</v>
      </c>
      <c r="B64" s="186">
        <v>67</v>
      </c>
      <c r="C64" s="18">
        <f t="shared" si="4"/>
        <v>32</v>
      </c>
    </row>
    <row r="65" spans="1:3">
      <c r="A65" s="185" t="s">
        <v>283</v>
      </c>
      <c r="B65" s="186">
        <v>43</v>
      </c>
      <c r="C65" s="18">
        <f t="shared" si="4"/>
        <v>46</v>
      </c>
    </row>
    <row r="66" spans="1:3">
      <c r="A66" s="185" t="s">
        <v>749</v>
      </c>
      <c r="B66" s="186">
        <v>9</v>
      </c>
      <c r="C66" s="18">
        <f t="shared" si="4"/>
        <v>93</v>
      </c>
    </row>
    <row r="67" spans="1:3">
      <c r="A67" s="185" t="s">
        <v>284</v>
      </c>
      <c r="B67" s="186">
        <v>52</v>
      </c>
      <c r="C67" s="18">
        <f t="shared" si="4"/>
        <v>40</v>
      </c>
    </row>
    <row r="68" spans="1:3">
      <c r="A68" s="185" t="s">
        <v>285</v>
      </c>
      <c r="B68" s="186">
        <v>11</v>
      </c>
      <c r="C68" s="18">
        <f t="shared" si="4"/>
        <v>84</v>
      </c>
    </row>
    <row r="69" spans="1:3">
      <c r="A69" s="185" t="s">
        <v>222</v>
      </c>
      <c r="B69" s="186">
        <v>25</v>
      </c>
      <c r="C69" s="18">
        <f t="shared" si="4"/>
        <v>63</v>
      </c>
    </row>
    <row r="70" spans="1:3">
      <c r="A70" s="185" t="s">
        <v>223</v>
      </c>
      <c r="B70" s="186">
        <v>22</v>
      </c>
      <c r="C70" s="18">
        <f t="shared" ref="C70:C133" si="8">IF(B70="","",RANK(B70,B:B,0))</f>
        <v>68</v>
      </c>
    </row>
    <row r="71" spans="1:3">
      <c r="A71" s="185" t="s">
        <v>224</v>
      </c>
      <c r="B71" s="186">
        <v>325</v>
      </c>
      <c r="C71" s="18">
        <f t="shared" si="8"/>
        <v>7</v>
      </c>
    </row>
    <row r="72" spans="1:3">
      <c r="A72" s="185" t="s">
        <v>190</v>
      </c>
      <c r="B72" s="186">
        <v>61</v>
      </c>
      <c r="C72" s="18">
        <f t="shared" si="8"/>
        <v>35</v>
      </c>
    </row>
    <row r="73" spans="1:3">
      <c r="A73" s="185" t="s">
        <v>225</v>
      </c>
      <c r="B73" s="186">
        <v>41</v>
      </c>
      <c r="C73" s="18">
        <f t="shared" si="8"/>
        <v>49</v>
      </c>
    </row>
    <row r="74" spans="1:3">
      <c r="A74" s="185" t="s">
        <v>226</v>
      </c>
      <c r="B74" s="186">
        <v>19</v>
      </c>
      <c r="C74" s="18">
        <f t="shared" si="8"/>
        <v>72</v>
      </c>
    </row>
    <row r="75" spans="1:3">
      <c r="A75" s="185" t="s">
        <v>168</v>
      </c>
      <c r="B75" s="186">
        <v>72</v>
      </c>
      <c r="C75" s="18">
        <f t="shared" si="8"/>
        <v>31</v>
      </c>
    </row>
    <row r="76" spans="1:3">
      <c r="A76" s="185" t="s">
        <v>227</v>
      </c>
      <c r="B76" s="186">
        <v>93</v>
      </c>
      <c r="C76" s="18">
        <f t="shared" si="8"/>
        <v>23</v>
      </c>
    </row>
    <row r="77" spans="1:3">
      <c r="A77" s="185" t="s">
        <v>228</v>
      </c>
      <c r="B77" s="186">
        <v>18</v>
      </c>
      <c r="C77" s="18">
        <f t="shared" si="8"/>
        <v>74</v>
      </c>
    </row>
    <row r="78" spans="1:3">
      <c r="A78" s="185" t="s">
        <v>229</v>
      </c>
      <c r="B78" s="186">
        <v>24</v>
      </c>
      <c r="C78" s="18">
        <f t="shared" si="8"/>
        <v>66</v>
      </c>
    </row>
    <row r="79" spans="1:3">
      <c r="A79" s="185" t="s">
        <v>230</v>
      </c>
      <c r="B79" s="186">
        <v>26</v>
      </c>
      <c r="C79" s="18">
        <f t="shared" si="8"/>
        <v>62</v>
      </c>
    </row>
    <row r="80" spans="1:3">
      <c r="A80" s="185" t="s">
        <v>231</v>
      </c>
      <c r="B80" s="186">
        <v>32</v>
      </c>
      <c r="C80" s="18">
        <f t="shared" si="8"/>
        <v>56</v>
      </c>
    </row>
    <row r="81" spans="1:3">
      <c r="A81" s="185" t="s">
        <v>232</v>
      </c>
      <c r="B81" s="186">
        <v>205</v>
      </c>
      <c r="C81" s="18">
        <f t="shared" si="8"/>
        <v>14</v>
      </c>
    </row>
    <row r="82" spans="1:3">
      <c r="A82" s="185" t="s">
        <v>233</v>
      </c>
      <c r="B82" s="186">
        <v>73</v>
      </c>
      <c r="C82" s="18">
        <f t="shared" si="8"/>
        <v>29</v>
      </c>
    </row>
    <row r="83" spans="1:3">
      <c r="A83" s="185" t="s">
        <v>234</v>
      </c>
      <c r="B83" s="186">
        <v>42</v>
      </c>
      <c r="C83" s="18">
        <f t="shared" si="8"/>
        <v>48</v>
      </c>
    </row>
    <row r="84" spans="1:3">
      <c r="A84" s="185" t="s">
        <v>235</v>
      </c>
      <c r="B84" s="186">
        <v>8</v>
      </c>
      <c r="C84" s="18">
        <f t="shared" si="8"/>
        <v>97</v>
      </c>
    </row>
    <row r="85" spans="1:3">
      <c r="A85" s="185" t="s">
        <v>236</v>
      </c>
      <c r="B85" s="186">
        <v>51</v>
      </c>
      <c r="C85" s="18">
        <f t="shared" si="8"/>
        <v>41</v>
      </c>
    </row>
    <row r="86" spans="1:3">
      <c r="A86" s="185" t="s">
        <v>237</v>
      </c>
      <c r="B86" s="186">
        <v>37</v>
      </c>
      <c r="C86" s="18">
        <f t="shared" si="8"/>
        <v>51</v>
      </c>
    </row>
    <row r="87" spans="1:3">
      <c r="A87" s="185" t="s">
        <v>238</v>
      </c>
      <c r="B87" s="186">
        <v>290</v>
      </c>
      <c r="C87" s="18">
        <f t="shared" si="8"/>
        <v>8</v>
      </c>
    </row>
    <row r="88" spans="1:3">
      <c r="A88" s="185" t="s">
        <v>239</v>
      </c>
      <c r="B88" s="186">
        <v>49</v>
      </c>
      <c r="C88" s="18">
        <f t="shared" si="8"/>
        <v>42</v>
      </c>
    </row>
    <row r="89" spans="1:3">
      <c r="A89" s="185" t="s">
        <v>286</v>
      </c>
      <c r="B89" s="186">
        <v>12</v>
      </c>
      <c r="C89" s="18">
        <f t="shared" si="8"/>
        <v>82</v>
      </c>
    </row>
    <row r="90" spans="1:3">
      <c r="A90" s="185" t="s">
        <v>240</v>
      </c>
      <c r="B90" s="186">
        <v>188</v>
      </c>
      <c r="C90" s="18">
        <f t="shared" si="8"/>
        <v>15</v>
      </c>
    </row>
    <row r="91" spans="1:3">
      <c r="A91" s="185" t="s">
        <v>241</v>
      </c>
      <c r="B91" s="186">
        <v>21</v>
      </c>
      <c r="C91" s="18">
        <f t="shared" si="8"/>
        <v>69</v>
      </c>
    </row>
    <row r="92" spans="1:3">
      <c r="A92" s="185" t="s">
        <v>750</v>
      </c>
      <c r="B92" s="186">
        <v>6</v>
      </c>
      <c r="C92" s="18">
        <f t="shared" si="8"/>
        <v>102</v>
      </c>
    </row>
    <row r="93" spans="1:3">
      <c r="A93" s="185" t="s">
        <v>751</v>
      </c>
      <c r="B93" s="186">
        <v>10</v>
      </c>
      <c r="C93" s="18">
        <f t="shared" si="8"/>
        <v>87</v>
      </c>
    </row>
    <row r="94" spans="1:3">
      <c r="A94" s="185" t="s">
        <v>242</v>
      </c>
      <c r="B94" s="186">
        <v>11</v>
      </c>
      <c r="C94" s="18">
        <f t="shared" si="8"/>
        <v>84</v>
      </c>
    </row>
    <row r="95" spans="1:3">
      <c r="A95" s="185" t="s">
        <v>243</v>
      </c>
      <c r="B95" s="186">
        <v>36</v>
      </c>
      <c r="C95" s="18">
        <f t="shared" si="8"/>
        <v>52</v>
      </c>
    </row>
    <row r="96" spans="1:3">
      <c r="A96" s="185" t="s">
        <v>258</v>
      </c>
      <c r="B96" s="186">
        <v>116</v>
      </c>
      <c r="C96" s="18">
        <f t="shared" si="8"/>
        <v>21</v>
      </c>
    </row>
    <row r="97" spans="1:3">
      <c r="A97" s="185" t="s">
        <v>259</v>
      </c>
      <c r="B97" s="186">
        <v>54</v>
      </c>
      <c r="C97" s="18">
        <f t="shared" si="8"/>
        <v>37</v>
      </c>
    </row>
    <row r="98" spans="1:3">
      <c r="A98" s="185" t="s">
        <v>260</v>
      </c>
      <c r="B98" s="186">
        <v>18</v>
      </c>
      <c r="C98" s="18">
        <f t="shared" si="8"/>
        <v>74</v>
      </c>
    </row>
    <row r="99" spans="1:3">
      <c r="A99" s="185" t="s">
        <v>261</v>
      </c>
      <c r="B99" s="186">
        <v>285</v>
      </c>
      <c r="C99" s="18">
        <f t="shared" si="8"/>
        <v>9</v>
      </c>
    </row>
    <row r="100" spans="1:3">
      <c r="A100" s="185" t="s">
        <v>262</v>
      </c>
      <c r="B100" s="186">
        <v>36</v>
      </c>
      <c r="C100" s="18">
        <f t="shared" si="8"/>
        <v>52</v>
      </c>
    </row>
    <row r="101" spans="1:3">
      <c r="A101" s="185" t="s">
        <v>244</v>
      </c>
      <c r="B101" s="186">
        <v>632</v>
      </c>
      <c r="C101" s="18">
        <f t="shared" si="8"/>
        <v>4</v>
      </c>
    </row>
    <row r="102" spans="1:3">
      <c r="A102" s="185" t="s">
        <v>263</v>
      </c>
      <c r="B102" s="186">
        <v>13</v>
      </c>
      <c r="C102" s="18">
        <f t="shared" si="8"/>
        <v>81</v>
      </c>
    </row>
    <row r="103" spans="1:3">
      <c r="A103" s="185" t="s">
        <v>245</v>
      </c>
      <c r="B103" s="186">
        <v>24</v>
      </c>
      <c r="C103" s="18">
        <f t="shared" si="8"/>
        <v>66</v>
      </c>
    </row>
    <row r="104" spans="1:3">
      <c r="A104" s="185" t="s">
        <v>246</v>
      </c>
      <c r="B104" s="186">
        <v>31</v>
      </c>
      <c r="C104" s="18">
        <f t="shared" si="8"/>
        <v>59</v>
      </c>
    </row>
    <row r="105" spans="1:3">
      <c r="A105" s="185" t="s">
        <v>264</v>
      </c>
      <c r="B105" s="186">
        <v>46</v>
      </c>
      <c r="C105" s="18">
        <f t="shared" si="8"/>
        <v>43</v>
      </c>
    </row>
    <row r="106" spans="1:3">
      <c r="A106" s="185" t="s">
        <v>247</v>
      </c>
      <c r="B106" s="186">
        <v>9</v>
      </c>
      <c r="C106" s="18">
        <f t="shared" si="8"/>
        <v>93</v>
      </c>
    </row>
    <row r="107" spans="1:3">
      <c r="A107" s="185" t="s">
        <v>248</v>
      </c>
      <c r="B107" s="186">
        <v>45</v>
      </c>
      <c r="C107" s="18">
        <f t="shared" si="8"/>
        <v>44</v>
      </c>
    </row>
    <row r="108" spans="1:3">
      <c r="A108" s="185" t="s">
        <v>249</v>
      </c>
      <c r="B108" s="186">
        <v>17</v>
      </c>
      <c r="C108" s="18">
        <f t="shared" si="8"/>
        <v>76</v>
      </c>
    </row>
    <row r="109" spans="1:3">
      <c r="A109" s="185"/>
      <c r="B109" s="186"/>
      <c r="C109" s="18" t="str">
        <f t="shared" si="8"/>
        <v/>
      </c>
    </row>
    <row r="110" spans="1:3">
      <c r="A110" s="185"/>
      <c r="B110" s="186"/>
      <c r="C110" s="18" t="str">
        <f t="shared" si="8"/>
        <v/>
      </c>
    </row>
    <row r="111" spans="1:3">
      <c r="A111" s="185"/>
      <c r="B111" s="186"/>
      <c r="C111" s="18" t="str">
        <f t="shared" si="8"/>
        <v/>
      </c>
    </row>
    <row r="112" spans="1:3">
      <c r="A112" s="185"/>
      <c r="B112" s="186"/>
      <c r="C112" s="18" t="str">
        <f t="shared" si="8"/>
        <v/>
      </c>
    </row>
    <row r="113" spans="1:3">
      <c r="A113" s="185"/>
      <c r="B113" s="186"/>
      <c r="C113" s="18" t="str">
        <f t="shared" si="8"/>
        <v/>
      </c>
    </row>
    <row r="114" spans="1:3">
      <c r="A114" s="185"/>
      <c r="B114" s="186"/>
      <c r="C114" s="18" t="str">
        <f t="shared" si="8"/>
        <v/>
      </c>
    </row>
    <row r="115" spans="1:3">
      <c r="A115" s="185"/>
      <c r="B115" s="186"/>
      <c r="C115" s="18" t="str">
        <f t="shared" si="8"/>
        <v/>
      </c>
    </row>
    <row r="116" spans="1:3">
      <c r="A116" s="185"/>
      <c r="B116" s="186"/>
      <c r="C116" s="18" t="str">
        <f t="shared" si="8"/>
        <v/>
      </c>
    </row>
    <row r="117" spans="1:3">
      <c r="A117" s="185"/>
      <c r="B117" s="186"/>
      <c r="C117" s="18" t="str">
        <f t="shared" si="8"/>
        <v/>
      </c>
    </row>
    <row r="118" spans="1:3">
      <c r="A118" s="185"/>
      <c r="B118" s="186"/>
      <c r="C118" s="18" t="str">
        <f t="shared" si="8"/>
        <v/>
      </c>
    </row>
    <row r="119" spans="1:3">
      <c r="A119" s="185"/>
      <c r="B119" s="186"/>
      <c r="C119" s="18" t="str">
        <f t="shared" si="8"/>
        <v/>
      </c>
    </row>
    <row r="120" spans="1:3">
      <c r="A120" s="185"/>
      <c r="B120" s="186"/>
      <c r="C120" s="18" t="str">
        <f t="shared" si="8"/>
        <v/>
      </c>
    </row>
    <row r="121" spans="1:3">
      <c r="A121" s="185"/>
      <c r="B121" s="186"/>
      <c r="C121" s="18" t="str">
        <f t="shared" si="8"/>
        <v/>
      </c>
    </row>
    <row r="122" spans="1:3">
      <c r="A122" s="185"/>
      <c r="B122" s="186"/>
      <c r="C122" s="18" t="str">
        <f t="shared" si="8"/>
        <v/>
      </c>
    </row>
    <row r="123" spans="1:3">
      <c r="A123" s="185"/>
      <c r="B123" s="186"/>
      <c r="C123" s="18" t="str">
        <f t="shared" si="8"/>
        <v/>
      </c>
    </row>
    <row r="124" spans="1:3">
      <c r="A124" s="185"/>
      <c r="B124" s="186"/>
      <c r="C124" s="18" t="str">
        <f t="shared" si="8"/>
        <v/>
      </c>
    </row>
    <row r="125" spans="1:3">
      <c r="A125" s="185"/>
      <c r="B125" s="186"/>
      <c r="C125" s="18" t="str">
        <f t="shared" si="8"/>
        <v/>
      </c>
    </row>
    <row r="126" spans="1:3">
      <c r="A126" s="185"/>
      <c r="B126" s="186"/>
      <c r="C126" s="18" t="str">
        <f t="shared" si="8"/>
        <v/>
      </c>
    </row>
    <row r="127" spans="1:3">
      <c r="A127" s="185"/>
      <c r="B127" s="186"/>
      <c r="C127" s="18" t="str">
        <f t="shared" si="8"/>
        <v/>
      </c>
    </row>
    <row r="128" spans="1:3">
      <c r="A128" s="185"/>
      <c r="B128" s="186"/>
      <c r="C128" s="18" t="str">
        <f t="shared" si="8"/>
        <v/>
      </c>
    </row>
    <row r="129" spans="1:3">
      <c r="A129" s="185"/>
      <c r="B129" s="186"/>
      <c r="C129" s="18" t="str">
        <f t="shared" si="8"/>
        <v/>
      </c>
    </row>
    <row r="130" spans="1:3">
      <c r="A130" s="185"/>
      <c r="B130" s="186"/>
      <c r="C130" s="18" t="str">
        <f t="shared" si="8"/>
        <v/>
      </c>
    </row>
    <row r="131" spans="1:3">
      <c r="A131" s="185"/>
      <c r="B131" s="186"/>
      <c r="C131" s="18" t="str">
        <f t="shared" si="8"/>
        <v/>
      </c>
    </row>
    <row r="132" spans="1:3">
      <c r="A132" s="185"/>
      <c r="B132" s="186"/>
      <c r="C132" s="18" t="str">
        <f t="shared" si="8"/>
        <v/>
      </c>
    </row>
    <row r="133" spans="1:3">
      <c r="A133" s="185"/>
      <c r="B133" s="186"/>
      <c r="C133" s="18" t="str">
        <f t="shared" si="8"/>
        <v/>
      </c>
    </row>
    <row r="134" spans="1:3">
      <c r="A134" s="185"/>
      <c r="B134" s="186"/>
      <c r="C134" s="18" t="str">
        <f t="shared" ref="C134:C197" si="9">IF(B134="","",RANK(B134,B:B,0))</f>
        <v/>
      </c>
    </row>
    <row r="135" spans="1:3">
      <c r="A135" s="185"/>
      <c r="B135" s="186"/>
      <c r="C135" s="18" t="str">
        <f t="shared" si="9"/>
        <v/>
      </c>
    </row>
    <row r="136" spans="1:3">
      <c r="A136" s="185"/>
      <c r="B136" s="186"/>
      <c r="C136" s="18" t="str">
        <f t="shared" si="9"/>
        <v/>
      </c>
    </row>
    <row r="137" spans="1:3">
      <c r="A137" s="185"/>
      <c r="B137" s="186"/>
      <c r="C137" s="18" t="str">
        <f t="shared" si="9"/>
        <v/>
      </c>
    </row>
    <row r="138" spans="1:3">
      <c r="A138" s="185"/>
      <c r="B138" s="186"/>
      <c r="C138" s="18" t="str">
        <f t="shared" si="9"/>
        <v/>
      </c>
    </row>
    <row r="139" spans="1:3">
      <c r="A139" s="185"/>
      <c r="B139" s="186"/>
      <c r="C139" s="18" t="str">
        <f t="shared" si="9"/>
        <v/>
      </c>
    </row>
    <row r="140" spans="1:3">
      <c r="A140" s="185"/>
      <c r="B140" s="186"/>
      <c r="C140" s="18" t="str">
        <f t="shared" si="9"/>
        <v/>
      </c>
    </row>
    <row r="141" spans="1:3">
      <c r="A141" s="185"/>
      <c r="B141" s="186"/>
      <c r="C141" s="18" t="str">
        <f t="shared" si="9"/>
        <v/>
      </c>
    </row>
    <row r="142" spans="1:3">
      <c r="A142" s="185"/>
      <c r="B142" s="186"/>
      <c r="C142" s="18" t="str">
        <f t="shared" si="9"/>
        <v/>
      </c>
    </row>
    <row r="143" spans="1:3">
      <c r="A143" s="185"/>
      <c r="B143" s="186"/>
      <c r="C143" s="18" t="str">
        <f t="shared" si="9"/>
        <v/>
      </c>
    </row>
    <row r="144" spans="1:3">
      <c r="A144" s="185"/>
      <c r="B144" s="186"/>
      <c r="C144" s="18" t="str">
        <f t="shared" si="9"/>
        <v/>
      </c>
    </row>
    <row r="145" spans="1:3">
      <c r="A145" s="185"/>
      <c r="B145" s="186"/>
      <c r="C145" s="18" t="str">
        <f t="shared" si="9"/>
        <v/>
      </c>
    </row>
    <row r="146" spans="1:3">
      <c r="A146" s="185"/>
      <c r="B146" s="186"/>
      <c r="C146" s="18" t="str">
        <f t="shared" si="9"/>
        <v/>
      </c>
    </row>
    <row r="147" spans="1:3">
      <c r="A147" s="185"/>
      <c r="B147" s="186"/>
      <c r="C147" s="18" t="str">
        <f t="shared" si="9"/>
        <v/>
      </c>
    </row>
    <row r="148" spans="1:3">
      <c r="A148" s="185"/>
      <c r="B148" s="186"/>
      <c r="C148" s="18" t="str">
        <f t="shared" si="9"/>
        <v/>
      </c>
    </row>
    <row r="149" spans="1:3">
      <c r="A149" s="185"/>
      <c r="B149" s="186"/>
      <c r="C149" s="18" t="str">
        <f t="shared" si="9"/>
        <v/>
      </c>
    </row>
    <row r="150" spans="1:3">
      <c r="A150" s="185"/>
      <c r="B150" s="186"/>
      <c r="C150" s="18" t="str">
        <f t="shared" si="9"/>
        <v/>
      </c>
    </row>
    <row r="151" spans="1:3">
      <c r="A151" s="185"/>
      <c r="B151" s="186"/>
      <c r="C151" s="18" t="str">
        <f t="shared" si="9"/>
        <v/>
      </c>
    </row>
    <row r="152" spans="1:3">
      <c r="A152" s="185"/>
      <c r="B152" s="186"/>
      <c r="C152" s="18" t="str">
        <f t="shared" si="9"/>
        <v/>
      </c>
    </row>
    <row r="153" spans="1:3">
      <c r="A153" s="185"/>
      <c r="B153" s="186"/>
      <c r="C153" s="18" t="str">
        <f t="shared" si="9"/>
        <v/>
      </c>
    </row>
    <row r="154" spans="1:3">
      <c r="A154" s="185"/>
      <c r="B154" s="186"/>
      <c r="C154" s="18" t="str">
        <f t="shared" si="9"/>
        <v/>
      </c>
    </row>
    <row r="155" spans="1:3">
      <c r="A155" s="185"/>
      <c r="B155" s="186"/>
      <c r="C155" s="18" t="str">
        <f t="shared" si="9"/>
        <v/>
      </c>
    </row>
    <row r="156" spans="1:3">
      <c r="A156" s="185"/>
      <c r="B156" s="186"/>
      <c r="C156" s="18" t="str">
        <f t="shared" si="9"/>
        <v/>
      </c>
    </row>
    <row r="157" spans="1:3">
      <c r="A157" s="185"/>
      <c r="B157" s="186"/>
      <c r="C157" s="18" t="str">
        <f t="shared" si="9"/>
        <v/>
      </c>
    </row>
    <row r="158" spans="1:3">
      <c r="A158" s="185"/>
      <c r="B158" s="186"/>
      <c r="C158" s="18" t="str">
        <f t="shared" si="9"/>
        <v/>
      </c>
    </row>
    <row r="159" spans="1:3">
      <c r="A159" s="185"/>
      <c r="B159" s="186"/>
      <c r="C159" s="18" t="str">
        <f t="shared" si="9"/>
        <v/>
      </c>
    </row>
    <row r="160" spans="1:3">
      <c r="A160" s="185"/>
      <c r="B160" s="186"/>
      <c r="C160" s="18" t="str">
        <f t="shared" si="9"/>
        <v/>
      </c>
    </row>
    <row r="161" spans="1:3">
      <c r="A161" s="185"/>
      <c r="B161" s="186"/>
      <c r="C161" s="18" t="str">
        <f t="shared" si="9"/>
        <v/>
      </c>
    </row>
    <row r="162" spans="1:3">
      <c r="A162" s="185"/>
      <c r="B162" s="186"/>
      <c r="C162" s="18" t="str">
        <f t="shared" si="9"/>
        <v/>
      </c>
    </row>
    <row r="163" spans="1:3">
      <c r="A163" s="185"/>
      <c r="B163" s="186"/>
      <c r="C163" s="18" t="str">
        <f t="shared" si="9"/>
        <v/>
      </c>
    </row>
    <row r="164" spans="1:3">
      <c r="A164" s="185"/>
      <c r="B164" s="186"/>
      <c r="C164" s="18" t="str">
        <f t="shared" si="9"/>
        <v/>
      </c>
    </row>
    <row r="165" spans="1:3">
      <c r="A165" s="185"/>
      <c r="B165" s="186"/>
      <c r="C165" s="18" t="str">
        <f t="shared" si="9"/>
        <v/>
      </c>
    </row>
    <row r="166" spans="1:3">
      <c r="A166" s="185"/>
      <c r="B166" s="186"/>
      <c r="C166" s="18" t="str">
        <f t="shared" si="9"/>
        <v/>
      </c>
    </row>
    <row r="167" spans="1:3">
      <c r="A167" s="185"/>
      <c r="B167" s="186"/>
      <c r="C167" s="18" t="str">
        <f t="shared" si="9"/>
        <v/>
      </c>
    </row>
    <row r="168" spans="1:3">
      <c r="A168" s="185"/>
      <c r="B168" s="186"/>
      <c r="C168" s="18" t="str">
        <f t="shared" si="9"/>
        <v/>
      </c>
    </row>
    <row r="169" spans="1:3">
      <c r="A169" s="185"/>
      <c r="B169" s="186"/>
      <c r="C169" s="18" t="str">
        <f t="shared" si="9"/>
        <v/>
      </c>
    </row>
    <row r="170" spans="1:3">
      <c r="A170" s="185"/>
      <c r="B170" s="186"/>
      <c r="C170" s="18" t="str">
        <f t="shared" si="9"/>
        <v/>
      </c>
    </row>
    <row r="171" spans="1:3">
      <c r="A171" s="185"/>
      <c r="B171" s="186"/>
      <c r="C171" s="18" t="str">
        <f t="shared" si="9"/>
        <v/>
      </c>
    </row>
    <row r="172" spans="1:3">
      <c r="A172" s="185"/>
      <c r="B172" s="186"/>
      <c r="C172" s="18" t="str">
        <f t="shared" si="9"/>
        <v/>
      </c>
    </row>
    <row r="173" spans="1:3">
      <c r="A173" s="185"/>
      <c r="B173" s="186"/>
      <c r="C173" s="18" t="str">
        <f t="shared" si="9"/>
        <v/>
      </c>
    </row>
    <row r="174" spans="1:3">
      <c r="A174" s="185"/>
      <c r="B174" s="186"/>
      <c r="C174" s="18" t="str">
        <f t="shared" si="9"/>
        <v/>
      </c>
    </row>
    <row r="175" spans="1:3">
      <c r="A175" s="185"/>
      <c r="B175" s="186"/>
      <c r="C175" s="18" t="str">
        <f t="shared" si="9"/>
        <v/>
      </c>
    </row>
    <row r="176" spans="1:3">
      <c r="A176" s="185"/>
      <c r="B176" s="186"/>
      <c r="C176" s="18" t="str">
        <f t="shared" si="9"/>
        <v/>
      </c>
    </row>
    <row r="177" spans="1:3">
      <c r="A177" s="185"/>
      <c r="B177" s="186"/>
      <c r="C177" s="18" t="str">
        <f t="shared" si="9"/>
        <v/>
      </c>
    </row>
    <row r="178" spans="1:3">
      <c r="A178" s="185"/>
      <c r="B178" s="186"/>
      <c r="C178" s="18" t="str">
        <f t="shared" si="9"/>
        <v/>
      </c>
    </row>
    <row r="179" spans="1:3">
      <c r="A179" s="185"/>
      <c r="B179" s="186"/>
      <c r="C179" s="18" t="str">
        <f t="shared" si="9"/>
        <v/>
      </c>
    </row>
    <row r="180" spans="1:3">
      <c r="A180" s="185"/>
      <c r="B180" s="186"/>
      <c r="C180" s="18" t="str">
        <f t="shared" si="9"/>
        <v/>
      </c>
    </row>
    <row r="181" spans="1:3">
      <c r="A181" s="185"/>
      <c r="B181" s="186"/>
      <c r="C181" s="18" t="str">
        <f t="shared" si="9"/>
        <v/>
      </c>
    </row>
    <row r="182" spans="1:3">
      <c r="A182" s="185"/>
      <c r="B182" s="186"/>
      <c r="C182" s="18" t="str">
        <f t="shared" si="9"/>
        <v/>
      </c>
    </row>
    <row r="183" spans="1:3">
      <c r="A183" s="185"/>
      <c r="B183" s="186"/>
      <c r="C183" s="18" t="str">
        <f t="shared" si="9"/>
        <v/>
      </c>
    </row>
    <row r="184" spans="1:3">
      <c r="A184" s="185"/>
      <c r="B184" s="186"/>
      <c r="C184" s="18" t="str">
        <f t="shared" si="9"/>
        <v/>
      </c>
    </row>
    <row r="185" spans="1:3">
      <c r="A185" s="185"/>
      <c r="B185" s="186"/>
      <c r="C185" s="18" t="str">
        <f t="shared" si="9"/>
        <v/>
      </c>
    </row>
    <row r="186" spans="1:3">
      <c r="A186" s="185"/>
      <c r="B186" s="186"/>
      <c r="C186" s="18" t="str">
        <f t="shared" si="9"/>
        <v/>
      </c>
    </row>
    <row r="187" spans="1:3">
      <c r="A187" s="185"/>
      <c r="B187" s="186"/>
      <c r="C187" s="18" t="str">
        <f t="shared" si="9"/>
        <v/>
      </c>
    </row>
    <row r="188" spans="1:3">
      <c r="A188" s="185"/>
      <c r="B188" s="186"/>
      <c r="C188" s="18" t="str">
        <f t="shared" si="9"/>
        <v/>
      </c>
    </row>
    <row r="189" spans="1:3">
      <c r="A189" s="185"/>
      <c r="B189" s="186"/>
      <c r="C189" s="18" t="str">
        <f t="shared" si="9"/>
        <v/>
      </c>
    </row>
    <row r="190" spans="1:3">
      <c r="A190" s="185"/>
      <c r="B190" s="186"/>
      <c r="C190" s="18" t="str">
        <f t="shared" si="9"/>
        <v/>
      </c>
    </row>
    <row r="191" spans="1:3">
      <c r="A191" s="185"/>
      <c r="B191" s="186"/>
      <c r="C191" s="18" t="str">
        <f t="shared" si="9"/>
        <v/>
      </c>
    </row>
    <row r="192" spans="1:3">
      <c r="A192" s="185"/>
      <c r="B192" s="186"/>
      <c r="C192" s="18" t="str">
        <f t="shared" si="9"/>
        <v/>
      </c>
    </row>
    <row r="193" spans="1:3">
      <c r="A193" s="185"/>
      <c r="B193" s="186"/>
      <c r="C193" s="18" t="str">
        <f t="shared" si="9"/>
        <v/>
      </c>
    </row>
    <row r="194" spans="1:3">
      <c r="A194" s="185"/>
      <c r="B194" s="186"/>
      <c r="C194" s="18" t="str">
        <f t="shared" si="9"/>
        <v/>
      </c>
    </row>
    <row r="195" spans="1:3">
      <c r="A195" s="185"/>
      <c r="B195" s="186"/>
      <c r="C195" s="18" t="str">
        <f t="shared" si="9"/>
        <v/>
      </c>
    </row>
    <row r="196" spans="1:3">
      <c r="A196" s="185"/>
      <c r="B196" s="186"/>
      <c r="C196" s="18" t="str">
        <f t="shared" si="9"/>
        <v/>
      </c>
    </row>
    <row r="197" spans="1:3">
      <c r="A197" s="185"/>
      <c r="B197" s="186"/>
      <c r="C197" s="18" t="str">
        <f t="shared" si="9"/>
        <v/>
      </c>
    </row>
    <row r="198" spans="1:3">
      <c r="A198" s="185"/>
      <c r="B198" s="186"/>
      <c r="C198" s="18" t="str">
        <f t="shared" ref="C198:C261" si="10">IF(B198="","",RANK(B198,B:B,0))</f>
        <v/>
      </c>
    </row>
    <row r="199" spans="1:3">
      <c r="A199" s="185"/>
      <c r="B199" s="186"/>
      <c r="C199" s="18" t="str">
        <f t="shared" si="10"/>
        <v/>
      </c>
    </row>
    <row r="200" spans="1:3">
      <c r="A200" s="185"/>
      <c r="B200" s="186"/>
      <c r="C200" s="18" t="str">
        <f t="shared" si="10"/>
        <v/>
      </c>
    </row>
    <row r="201" spans="1:3">
      <c r="A201" s="185"/>
      <c r="B201" s="186"/>
      <c r="C201" s="18" t="str">
        <f t="shared" si="10"/>
        <v/>
      </c>
    </row>
    <row r="202" spans="1:3">
      <c r="A202" s="185"/>
      <c r="B202" s="186"/>
      <c r="C202" s="18" t="str">
        <f t="shared" si="10"/>
        <v/>
      </c>
    </row>
    <row r="203" spans="1:3">
      <c r="A203" s="185"/>
      <c r="B203" s="186"/>
      <c r="C203" s="18" t="str">
        <f t="shared" si="10"/>
        <v/>
      </c>
    </row>
    <row r="204" spans="1:3">
      <c r="A204" s="185"/>
      <c r="B204" s="186"/>
      <c r="C204" s="18" t="str">
        <f t="shared" si="10"/>
        <v/>
      </c>
    </row>
    <row r="205" spans="1:3">
      <c r="A205" s="185"/>
      <c r="B205" s="186"/>
      <c r="C205" s="18" t="str">
        <f t="shared" si="10"/>
        <v/>
      </c>
    </row>
    <row r="206" spans="1:3">
      <c r="A206" s="185"/>
      <c r="B206" s="186"/>
      <c r="C206" s="18" t="str">
        <f t="shared" si="10"/>
        <v/>
      </c>
    </row>
    <row r="207" spans="1:3">
      <c r="A207" s="185"/>
      <c r="B207" s="186"/>
      <c r="C207" s="18" t="str">
        <f t="shared" si="10"/>
        <v/>
      </c>
    </row>
    <row r="208" spans="1:3">
      <c r="A208" s="185"/>
      <c r="B208" s="186"/>
      <c r="C208" s="18" t="str">
        <f t="shared" si="10"/>
        <v/>
      </c>
    </row>
    <row r="209" spans="1:3">
      <c r="A209" s="185"/>
      <c r="B209" s="186"/>
      <c r="C209" s="18" t="str">
        <f t="shared" si="10"/>
        <v/>
      </c>
    </row>
    <row r="210" spans="1:3">
      <c r="A210" s="185"/>
      <c r="B210" s="186"/>
      <c r="C210" s="18" t="str">
        <f t="shared" si="10"/>
        <v/>
      </c>
    </row>
    <row r="211" spans="1:3">
      <c r="A211" s="185"/>
      <c r="B211" s="186"/>
      <c r="C211" s="18" t="str">
        <f t="shared" si="10"/>
        <v/>
      </c>
    </row>
    <row r="212" spans="1:3">
      <c r="A212" s="185"/>
      <c r="B212" s="186"/>
      <c r="C212" s="18" t="str">
        <f t="shared" si="10"/>
        <v/>
      </c>
    </row>
    <row r="213" spans="1:3">
      <c r="A213" s="185"/>
      <c r="B213" s="186"/>
      <c r="C213" s="18" t="str">
        <f t="shared" si="10"/>
        <v/>
      </c>
    </row>
    <row r="214" spans="1:3">
      <c r="A214" s="185"/>
      <c r="B214" s="186"/>
      <c r="C214" s="18" t="str">
        <f t="shared" si="10"/>
        <v/>
      </c>
    </row>
    <row r="215" spans="1:3">
      <c r="A215" s="185"/>
      <c r="B215" s="186"/>
      <c r="C215" s="18" t="str">
        <f t="shared" si="10"/>
        <v/>
      </c>
    </row>
    <row r="216" spans="1:3">
      <c r="A216" s="185"/>
      <c r="B216" s="186"/>
      <c r="C216" s="18" t="str">
        <f t="shared" si="10"/>
        <v/>
      </c>
    </row>
    <row r="217" spans="1:3">
      <c r="A217" s="185"/>
      <c r="B217" s="186"/>
      <c r="C217" s="18" t="str">
        <f t="shared" si="10"/>
        <v/>
      </c>
    </row>
    <row r="218" spans="1:3">
      <c r="A218" s="185"/>
      <c r="B218" s="186"/>
      <c r="C218" s="18" t="str">
        <f t="shared" si="10"/>
        <v/>
      </c>
    </row>
    <row r="219" spans="1:3">
      <c r="A219" s="185"/>
      <c r="B219" s="186"/>
      <c r="C219" s="18" t="str">
        <f t="shared" si="10"/>
        <v/>
      </c>
    </row>
    <row r="220" spans="1:3">
      <c r="A220" s="185"/>
      <c r="B220" s="186"/>
      <c r="C220" s="18" t="str">
        <f t="shared" si="10"/>
        <v/>
      </c>
    </row>
    <row r="221" spans="1:3">
      <c r="A221" s="185"/>
      <c r="B221" s="186"/>
      <c r="C221" s="18" t="str">
        <f t="shared" si="10"/>
        <v/>
      </c>
    </row>
    <row r="222" spans="1:3">
      <c r="A222" s="185"/>
      <c r="B222" s="186"/>
      <c r="C222" s="18" t="str">
        <f t="shared" si="10"/>
        <v/>
      </c>
    </row>
    <row r="223" spans="1:3">
      <c r="A223" s="185"/>
      <c r="B223" s="186"/>
      <c r="C223" s="18" t="str">
        <f t="shared" si="10"/>
        <v/>
      </c>
    </row>
    <row r="224" spans="1:3">
      <c r="A224" s="185"/>
      <c r="B224" s="186"/>
      <c r="C224" s="18" t="str">
        <f t="shared" si="10"/>
        <v/>
      </c>
    </row>
    <row r="225" spans="1:3">
      <c r="A225" s="185"/>
      <c r="B225" s="186"/>
      <c r="C225" s="18" t="str">
        <f t="shared" si="10"/>
        <v/>
      </c>
    </row>
    <row r="226" spans="1:3">
      <c r="A226" s="185"/>
      <c r="B226" s="186"/>
      <c r="C226" s="18" t="str">
        <f t="shared" si="10"/>
        <v/>
      </c>
    </row>
    <row r="227" spans="1:3">
      <c r="A227" s="185"/>
      <c r="B227" s="186"/>
      <c r="C227" s="18" t="str">
        <f t="shared" si="10"/>
        <v/>
      </c>
    </row>
    <row r="228" spans="1:3">
      <c r="A228" s="185"/>
      <c r="B228" s="186"/>
      <c r="C228" s="18" t="str">
        <f t="shared" si="10"/>
        <v/>
      </c>
    </row>
    <row r="229" spans="1:3">
      <c r="A229" s="185"/>
      <c r="B229" s="186"/>
      <c r="C229" s="18" t="str">
        <f t="shared" si="10"/>
        <v/>
      </c>
    </row>
    <row r="230" spans="1:3">
      <c r="A230" s="185"/>
      <c r="B230" s="186"/>
      <c r="C230" s="18" t="str">
        <f t="shared" si="10"/>
        <v/>
      </c>
    </row>
    <row r="231" spans="1:3">
      <c r="A231" s="185"/>
      <c r="B231" s="186"/>
      <c r="C231" s="18" t="str">
        <f t="shared" si="10"/>
        <v/>
      </c>
    </row>
    <row r="232" spans="1:3">
      <c r="A232" s="185"/>
      <c r="B232" s="186"/>
      <c r="C232" s="18" t="str">
        <f t="shared" si="10"/>
        <v/>
      </c>
    </row>
    <row r="233" spans="1:3">
      <c r="A233" s="185"/>
      <c r="B233" s="186"/>
      <c r="C233" s="18" t="str">
        <f t="shared" si="10"/>
        <v/>
      </c>
    </row>
    <row r="234" spans="1:3">
      <c r="A234" s="240"/>
      <c r="B234" s="241"/>
      <c r="C234" s="18" t="str">
        <f t="shared" si="10"/>
        <v/>
      </c>
    </row>
    <row r="235" spans="1:3">
      <c r="A235" s="240"/>
      <c r="B235" s="241"/>
      <c r="C235" s="18" t="str">
        <f t="shared" si="10"/>
        <v/>
      </c>
    </row>
    <row r="236" spans="1:3">
      <c r="A236" s="240"/>
      <c r="B236" s="241"/>
      <c r="C236" s="18" t="str">
        <f t="shared" si="10"/>
        <v/>
      </c>
    </row>
    <row r="237" spans="1:3">
      <c r="A237" s="240"/>
      <c r="B237" s="241"/>
      <c r="C237" s="18" t="str">
        <f t="shared" si="10"/>
        <v/>
      </c>
    </row>
    <row r="238" spans="1:3">
      <c r="A238" s="240"/>
      <c r="B238" s="241"/>
      <c r="C238" s="18" t="str">
        <f t="shared" si="10"/>
        <v/>
      </c>
    </row>
    <row r="239" spans="1:3">
      <c r="A239" s="240"/>
      <c r="B239" s="241"/>
      <c r="C239" s="18" t="str">
        <f t="shared" si="10"/>
        <v/>
      </c>
    </row>
    <row r="240" spans="1:3">
      <c r="A240" s="240"/>
      <c r="B240" s="241"/>
      <c r="C240" s="18" t="str">
        <f t="shared" si="10"/>
        <v/>
      </c>
    </row>
    <row r="241" spans="1:3">
      <c r="A241" s="240"/>
      <c r="B241" s="241"/>
      <c r="C241" s="18" t="str">
        <f t="shared" si="10"/>
        <v/>
      </c>
    </row>
    <row r="242" spans="1:3">
      <c r="A242" s="240"/>
      <c r="B242" s="241"/>
      <c r="C242" s="18" t="str">
        <f t="shared" si="10"/>
        <v/>
      </c>
    </row>
    <row r="243" spans="1:3">
      <c r="A243" s="240"/>
      <c r="B243" s="241"/>
      <c r="C243" s="18" t="str">
        <f t="shared" si="10"/>
        <v/>
      </c>
    </row>
    <row r="244" spans="1:3">
      <c r="A244" s="240"/>
      <c r="B244" s="241"/>
      <c r="C244" s="18" t="str">
        <f t="shared" si="10"/>
        <v/>
      </c>
    </row>
    <row r="245" spans="1:3">
      <c r="A245" s="240"/>
      <c r="B245" s="241"/>
      <c r="C245" s="18" t="str">
        <f t="shared" si="10"/>
        <v/>
      </c>
    </row>
    <row r="246" spans="1:3">
      <c r="A246" s="240"/>
      <c r="B246" s="241"/>
      <c r="C246" s="18" t="str">
        <f t="shared" si="10"/>
        <v/>
      </c>
    </row>
    <row r="247" spans="1:3">
      <c r="A247" s="240"/>
      <c r="B247" s="241"/>
      <c r="C247" s="18" t="str">
        <f t="shared" si="10"/>
        <v/>
      </c>
    </row>
    <row r="248" spans="1:3">
      <c r="A248" s="240"/>
      <c r="B248" s="241"/>
      <c r="C248" s="18" t="str">
        <f t="shared" si="10"/>
        <v/>
      </c>
    </row>
    <row r="249" spans="1:3">
      <c r="A249" s="240"/>
      <c r="B249" s="241"/>
      <c r="C249" s="18" t="str">
        <f t="shared" si="10"/>
        <v/>
      </c>
    </row>
    <row r="250" spans="1:3">
      <c r="A250" s="240"/>
      <c r="B250" s="241"/>
      <c r="C250" s="18" t="str">
        <f t="shared" si="10"/>
        <v/>
      </c>
    </row>
    <row r="251" spans="1:3">
      <c r="A251" s="240"/>
      <c r="B251" s="241"/>
      <c r="C251" s="18" t="str">
        <f t="shared" si="10"/>
        <v/>
      </c>
    </row>
    <row r="252" spans="1:3">
      <c r="A252" s="240"/>
      <c r="B252" s="241"/>
      <c r="C252" s="18" t="str">
        <f t="shared" si="10"/>
        <v/>
      </c>
    </row>
    <row r="253" spans="1:3">
      <c r="A253" s="240"/>
      <c r="B253" s="241"/>
      <c r="C253" s="18" t="str">
        <f t="shared" si="10"/>
        <v/>
      </c>
    </row>
    <row r="254" spans="1:3">
      <c r="A254" s="240"/>
      <c r="B254" s="241"/>
      <c r="C254" s="18" t="str">
        <f t="shared" si="10"/>
        <v/>
      </c>
    </row>
    <row r="255" spans="1:3">
      <c r="A255" s="240"/>
      <c r="B255" s="241"/>
      <c r="C255" s="18" t="str">
        <f t="shared" si="10"/>
        <v/>
      </c>
    </row>
    <row r="256" spans="1:3">
      <c r="A256" s="240"/>
      <c r="B256" s="241"/>
      <c r="C256" s="18" t="str">
        <f t="shared" si="10"/>
        <v/>
      </c>
    </row>
    <row r="257" spans="1:3">
      <c r="A257" s="240"/>
      <c r="B257" s="241"/>
      <c r="C257" s="18" t="str">
        <f t="shared" si="10"/>
        <v/>
      </c>
    </row>
    <row r="258" spans="1:3">
      <c r="A258" s="240"/>
      <c r="B258" s="241"/>
      <c r="C258" s="18" t="str">
        <f t="shared" si="10"/>
        <v/>
      </c>
    </row>
    <row r="259" spans="1:3">
      <c r="A259" s="240"/>
      <c r="B259" s="241"/>
      <c r="C259" s="18" t="str">
        <f t="shared" si="10"/>
        <v/>
      </c>
    </row>
    <row r="260" spans="1:3">
      <c r="A260" s="240"/>
      <c r="B260" s="241"/>
      <c r="C260" s="18" t="str">
        <f t="shared" si="10"/>
        <v/>
      </c>
    </row>
    <row r="261" spans="1:3">
      <c r="A261" s="240"/>
      <c r="B261" s="241"/>
      <c r="C261" s="18" t="str">
        <f t="shared" si="10"/>
        <v/>
      </c>
    </row>
    <row r="262" spans="1:3">
      <c r="A262" s="240"/>
      <c r="B262" s="241"/>
      <c r="C262" s="18" t="str">
        <f t="shared" ref="C262:C288" si="11">IF(B262="","",RANK(B262,B:B,0))</f>
        <v/>
      </c>
    </row>
    <row r="263" spans="1:3">
      <c r="A263" s="240"/>
      <c r="B263" s="241"/>
      <c r="C263" s="18" t="str">
        <f t="shared" si="11"/>
        <v/>
      </c>
    </row>
    <row r="264" spans="1:3">
      <c r="A264" s="240"/>
      <c r="B264" s="241"/>
      <c r="C264" s="18" t="str">
        <f t="shared" si="11"/>
        <v/>
      </c>
    </row>
    <row r="265" spans="1:3">
      <c r="A265" s="240"/>
      <c r="B265" s="241"/>
      <c r="C265" s="18" t="str">
        <f t="shared" si="11"/>
        <v/>
      </c>
    </row>
    <row r="266" spans="1:3">
      <c r="A266" s="240"/>
      <c r="B266" s="241"/>
      <c r="C266" s="18" t="str">
        <f t="shared" si="11"/>
        <v/>
      </c>
    </row>
    <row r="267" spans="1:3">
      <c r="A267" s="240"/>
      <c r="B267" s="241"/>
      <c r="C267" s="18" t="str">
        <f t="shared" si="11"/>
        <v/>
      </c>
    </row>
    <row r="268" spans="1:3">
      <c r="A268" s="240"/>
      <c r="B268" s="241"/>
      <c r="C268" s="18" t="str">
        <f t="shared" si="11"/>
        <v/>
      </c>
    </row>
    <row r="269" spans="1:3">
      <c r="A269" s="240"/>
      <c r="B269" s="241"/>
      <c r="C269" s="18" t="str">
        <f t="shared" si="11"/>
        <v/>
      </c>
    </row>
    <row r="270" spans="1:3">
      <c r="A270" s="240"/>
      <c r="B270" s="241"/>
      <c r="C270" s="18" t="str">
        <f t="shared" si="11"/>
        <v/>
      </c>
    </row>
    <row r="271" spans="1:3">
      <c r="A271" s="240"/>
      <c r="B271" s="241"/>
      <c r="C271" s="18" t="str">
        <f t="shared" si="11"/>
        <v/>
      </c>
    </row>
    <row r="272" spans="1:3">
      <c r="A272" s="240"/>
      <c r="B272" s="241"/>
      <c r="C272" s="18" t="str">
        <f t="shared" si="11"/>
        <v/>
      </c>
    </row>
    <row r="273" spans="1:3">
      <c r="A273" s="240"/>
      <c r="B273" s="241"/>
      <c r="C273" s="18" t="str">
        <f t="shared" si="11"/>
        <v/>
      </c>
    </row>
    <row r="274" spans="1:3">
      <c r="A274" s="240"/>
      <c r="B274" s="241"/>
      <c r="C274" s="18" t="str">
        <f t="shared" si="11"/>
        <v/>
      </c>
    </row>
    <row r="275" spans="1:3">
      <c r="A275" s="240"/>
      <c r="B275" s="241"/>
      <c r="C275" s="18" t="str">
        <f t="shared" si="11"/>
        <v/>
      </c>
    </row>
    <row r="276" spans="1:3">
      <c r="A276" s="240"/>
      <c r="B276" s="241"/>
      <c r="C276" s="18" t="str">
        <f t="shared" si="11"/>
        <v/>
      </c>
    </row>
    <row r="277" spans="1:3">
      <c r="A277" s="240"/>
      <c r="B277" s="241"/>
      <c r="C277" s="18" t="str">
        <f t="shared" si="11"/>
        <v/>
      </c>
    </row>
    <row r="278" spans="1:3">
      <c r="A278" s="240"/>
      <c r="B278" s="241"/>
      <c r="C278" s="18" t="str">
        <f t="shared" si="11"/>
        <v/>
      </c>
    </row>
    <row r="279" spans="1:3">
      <c r="A279" s="240"/>
      <c r="B279" s="241"/>
      <c r="C279" s="18" t="str">
        <f t="shared" si="11"/>
        <v/>
      </c>
    </row>
    <row r="280" spans="1:3">
      <c r="A280" s="240"/>
      <c r="B280" s="241"/>
      <c r="C280" s="18" t="str">
        <f t="shared" si="11"/>
        <v/>
      </c>
    </row>
    <row r="281" spans="1:3">
      <c r="A281" s="240"/>
      <c r="B281" s="241"/>
      <c r="C281" s="18" t="str">
        <f t="shared" si="11"/>
        <v/>
      </c>
    </row>
    <row r="282" spans="1:3">
      <c r="A282" s="240"/>
      <c r="B282" s="241"/>
      <c r="C282" s="18" t="str">
        <f t="shared" si="11"/>
        <v/>
      </c>
    </row>
    <row r="283" spans="1:3">
      <c r="A283" s="240"/>
      <c r="B283" s="241"/>
      <c r="C283" s="18" t="str">
        <f t="shared" si="11"/>
        <v/>
      </c>
    </row>
    <row r="284" spans="1:3">
      <c r="A284" s="240"/>
      <c r="B284" s="241"/>
      <c r="C284" s="18" t="str">
        <f t="shared" si="11"/>
        <v/>
      </c>
    </row>
    <row r="285" spans="1:3">
      <c r="A285" s="240"/>
      <c r="B285" s="241"/>
      <c r="C285" s="18" t="str">
        <f t="shared" si="11"/>
        <v/>
      </c>
    </row>
    <row r="286" spans="1:3">
      <c r="A286" s="240"/>
      <c r="B286" s="241"/>
      <c r="C286" s="18" t="str">
        <f t="shared" si="11"/>
        <v/>
      </c>
    </row>
    <row r="287" spans="1:3">
      <c r="A287" s="240"/>
      <c r="B287" s="241"/>
      <c r="C287" s="18" t="str">
        <f t="shared" si="11"/>
        <v/>
      </c>
    </row>
    <row r="288" spans="1:3" ht="17.25" thickBot="1">
      <c r="A288" s="242"/>
      <c r="B288" s="243"/>
      <c r="C288" s="18" t="str">
        <f t="shared" si="11"/>
        <v/>
      </c>
    </row>
  </sheetData>
  <phoneticPr fontId="2" type="noConversion"/>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4DCAF-1C7E-4694-B82F-3CEBE3480FE1}">
  <sheetPr>
    <tabColor theme="9" tint="0.79998168889431442"/>
  </sheetPr>
  <dimension ref="B3:O11"/>
  <sheetViews>
    <sheetView workbookViewId="0">
      <selection activeCell="H6" sqref="H6:I11"/>
    </sheetView>
  </sheetViews>
  <sheetFormatPr defaultRowHeight="16.5"/>
  <cols>
    <col min="2" max="3" width="16.125" customWidth="1"/>
    <col min="5" max="6" width="16.125" customWidth="1"/>
    <col min="8" max="9" width="16.125" customWidth="1"/>
    <col min="11" max="12" width="16.125" customWidth="1"/>
    <col min="14" max="15" width="16.125" customWidth="1"/>
  </cols>
  <sheetData>
    <row r="3" spans="2:15" ht="17.25" thickBot="1"/>
    <row r="4" spans="2:15">
      <c r="B4" s="370">
        <v>1</v>
      </c>
      <c r="C4" s="371"/>
      <c r="D4" s="125"/>
      <c r="E4" s="370">
        <v>2</v>
      </c>
      <c r="F4" s="371"/>
      <c r="G4" s="125"/>
      <c r="H4" s="370">
        <v>3</v>
      </c>
      <c r="I4" s="371"/>
      <c r="J4" s="125"/>
      <c r="K4" s="370">
        <v>4</v>
      </c>
      <c r="L4" s="371"/>
      <c r="M4" s="125"/>
      <c r="N4" s="370">
        <v>5</v>
      </c>
      <c r="O4" s="371"/>
    </row>
    <row r="5" spans="2:15">
      <c r="B5" s="368" t="s">
        <v>304</v>
      </c>
      <c r="C5" s="369"/>
      <c r="D5" s="125"/>
      <c r="E5" s="368" t="s">
        <v>305</v>
      </c>
      <c r="F5" s="369"/>
      <c r="G5" s="125"/>
      <c r="H5" s="368" t="s">
        <v>306</v>
      </c>
      <c r="I5" s="369"/>
      <c r="J5" s="125"/>
      <c r="K5" s="368" t="s">
        <v>307</v>
      </c>
      <c r="L5" s="369"/>
      <c r="M5" s="125"/>
      <c r="N5" s="368" t="s">
        <v>308</v>
      </c>
      <c r="O5" s="369"/>
    </row>
    <row r="6" spans="2:15">
      <c r="B6" s="374" t="str">
        <f>HYPERLINK(INDEX('contents 추가정보'!$G:$G,MATCH('영상 콘텐츠 지표'!B4,'contents 추가정보'!$H:$H,0)),INDEX('contents 추가정보'!$C:$C,MATCH('영상 콘텐츠 지표'!B4,'contents 추가정보'!$H:$H,0)))</f>
        <v>HBM3E 영상 게재</v>
      </c>
      <c r="C6" s="369"/>
      <c r="D6" s="125"/>
      <c r="E6" s="374" t="str">
        <f>HYPERLINK(INDEX('contents 추가정보'!$G:$G,MATCH('영상 콘텐츠 지표'!E4,'contents 추가정보'!$H:$H,0)),INDEX('contents 추가정보'!$C:$C,MATCH('영상 콘텐츠 지표'!E4,'contents 추가정보'!$H:$H,0)))</f>
        <v>Automotive memory solutions 영상 재게재</v>
      </c>
      <c r="F6" s="369"/>
      <c r="G6" s="125"/>
      <c r="H6" s="374" t="str">
        <f>HYPERLINK(INDEX('contents 추가정보'!$G:$G,MATCH('영상 콘텐츠 지표'!H4,'contents 추가정보'!$H:$H,0)),INDEX('contents 추가정보'!$C:$C,MATCH('영상 콘텐츠 지표'!H4,'contents 추가정보'!$H:$H,0)))</f>
        <v xml:space="preserve">데이터 백업의 날 </v>
      </c>
      <c r="I6" s="369"/>
      <c r="J6" s="125"/>
      <c r="K6" s="374" t="e">
        <f>HYPERLINK(INDEX('contents 추가정보'!$G:$G,MATCH('영상 콘텐츠 지표'!K4,'contents 추가정보'!$H:$H,0)),INDEX('contents 추가정보'!$C:$C,MATCH('영상 콘텐츠 지표'!K4,'contents 추가정보'!$H:$H,0)))</f>
        <v>#N/A</v>
      </c>
      <c r="L6" s="369"/>
      <c r="M6" s="125"/>
      <c r="N6" s="374" t="e">
        <f>HYPERLINK(INDEX('contents 추가정보'!$G:$G,MATCH('영상 콘텐츠 지표'!N4,'contents 추가정보'!$H:$H,0)),INDEX('contents 추가정보'!$C:$C,MATCH('영상 콘텐츠 지표'!N4,'contents 추가정보'!$H:$H,0)))</f>
        <v>#N/A</v>
      </c>
      <c r="O6" s="369"/>
    </row>
    <row r="7" spans="2:15" ht="192" customHeight="1">
      <c r="B7" s="372"/>
      <c r="C7" s="373"/>
      <c r="E7" s="372"/>
      <c r="F7" s="373"/>
      <c r="H7" s="372"/>
      <c r="I7" s="373"/>
      <c r="K7" s="372"/>
      <c r="L7" s="373"/>
      <c r="N7" s="372"/>
      <c r="O7" s="373"/>
    </row>
    <row r="8" spans="2:15">
      <c r="B8" s="8" t="s">
        <v>293</v>
      </c>
      <c r="C8" s="197" t="str">
        <f>TEXT(INDEX(contents!$Z:$Z,MATCH('영상 콘텐츠 지표'!B4,contents!$AB:$AB,0)),"#,###")&amp;"회"</f>
        <v>4,505회</v>
      </c>
      <c r="E8" s="8" t="s">
        <v>293</v>
      </c>
      <c r="F8" s="197" t="str">
        <f>TEXT(INDEX(contents!$Z:$Z,MATCH('영상 콘텐츠 지표'!E4,contents!$AB:$AB,0)),"#,###")&amp;"회"</f>
        <v>737회</v>
      </c>
      <c r="H8" s="8" t="s">
        <v>293</v>
      </c>
      <c r="I8" s="197" t="str">
        <f>TEXT(INDEX(contents!$Z:$Z,MATCH('영상 콘텐츠 지표'!H4,contents!$AB:$AB,0)),"#,###")&amp;"회"</f>
        <v>708회</v>
      </c>
      <c r="K8" s="8" t="s">
        <v>293</v>
      </c>
      <c r="L8" s="197" t="e">
        <f>TEXT(INDEX(contents!$Z:$Z,MATCH('영상 콘텐츠 지표'!K4,contents!$AB:$AB,0)),"#,###")&amp;"회"</f>
        <v>#N/A</v>
      </c>
      <c r="N8" s="8" t="s">
        <v>293</v>
      </c>
      <c r="O8" s="197" t="e">
        <f>TEXT(INDEX(contents!$Z:$Z,MATCH('영상 콘텐츠 지표'!N4,contents!$AB:$AB,0)),"#,###")&amp;"회"</f>
        <v>#N/A</v>
      </c>
    </row>
    <row r="9" spans="2:15">
      <c r="B9" s="8" t="s">
        <v>295</v>
      </c>
      <c r="C9" s="197" t="str">
        <f>TEXT(INDEX(contents!$AC:$AC,MATCH('영상 콘텐츠 지표'!B4,contents!$AB:$AB,0)),"#.0%")</f>
        <v>29.4%</v>
      </c>
      <c r="E9" s="8" t="s">
        <v>295</v>
      </c>
      <c r="F9" s="197" t="str">
        <f>TEXT(INDEX(contents!$AC:$AC,MATCH('영상 콘텐츠 지표'!E4,contents!$AB:$AB,0)),"#.0%")</f>
        <v>18.5%</v>
      </c>
      <c r="H9" s="8" t="s">
        <v>295</v>
      </c>
      <c r="I9" s="197" t="str">
        <f>TEXT(INDEX(contents!$AC:$AC,MATCH('영상 콘텐츠 지표'!H4,contents!$AB:$AB,0)),"#.0%")</f>
        <v>23.4%</v>
      </c>
      <c r="K9" s="8" t="s">
        <v>295</v>
      </c>
      <c r="L9" s="197" t="e">
        <f>TEXT(INDEX(contents!$AC:$AC,MATCH('영상 콘텐츠 지표'!K4,contents!$AB:$AB,0)),"#.0%")</f>
        <v>#N/A</v>
      </c>
      <c r="N9" s="8" t="s">
        <v>295</v>
      </c>
      <c r="O9" s="197" t="e">
        <f>TEXT(INDEX(contents!$AC:$AC,MATCH('영상 콘텐츠 지표'!N4,contents!$AB:$AB,0)),"#.0%")</f>
        <v>#N/A</v>
      </c>
    </row>
    <row r="10" spans="2:15">
      <c r="B10" s="8" t="s">
        <v>122</v>
      </c>
      <c r="C10" s="197" t="str">
        <f>TEXT(INDEX(contents!$O:$O,MATCH('영상 콘텐츠 지표'!B4,contents!$AB:$AB,0)),"#,###")&amp;"회"</f>
        <v>77회</v>
      </c>
      <c r="E10" s="8" t="s">
        <v>122</v>
      </c>
      <c r="F10" s="197" t="str">
        <f>TEXT(INDEX(contents!$O:$O,MATCH('영상 콘텐츠 지표'!E4,contents!$AB:$AB,0)),"#,###")&amp;"회"</f>
        <v>34회</v>
      </c>
      <c r="H10" s="8" t="s">
        <v>122</v>
      </c>
      <c r="I10" s="197" t="str">
        <f>TEXT(INDEX(contents!$O:$O,MATCH('영상 콘텐츠 지표'!H4,contents!$AB:$AB,0)),"#,###")&amp;"회"</f>
        <v>26회</v>
      </c>
      <c r="K10" s="8" t="s">
        <v>122</v>
      </c>
      <c r="L10" s="197" t="e">
        <f>TEXT(INDEX(contents!$O:$O,MATCH('영상 콘텐츠 지표'!K4,contents!$AB:$AB,0)),"#,###")&amp;"회"</f>
        <v>#N/A</v>
      </c>
      <c r="N10" s="8" t="s">
        <v>122</v>
      </c>
      <c r="O10" s="197" t="e">
        <f>TEXT(INDEX(contents!$O:$O,MATCH('영상 콘텐츠 지표'!N4,contents!$AB:$AB,0)),"#,###")&amp;"회"</f>
        <v>#N/A</v>
      </c>
    </row>
    <row r="11" spans="2:15" ht="17.25" thickBot="1">
      <c r="B11" s="9" t="s">
        <v>294</v>
      </c>
      <c r="C11" s="198" t="str">
        <f>TEXT(INDEX(contents!$J:$J,MATCH('영상 콘텐츠 지표'!B4,contents!$AB:$AB,0)),"#,###")&amp;"회"</f>
        <v>10,402회</v>
      </c>
      <c r="E11" s="9" t="s">
        <v>294</v>
      </c>
      <c r="F11" s="198" t="str">
        <f>TEXT(INDEX(contents!$J:$J,MATCH('영상 콘텐츠 지표'!E4,contents!$AB:$AB,0)),"#,###")&amp;"회"</f>
        <v>2,886회</v>
      </c>
      <c r="H11" s="9" t="s">
        <v>294</v>
      </c>
      <c r="I11" s="198" t="str">
        <f>TEXT(INDEX(contents!$J:$J,MATCH('영상 콘텐츠 지표'!H4,contents!$AB:$AB,0)),"#,###")&amp;"회"</f>
        <v>2,103회</v>
      </c>
      <c r="K11" s="9" t="s">
        <v>294</v>
      </c>
      <c r="L11" s="198" t="e">
        <f>TEXT(INDEX(contents!$J:$J,MATCH('영상 콘텐츠 지표'!K4,contents!$AB:$AB,0)),"#,###")&amp;"회"</f>
        <v>#N/A</v>
      </c>
      <c r="N11" s="9" t="s">
        <v>294</v>
      </c>
      <c r="O11" s="198" t="e">
        <f>TEXT(INDEX(contents!$J:$J,MATCH('영상 콘텐츠 지표'!N4,contents!$AB:$AB,0)),"#,###")&amp;"회"</f>
        <v>#N/A</v>
      </c>
    </row>
  </sheetData>
  <mergeCells count="20">
    <mergeCell ref="B6:C6"/>
    <mergeCell ref="E6:F6"/>
    <mergeCell ref="H6:I6"/>
    <mergeCell ref="K6:L6"/>
    <mergeCell ref="N6:O6"/>
    <mergeCell ref="B7:C7"/>
    <mergeCell ref="E7:F7"/>
    <mergeCell ref="H7:I7"/>
    <mergeCell ref="K7:L7"/>
    <mergeCell ref="N7:O7"/>
    <mergeCell ref="B4:C4"/>
    <mergeCell ref="E4:F4"/>
    <mergeCell ref="H4:I4"/>
    <mergeCell ref="K4:L4"/>
    <mergeCell ref="N4:O4"/>
    <mergeCell ref="B5:C5"/>
    <mergeCell ref="E5:F5"/>
    <mergeCell ref="H5:I5"/>
    <mergeCell ref="K5:L5"/>
    <mergeCell ref="N5:O5"/>
  </mergeCells>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F8D42-A1E0-4575-8822-E752BCFD6B5D}">
  <sheetPr>
    <tabColor theme="9" tint="0.79998168889431442"/>
  </sheetPr>
  <dimension ref="B3:I23"/>
  <sheetViews>
    <sheetView workbookViewId="0">
      <selection activeCell="E27" sqref="E27"/>
    </sheetView>
  </sheetViews>
  <sheetFormatPr defaultRowHeight="16.5"/>
  <cols>
    <col min="4" max="8" width="27.25" customWidth="1"/>
    <col min="9" max="9" width="8.625" customWidth="1"/>
  </cols>
  <sheetData>
    <row r="3" spans="2:9" ht="17.25" thickBot="1"/>
    <row r="4" spans="2:9">
      <c r="B4" s="285">
        <v>3</v>
      </c>
      <c r="C4" s="135" t="s">
        <v>134</v>
      </c>
      <c r="D4" s="135" t="s">
        <v>4</v>
      </c>
      <c r="E4" s="135" t="s">
        <v>135</v>
      </c>
      <c r="F4" s="135" t="s">
        <v>302</v>
      </c>
      <c r="G4" s="135" t="s">
        <v>129</v>
      </c>
      <c r="H4" s="135" t="s">
        <v>130</v>
      </c>
      <c r="I4" s="136" t="s">
        <v>132</v>
      </c>
    </row>
    <row r="5" spans="2:9">
      <c r="B5" s="275" t="s">
        <v>296</v>
      </c>
      <c r="C5" s="276" t="str">
        <f>IF(ISNUMBER(B5)=TRUE,B5+1,IF(TEXT(DATE(YEAR(followers!$H$1),'일일 업로드 현황'!$B$4,1),"aaa")='일일 업로드 현황'!C4,DAY(DATE(YEAR(followers!$H$1),'일일 업로드 현황'!$B$4,1)),""))</f>
        <v/>
      </c>
      <c r="D5" s="276" t="str">
        <f>IF(ISNUMBER(C5)=TRUE,C5+1,IF(TEXT(DATE(YEAR(followers!$H$1),'일일 업로드 현황'!$B$4,1),"aaa")='일일 업로드 현황'!D4,DAY(DATE(YEAR(followers!$H$1),'일일 업로드 현황'!$B$4,1)),""))</f>
        <v/>
      </c>
      <c r="E5" s="276" t="str">
        <f>IF(ISNUMBER(D5)=TRUE,D5+1,IF(TEXT(DATE(YEAR(followers!$H$1),'일일 업로드 현황'!$B$4,1),"aaa")='일일 업로드 현황'!E4,DAY(DATE(YEAR(followers!$H$1),'일일 업로드 현황'!$B$4,1)),""))</f>
        <v/>
      </c>
      <c r="F5" s="276" t="str">
        <f>IF(ISNUMBER(E5)=TRUE,E5+1,IF(TEXT(DATE(YEAR(followers!$H$1),'일일 업로드 현황'!$B$4,1),"aaa")='일일 업로드 현황'!F4,DAY(DATE(YEAR(followers!$H$1),'일일 업로드 현황'!$B$4,1)),""))</f>
        <v/>
      </c>
      <c r="G5" s="276" t="str">
        <f>IF(ISNUMBER(F5)=TRUE,F5+1,IF(TEXT(DATE(YEAR(followers!$H$1),'일일 업로드 현황'!$B$4,1),"aaa")='일일 업로드 현황'!G4,DAY(DATE(YEAR(followers!$H$1),'일일 업로드 현황'!$B$4,1)),""))</f>
        <v/>
      </c>
      <c r="H5" s="276">
        <f>IF(ISNUMBER(G5)=TRUE,G5+1,IF(TEXT(DATE(YEAR(followers!$H$1),'일일 업로드 현황'!$B$4,1),"aaa")='일일 업로드 현황'!H4,DAY(DATE(YEAR(followers!$H$1),'일일 업로드 현황'!$B$4,1)),""))</f>
        <v>1</v>
      </c>
      <c r="I5" s="277">
        <f>IF(ISNUMBER(H5)=TRUE,H5+1,IF(TEXT(DATE(YEAR(followers!$H$1),'일일 업로드 현황'!$B$4,1),"aaa")='일일 업로드 현황'!I4,DAY(DATE(YEAR(followers!$H$1),'일일 업로드 현황'!$B$4,1)),""))</f>
        <v>2</v>
      </c>
    </row>
    <row r="6" spans="2:9">
      <c r="B6" s="275" t="s">
        <v>118</v>
      </c>
      <c r="C6" s="278" t="str">
        <f>IF(ISERROR(INDEX('contents 추가정보'!$C:$C,MATCH(DATE(YEAR(followers!$H$1),'일일 업로드 현황'!$B$4,'일일 업로드 현황'!C5),'contents 추가정보'!$F:$F,0)))=TRUE,"",INDEX('contents 추가정보'!$C:$C,MATCH(DATE(YEAR(followers!$H$1),'일일 업로드 현황'!$B$4,'일일 업로드 현황'!C5),'contents 추가정보'!$F:$F,0)))</f>
        <v/>
      </c>
      <c r="D6" s="278" t="str">
        <f>IF(ISERROR(INDEX('contents 추가정보'!$C:$C,MATCH(DATE(YEAR(followers!$H$1),'일일 업로드 현황'!$B$4,'일일 업로드 현황'!D5),'contents 추가정보'!$F:$F,0)))=TRUE,"",INDEX('contents 추가정보'!$C:$C,MATCH(DATE(YEAR(followers!$H$1),'일일 업로드 현황'!$B$4,'일일 업로드 현황'!D5),'contents 추가정보'!$F:$F,0)))</f>
        <v/>
      </c>
      <c r="E6" s="278" t="str">
        <f>IF(ISERROR(INDEX('contents 추가정보'!$C:$C,MATCH(DATE(YEAR(followers!$H$1),'일일 업로드 현황'!$B$4,'일일 업로드 현황'!E5),'contents 추가정보'!$F:$F,0)))=TRUE,"",INDEX('contents 추가정보'!$C:$C,MATCH(DATE(YEAR(followers!$H$1),'일일 업로드 현황'!$B$4,'일일 업로드 현황'!E5),'contents 추가정보'!$F:$F,0)))</f>
        <v/>
      </c>
      <c r="F6" s="278" t="str">
        <f>IF(ISERROR(INDEX('contents 추가정보'!$C:$C,MATCH(DATE(YEAR(followers!$H$1),'일일 업로드 현황'!$B$4,'일일 업로드 현황'!F5),'contents 추가정보'!$F:$F,0)))=TRUE,"",INDEX('contents 추가정보'!$C:$C,MATCH(DATE(YEAR(followers!$H$1),'일일 업로드 현황'!$B$4,'일일 업로드 현황'!F5),'contents 추가정보'!$F:$F,0)))</f>
        <v/>
      </c>
      <c r="G6" s="278" t="str">
        <f>IF(ISERROR(INDEX('contents 추가정보'!$C:$C,MATCH(DATE(YEAR(followers!$H$1),'일일 업로드 현황'!$B$4,'일일 업로드 현황'!G5),'contents 추가정보'!$F:$F,0)))=TRUE,"",INDEX('contents 추가정보'!$C:$C,MATCH(DATE(YEAR(followers!$H$1),'일일 업로드 현황'!$B$4,'일일 업로드 현황'!G5),'contents 추가정보'!$F:$F,0)))</f>
        <v/>
      </c>
      <c r="H6" s="278" t="str">
        <f>IF(ISERROR(INDEX('contents 추가정보'!$C:$C,MATCH(DATE(YEAR(followers!$H$1),'일일 업로드 현황'!$B$4,'일일 업로드 현황'!H5),'contents 추가정보'!$F:$F,0)))=TRUE,"",INDEX('contents 추가정보'!$C:$C,MATCH(DATE(YEAR(followers!$H$1),'일일 업로드 현황'!$B$4,'일일 업로드 현황'!H5),'contents 추가정보'!$F:$F,0)))</f>
        <v/>
      </c>
      <c r="I6" s="279" t="str">
        <f>IF(ISERROR(INDEX('contents 추가정보'!$C:$C,MATCH(DATE(YEAR(followers!$H$1),'일일 업로드 현황'!$B$4,'일일 업로드 현황'!I5),'contents 추가정보'!$F:$F,0)))=TRUE,"",INDEX('contents 추가정보'!$C:$C,MATCH(DATE(YEAR(followers!$H$1),'일일 업로드 현황'!$B$4,'일일 업로드 현황'!I5),'contents 추가정보'!$F:$F,0)))</f>
        <v/>
      </c>
    </row>
    <row r="7" spans="2:9">
      <c r="B7" s="275" t="s">
        <v>297</v>
      </c>
      <c r="C7" s="278" t="str">
        <f>IF(ISERROR(INDEX('contents 추가정보'!$C:$C,MATCH(DATE(YEAR(followers!$H$1),'일일 업로드 현황'!$B$4,'일일 업로드 현황'!C5),'contents 추가정보'!$F:$F,0)))=TRUE,"",INDEX('contents 추가정보'!$C:$C,MATCH(DATE(YEAR(followers!$H$1),'일일 업로드 현황'!$B$4,'일일 업로드 현황'!C5),'contents 추가정보'!$F:$F,0)))</f>
        <v/>
      </c>
      <c r="D7" s="278" t="str">
        <f>IF(ISERROR(INDEX('contents 추가정보'!$C:$C,MATCH(DATE(YEAR(followers!$H$1),'일일 업로드 현황'!$B$4,'일일 업로드 현황'!D5),'contents 추가정보'!$F:$F,0)))=TRUE,"",INDEX('contents 추가정보'!$C:$C,MATCH(DATE(YEAR(followers!$H$1),'일일 업로드 현황'!$B$4,'일일 업로드 현황'!D5),'contents 추가정보'!$F:$F,0)))</f>
        <v/>
      </c>
      <c r="E7" s="278" t="str">
        <f>IF(ISERROR(INDEX('contents 추가정보'!$C:$C,MATCH(DATE(YEAR(followers!$H$1),'일일 업로드 현황'!$B$4,'일일 업로드 현황'!E5),'contents 추가정보'!$F:$F,0)))=TRUE,"",INDEX('contents 추가정보'!$C:$C,MATCH(DATE(YEAR(followers!$H$1),'일일 업로드 현황'!$B$4,'일일 업로드 현황'!E5),'contents 추가정보'!$F:$F,0)))</f>
        <v/>
      </c>
      <c r="F7" s="278" t="str">
        <f>IF(ISERROR(INDEX('contents 추가정보'!$C:$C,MATCH(DATE(YEAR(followers!$H$1),'일일 업로드 현황'!$B$4,'일일 업로드 현황'!F5),'contents 추가정보'!$F:$F,0)))=TRUE,"",INDEX('contents 추가정보'!$C:$C,MATCH(DATE(YEAR(followers!$H$1),'일일 업로드 현황'!$B$4,'일일 업로드 현황'!F5),'contents 추가정보'!$F:$F,0)))</f>
        <v/>
      </c>
      <c r="G7" s="278" t="str">
        <f>IF(ISERROR(INDEX('contents 추가정보'!$C:$C,MATCH(DATE(YEAR(followers!$H$1),'일일 업로드 현황'!$B$4,'일일 업로드 현황'!G5),'contents 추가정보'!$F:$F,0)))=TRUE,"",INDEX('contents 추가정보'!$C:$C,MATCH(DATE(YEAR(followers!$H$1),'일일 업로드 현황'!$B$4,'일일 업로드 현황'!G5),'contents 추가정보'!$F:$F,0)))</f>
        <v/>
      </c>
      <c r="H7" s="278" t="str">
        <f>IF(ISERROR(INDEX('contents 추가정보'!$C:$C,MATCH(DATE(YEAR(followers!$H$1),'일일 업로드 현황'!$B$4,'일일 업로드 현황'!H5),'contents 추가정보'!$F:$F,0)))=TRUE,"",INDEX('contents 추가정보'!$C:$C,MATCH(DATE(YEAR(followers!$H$1),'일일 업로드 현황'!$B$4,'일일 업로드 현황'!H5),'contents 추가정보'!$F:$F,0)))</f>
        <v/>
      </c>
      <c r="I7" s="279" t="str">
        <f>IF(ISERROR(INDEX('contents 추가정보'!$C:$C,MATCH(DATE(YEAR(followers!$H$1),'일일 업로드 현황'!$B$4,'일일 업로드 현황'!I5),'contents 추가정보'!$F:$F,0)))=TRUE,"",INDEX('contents 추가정보'!$C:$C,MATCH(DATE(YEAR(followers!$H$1),'일일 업로드 현황'!$B$4,'일일 업로드 현황'!I5),'contents 추가정보'!$F:$F,0)))</f>
        <v/>
      </c>
    </row>
    <row r="8" spans="2:9">
      <c r="B8" s="275" t="s">
        <v>298</v>
      </c>
      <c r="C8" s="280">
        <f>I5+1</f>
        <v>3</v>
      </c>
      <c r="D8" s="276">
        <f>C8+1</f>
        <v>4</v>
      </c>
      <c r="E8" s="276">
        <f t="shared" ref="E8:I8" si="0">D8+1</f>
        <v>5</v>
      </c>
      <c r="F8" s="276">
        <f t="shared" si="0"/>
        <v>6</v>
      </c>
      <c r="G8" s="276">
        <f t="shared" si="0"/>
        <v>7</v>
      </c>
      <c r="H8" s="276">
        <f t="shared" si="0"/>
        <v>8</v>
      </c>
      <c r="I8" s="277">
        <f t="shared" si="0"/>
        <v>9</v>
      </c>
    </row>
    <row r="9" spans="2:9">
      <c r="B9" s="275" t="s">
        <v>118</v>
      </c>
      <c r="C9" s="278" t="str">
        <f>IF(ISERROR(INDEX('contents 추가정보'!$C:$C,MATCH(DATE(YEAR(followers!$H$1),'일일 업로드 현황'!$B$4,'일일 업로드 현황'!C8),'contents 추가정보'!$F:$F,0)))=TRUE,"",INDEX('contents 추가정보'!$C:$C,MATCH(DATE(YEAR(followers!$H$1),'일일 업로드 현황'!$B$4,'일일 업로드 현황'!C8),'contents 추가정보'!$F:$F,0)))</f>
        <v/>
      </c>
      <c r="D9" s="278" t="str">
        <f>IF(ISERROR(INDEX('contents 추가정보'!$C:$C,MATCH(DATE(YEAR(followers!$H$1),'일일 업로드 현황'!$B$4,'일일 업로드 현황'!D8),'contents 추가정보'!$F:$F,0)))=TRUE,"",INDEX('contents 추가정보'!$C:$C,MATCH(DATE(YEAR(followers!$H$1),'일일 업로드 현황'!$B$4,'일일 업로드 현황'!D8),'contents 추가정보'!$F:$F,0)))</f>
        <v>MCRDIMM 스펙 조명 이미지</v>
      </c>
      <c r="E9" s="278" t="str">
        <f>IF(ISERROR(INDEX('contents 추가정보'!$C:$C,MATCH(DATE(YEAR(followers!$H$1),'일일 업로드 현황'!$B$4,'일일 업로드 현황'!E8),'contents 추가정보'!$F:$F,0)))=TRUE,"",INDEX('contents 추가정보'!$C:$C,MATCH(DATE(YEAR(followers!$H$1),'일일 업로드 현황'!$B$4,'일일 업로드 현황'!E8),'contents 추가정보'!$F:$F,0)))</f>
        <v>미주법인 봉사 콘텐츠 리포스트</v>
      </c>
      <c r="F9" s="278" t="str">
        <f>IF(ISERROR(INDEX('contents 추가정보'!$C:$C,MATCH(DATE(YEAR(followers!$H$1),'일일 업로드 현황'!$B$4,'일일 업로드 현황'!F8),'contents 추가정보'!$F:$F,0)))=TRUE,"",INDEX('contents 추가정보'!$C:$C,MATCH(DATE(YEAR(followers!$H$1),'일일 업로드 현황'!$B$4,'일일 업로드 현황'!F8),'contents 추가정보'!$F:$F,0)))</f>
        <v/>
      </c>
      <c r="G9" s="278" t="str">
        <f>IF(ISERROR(INDEX('contents 추가정보'!$C:$C,MATCH(DATE(YEAR(followers!$H$1),'일일 업로드 현황'!$B$4,'일일 업로드 현황'!G8),'contents 추가정보'!$F:$F,0)))=TRUE,"",INDEX('contents 추가정보'!$C:$C,MATCH(DATE(YEAR(followers!$H$1),'일일 업로드 현황'!$B$4,'일일 업로드 현황'!G8),'contents 추가정보'!$F:$F,0)))</f>
        <v>세계 여성의 달_그레이스 호퍼 카드뉴스</v>
      </c>
      <c r="H9" s="278" t="str">
        <f>IF(ISERROR(INDEX('contents 추가정보'!$C:$C,MATCH(DATE(YEAR(followers!$H$1),'일일 업로드 현황'!$B$4,'일일 업로드 현황'!H8),'contents 추가정보'!$F:$F,0)))=TRUE,"",INDEX('contents 추가정보'!$C:$C,MATCH(DATE(YEAR(followers!$H$1),'일일 업로드 현황'!$B$4,'일일 업로드 현황'!H8),'contents 추가정보'!$F:$F,0)))</f>
        <v>세계 여성의 날 (뉴스룸)</v>
      </c>
      <c r="I9" s="279" t="str">
        <f>IF(ISERROR(INDEX('contents 추가정보'!$C:$C,MATCH(DATE(YEAR(followers!$H$1),'일일 업로드 현황'!$B$4,'일일 업로드 현황'!I8),'contents 추가정보'!$F:$F,0)))=TRUE,"",INDEX('contents 추가정보'!$C:$C,MATCH(DATE(YEAR(followers!$H$1),'일일 업로드 현황'!$B$4,'일일 업로드 현황'!I8),'contents 추가정보'!$F:$F,0)))</f>
        <v/>
      </c>
    </row>
    <row r="10" spans="2:9">
      <c r="B10" s="275" t="s">
        <v>297</v>
      </c>
      <c r="C10" s="278" t="str">
        <f>IF(ISERROR(INDEX('contents 추가정보'!$C:$C,MATCH(DATE(YEAR(followers!$H$1),'일일 업로드 현황'!$B$4,'일일 업로드 현황'!C8),'contents 추가정보'!$F:$F,0)))=TRUE,"",INDEX('contents 추가정보'!$C:$C,MATCH(DATE(YEAR(followers!$H$1),'일일 업로드 현황'!$B$4,'일일 업로드 현황'!C8),'contents 추가정보'!$F:$F,0)))</f>
        <v/>
      </c>
      <c r="D10" s="278" t="str">
        <f>IF(ISERROR(INDEX('contents 추가정보'!$C:$C,MATCH(DATE(YEAR(followers!$H$1),'일일 업로드 현황'!$B$4,'일일 업로드 현황'!D8),'contents 추가정보'!$F:$F,0)))=TRUE,"",INDEX('contents 추가정보'!$C:$C,MATCH(DATE(YEAR(followers!$H$1),'일일 업로드 현황'!$B$4,'일일 업로드 현황'!D8),'contents 추가정보'!$F:$F,0)))</f>
        <v>MCRDIMM 스펙 조명 이미지</v>
      </c>
      <c r="E10" s="278" t="str">
        <f>IF(ISERROR(INDEX('contents 추가정보'!$C:$C,MATCH(DATE(YEAR(followers!$H$1),'일일 업로드 현황'!$B$4,'일일 업로드 현황'!E8),'contents 추가정보'!$F:$F,0)))=TRUE,"",INDEX('contents 추가정보'!$C:$C,MATCH(DATE(YEAR(followers!$H$1),'일일 업로드 현황'!$B$4,'일일 업로드 현황'!E8),'contents 추가정보'!$F:$F,0)))</f>
        <v>미주법인 봉사 콘텐츠 리포스트</v>
      </c>
      <c r="F10" s="278" t="str">
        <f>IF(ISERROR(INDEX('contents 추가정보'!$C:$C,MATCH(DATE(YEAR(followers!$H$1),'일일 업로드 현황'!$B$4,'일일 업로드 현황'!F8),'contents 추가정보'!$F:$F,0)))=TRUE,"",INDEX('contents 추가정보'!$C:$C,MATCH(DATE(YEAR(followers!$H$1),'일일 업로드 현황'!$B$4,'일일 업로드 현황'!F8),'contents 추가정보'!$F:$F,0)))</f>
        <v/>
      </c>
      <c r="G10" s="278" t="str">
        <f>IF(ISERROR(INDEX('contents 추가정보'!$C:$C,MATCH(DATE(YEAR(followers!$H$1),'일일 업로드 현황'!$B$4,'일일 업로드 현황'!G8),'contents 추가정보'!$F:$F,0)))=TRUE,"",INDEX('contents 추가정보'!$C:$C,MATCH(DATE(YEAR(followers!$H$1),'일일 업로드 현황'!$B$4,'일일 업로드 현황'!G8),'contents 추가정보'!$F:$F,0)))</f>
        <v>세계 여성의 달_그레이스 호퍼 카드뉴스</v>
      </c>
      <c r="H10" s="278" t="str">
        <f>IF(ISERROR(INDEX('contents 추가정보'!$C:$C,MATCH(DATE(YEAR(followers!$H$1),'일일 업로드 현황'!$B$4,'일일 업로드 현황'!H8),'contents 추가정보'!$F:$F,0)))=TRUE,"",INDEX('contents 추가정보'!$C:$C,MATCH(DATE(YEAR(followers!$H$1),'일일 업로드 현황'!$B$4,'일일 업로드 현황'!H8),'contents 추가정보'!$F:$F,0)))</f>
        <v>세계 여성의 날 (뉴스룸)</v>
      </c>
      <c r="I10" s="279" t="str">
        <f>IF(ISERROR(INDEX('contents 추가정보'!$C:$C,MATCH(DATE(YEAR(followers!$H$1),'일일 업로드 현황'!$B$4,'일일 업로드 현황'!I8),'contents 추가정보'!$F:$F,0)))=TRUE,"",INDEX('contents 추가정보'!$C:$C,MATCH(DATE(YEAR(followers!$H$1),'일일 업로드 현황'!$B$4,'일일 업로드 현황'!I8),'contents 추가정보'!$F:$F,0)))</f>
        <v/>
      </c>
    </row>
    <row r="11" spans="2:9">
      <c r="B11" s="275" t="s">
        <v>299</v>
      </c>
      <c r="C11" s="280">
        <f>I8+1</f>
        <v>10</v>
      </c>
      <c r="D11" s="276">
        <f>C11+1</f>
        <v>11</v>
      </c>
      <c r="E11" s="276">
        <f t="shared" ref="E11:I11" si="1">D11+1</f>
        <v>12</v>
      </c>
      <c r="F11" s="276">
        <f t="shared" si="1"/>
        <v>13</v>
      </c>
      <c r="G11" s="276">
        <f t="shared" si="1"/>
        <v>14</v>
      </c>
      <c r="H11" s="276">
        <f t="shared" si="1"/>
        <v>15</v>
      </c>
      <c r="I11" s="277">
        <f t="shared" si="1"/>
        <v>16</v>
      </c>
    </row>
    <row r="12" spans="2:9">
      <c r="B12" s="275" t="s">
        <v>118</v>
      </c>
      <c r="C12" s="278" t="str">
        <f>IF(ISERROR(INDEX('contents 추가정보'!$C:$C,MATCH(DATE(YEAR(followers!$H$1),'일일 업로드 현황'!$B$4,'일일 업로드 현황'!C11),'contents 추가정보'!$F:$F,0)))=TRUE,"",INDEX('contents 추가정보'!$C:$C,MATCH(DATE(YEAR(followers!$H$1),'일일 업로드 현황'!$B$4,'일일 업로드 현황'!C11),'contents 추가정보'!$F:$F,0)))</f>
        <v/>
      </c>
      <c r="D12" s="278" t="str">
        <f>IF(ISERROR(INDEX('contents 추가정보'!$C:$C,MATCH(DATE(YEAR(followers!$H$1),'일일 업로드 현황'!$B$4,'일일 업로드 현황'!D11),'contents 추가정보'!$F:$F,0)))=TRUE,"",INDEX('contents 추가정보'!$C:$C,MATCH(DATE(YEAR(followers!$H$1),'일일 업로드 현황'!$B$4,'일일 업로드 현황'!D11),'contents 추가정보'!$F:$F,0)))</f>
        <v>Automotive 백서</v>
      </c>
      <c r="E12" s="278" t="str">
        <f>IF(ISERROR(INDEX('contents 추가정보'!$C:$C,MATCH(DATE(YEAR(followers!$H$1),'일일 업로드 현황'!$B$4,'일일 업로드 현황'!E11),'contents 추가정보'!$F:$F,0)))=TRUE,"",INDEX('contents 추가정보'!$C:$C,MATCH(DATE(YEAR(followers!$H$1),'일일 업로드 현황'!$B$4,'일일 업로드 현황'!E11),'contents 추가정보'!$F:$F,0)))</f>
        <v/>
      </c>
      <c r="F12" s="278" t="str">
        <f>IF(ISERROR(INDEX('contents 추가정보'!$C:$C,MATCH(DATE(YEAR(followers!$H$1),'일일 업로드 현황'!$B$4,'일일 업로드 현황'!F11),'contents 추가정보'!$F:$F,0)))=TRUE,"",INDEX('contents 추가정보'!$C:$C,MATCH(DATE(YEAR(followers!$H$1),'일일 업로드 현황'!$B$4,'일일 업로드 현황'!F11),'contents 추가정보'!$F:$F,0)))</f>
        <v>GDDR7 백서</v>
      </c>
      <c r="G12" s="278" t="str">
        <f>IF(ISERROR(INDEX('contents 추가정보'!$C:$C,MATCH(DATE(YEAR(followers!$H$1),'일일 업로드 현황'!$B$4,'일일 업로드 현황'!G11),'contents 추가정보'!$F:$F,0)))=TRUE,"",INDEX('contents 추가정보'!$C:$C,MATCH(DATE(YEAR(followers!$H$1),'일일 업로드 현황'!$B$4,'일일 업로드 현황'!G11),'contents 추가정보'!$F:$F,0)))</f>
        <v>GTC24 부스 안내 이미지</v>
      </c>
      <c r="H12" s="278" t="str">
        <f>IF(ISERROR(INDEX('contents 추가정보'!$C:$C,MATCH(DATE(YEAR(followers!$H$1),'일일 업로드 현황'!$B$4,'일일 업로드 현황'!H11),'contents 추가정보'!$F:$F,0)))=TRUE,"",INDEX('contents 추가정보'!$C:$C,MATCH(DATE(YEAR(followers!$H$1),'일일 업로드 현황'!$B$4,'일일 업로드 현황'!H11),'contents 추가정보'!$F:$F,0)))</f>
        <v>HBM3E 백서</v>
      </c>
      <c r="I12" s="279" t="str">
        <f>IF(ISERROR(INDEX('contents 추가정보'!$C:$C,MATCH(DATE(YEAR(followers!$H$1),'일일 업로드 현황'!$B$4,'일일 업로드 현황'!I11),'contents 추가정보'!$F:$F,0)))=TRUE,"",INDEX('contents 추가정보'!$C:$C,MATCH(DATE(YEAR(followers!$H$1),'일일 업로드 현황'!$B$4,'일일 업로드 현황'!I11),'contents 추가정보'!$F:$F,0)))</f>
        <v/>
      </c>
    </row>
    <row r="13" spans="2:9">
      <c r="B13" s="275" t="s">
        <v>297</v>
      </c>
      <c r="C13" s="278" t="str">
        <f>IF(ISERROR(INDEX('contents 추가정보'!$C:$C,MATCH(DATE(YEAR(followers!$H$1),'일일 업로드 현황'!$B$4,'일일 업로드 현황'!C11),'contents 추가정보'!$F:$F,0)))=TRUE,"",INDEX('contents 추가정보'!$C:$C,MATCH(DATE(YEAR(followers!$H$1),'일일 업로드 현황'!$B$4,'일일 업로드 현황'!C11),'contents 추가정보'!$F:$F,0)))</f>
        <v/>
      </c>
      <c r="D13" s="278" t="str">
        <f>IF(ISERROR(INDEX('contents 추가정보'!$C:$C,MATCH(DATE(YEAR(followers!$H$1),'일일 업로드 현황'!$B$4,'일일 업로드 현황'!D11),'contents 추가정보'!$F:$F,0)))=TRUE,"",INDEX('contents 추가정보'!$C:$C,MATCH(DATE(YEAR(followers!$H$1),'일일 업로드 현황'!$B$4,'일일 업로드 현황'!D11),'contents 추가정보'!$F:$F,0)))</f>
        <v>Automotive 백서</v>
      </c>
      <c r="E13" s="278" t="str">
        <f>IF(ISERROR(INDEX('contents 추가정보'!$C:$C,MATCH(DATE(YEAR(followers!$H$1),'일일 업로드 현황'!$B$4,'일일 업로드 현황'!E11),'contents 추가정보'!$F:$F,0)))=TRUE,"",INDEX('contents 추가정보'!$C:$C,MATCH(DATE(YEAR(followers!$H$1),'일일 업로드 현황'!$B$4,'일일 업로드 현황'!E11),'contents 추가정보'!$F:$F,0)))</f>
        <v/>
      </c>
      <c r="F13" s="278" t="str">
        <f>IF(ISERROR(INDEX('contents 추가정보'!$C:$C,MATCH(DATE(YEAR(followers!$H$1),'일일 업로드 현황'!$B$4,'일일 업로드 현황'!F11),'contents 추가정보'!$F:$F,0)))=TRUE,"",INDEX('contents 추가정보'!$C:$C,MATCH(DATE(YEAR(followers!$H$1),'일일 업로드 현황'!$B$4,'일일 업로드 현황'!F11),'contents 추가정보'!$F:$F,0)))</f>
        <v>GDDR7 백서</v>
      </c>
      <c r="G13" s="278" t="str">
        <f>IF(ISERROR(INDEX('contents 추가정보'!$C:$C,MATCH(DATE(YEAR(followers!$H$1),'일일 업로드 현황'!$B$4,'일일 업로드 현황'!G11),'contents 추가정보'!$F:$F,0)))=TRUE,"",INDEX('contents 추가정보'!$C:$C,MATCH(DATE(YEAR(followers!$H$1),'일일 업로드 현황'!$B$4,'일일 업로드 현황'!G11),'contents 추가정보'!$F:$F,0)))</f>
        <v>GTC24 부스 안내 이미지</v>
      </c>
      <c r="H13" s="278" t="str">
        <f>IF(ISERROR(INDEX('contents 추가정보'!$C:$C,MATCH(DATE(YEAR(followers!$H$1),'일일 업로드 현황'!$B$4,'일일 업로드 현황'!H11),'contents 추가정보'!$F:$F,0)))=TRUE,"",INDEX('contents 추가정보'!$C:$C,MATCH(DATE(YEAR(followers!$H$1),'일일 업로드 현황'!$B$4,'일일 업로드 현황'!H11),'contents 추가정보'!$F:$F,0)))</f>
        <v>HBM3E 백서</v>
      </c>
      <c r="I13" s="279" t="str">
        <f>IF(ISERROR(INDEX('contents 추가정보'!$C:$C,MATCH(DATE(YEAR(followers!$H$1),'일일 업로드 현황'!$B$4,'일일 업로드 현황'!I11),'contents 추가정보'!$F:$F,0)))=TRUE,"",INDEX('contents 추가정보'!$C:$C,MATCH(DATE(YEAR(followers!$H$1),'일일 업로드 현황'!$B$4,'일일 업로드 현황'!I11),'contents 추가정보'!$F:$F,0)))</f>
        <v/>
      </c>
    </row>
    <row r="14" spans="2:9">
      <c r="B14" s="275" t="s">
        <v>300</v>
      </c>
      <c r="C14" s="280">
        <f>I11+1</f>
        <v>17</v>
      </c>
      <c r="D14" s="276">
        <f>C14+1</f>
        <v>18</v>
      </c>
      <c r="E14" s="276">
        <f t="shared" ref="E14:I14" si="2">D14+1</f>
        <v>19</v>
      </c>
      <c r="F14" s="276">
        <f t="shared" si="2"/>
        <v>20</v>
      </c>
      <c r="G14" s="276">
        <f t="shared" si="2"/>
        <v>21</v>
      </c>
      <c r="H14" s="276">
        <f t="shared" si="2"/>
        <v>22</v>
      </c>
      <c r="I14" s="277">
        <f t="shared" si="2"/>
        <v>23</v>
      </c>
    </row>
    <row r="15" spans="2:9">
      <c r="B15" s="275" t="s">
        <v>118</v>
      </c>
      <c r="C15" s="278" t="str">
        <f>IF(ISERROR(INDEX('contents 추가정보'!$C:$C,MATCH(DATE(YEAR(followers!$H$1),'일일 업로드 현황'!$B$4,'일일 업로드 현황'!C14),'contents 추가정보'!$F:$F,0)))=TRUE,"",INDEX('contents 추가정보'!$C:$C,MATCH(DATE(YEAR(followers!$H$1),'일일 업로드 현황'!$B$4,'일일 업로드 현황'!C14),'contents 추가정보'!$F:$F,0)))</f>
        <v/>
      </c>
      <c r="D15" s="278" t="str">
        <f>IF(ISERROR(INDEX('contents 추가정보'!$C:$C,MATCH(DATE(YEAR(followers!$H$1),'일일 업로드 현황'!$B$4,'일일 업로드 현황'!D14),'contents 추가정보'!$F:$F,0)))=TRUE,"",INDEX('contents 추가정보'!$C:$C,MATCH(DATE(YEAR(followers!$H$1),'일일 업로드 현황'!$B$4,'일일 업로드 현황'!D14),'contents 추가정보'!$F:$F,0)))</f>
        <v>GTC24 현장 부스 설치 이미지</v>
      </c>
      <c r="E15" s="278" t="str">
        <f>IF(ISERROR(INDEX('contents 추가정보'!$C:$C,MATCH(DATE(YEAR(followers!$H$1),'일일 업로드 현황'!$B$4,'일일 업로드 현황'!E14),'contents 추가정보'!$F:$F,0)))=TRUE,"",INDEX('contents 추가정보'!$C:$C,MATCH(DATE(YEAR(followers!$H$1),'일일 업로드 현황'!$B$4,'일일 업로드 현황'!E14),'contents 추가정보'!$F:$F,0)))</f>
        <v>GTC24 현장 직원 이미지</v>
      </c>
      <c r="F15" s="278" t="str">
        <f>IF(ISERROR(INDEX('contents 추가정보'!$C:$C,MATCH(DATE(YEAR(followers!$H$1),'일일 업로드 현황'!$B$4,'일일 업로드 현황'!F14),'contents 추가정보'!$F:$F,0)))=TRUE,"",INDEX('contents 추가정보'!$C:$C,MATCH(DATE(YEAR(followers!$H$1),'일일 업로드 현황'!$B$4,'일일 업로드 현황'!F14),'contents 추가정보'!$F:$F,0)))</f>
        <v>GTC24 현장 세션 이미지</v>
      </c>
      <c r="G15" s="278" t="str">
        <f>IF(ISERROR(INDEX('contents 추가정보'!$C:$C,MATCH(DATE(YEAR(followers!$H$1),'일일 업로드 현황'!$B$4,'일일 업로드 현황'!G14),'contents 추가정보'!$F:$F,0)))=TRUE,"",INDEX('contents 추가정보'!$C:$C,MATCH(DATE(YEAR(followers!$H$1),'일일 업로드 현황'!$B$4,'일일 업로드 현황'!G14),'contents 추가정보'!$F:$F,0)))</f>
        <v>GTC24 스케치 뉴스룸</v>
      </c>
      <c r="H15" s="278" t="str">
        <f>IF(ISERROR(INDEX('contents 추가정보'!$C:$C,MATCH(DATE(YEAR(followers!$H$1),'일일 업로드 현황'!$B$4,'일일 업로드 현황'!H14),'contents 추가정보'!$F:$F,0)))=TRUE,"",INDEX('contents 추가정보'!$C:$C,MATCH(DATE(YEAR(followers!$H$1),'일일 업로드 현황'!$B$4,'일일 업로드 현황'!H14),'contents 추가정보'!$F:$F,0)))</f>
        <v>세계 물의 날</v>
      </c>
      <c r="I15" s="279" t="str">
        <f>IF(ISERROR(INDEX('contents 추가정보'!$C:$C,MATCH(DATE(YEAR(followers!$H$1),'일일 업로드 현황'!$B$4,'일일 업로드 현황'!I14),'contents 추가정보'!$F:$F,0)))=TRUE,"",INDEX('contents 추가정보'!$C:$C,MATCH(DATE(YEAR(followers!$H$1),'일일 업로드 현황'!$B$4,'일일 업로드 현황'!I14),'contents 추가정보'!$F:$F,0)))</f>
        <v/>
      </c>
    </row>
    <row r="16" spans="2:9">
      <c r="B16" s="275" t="s">
        <v>297</v>
      </c>
      <c r="C16" s="278" t="str">
        <f>IF(ISERROR(INDEX('contents 추가정보'!$C:$C,MATCH(DATE(YEAR(followers!$H$1),'일일 업로드 현황'!$B$4,'일일 업로드 현황'!C14),'contents 추가정보'!$F:$F,0)))=TRUE,"",INDEX('contents 추가정보'!$C:$C,MATCH(DATE(YEAR(followers!$H$1),'일일 업로드 현황'!$B$4,'일일 업로드 현황'!C14),'contents 추가정보'!$F:$F,0)))</f>
        <v/>
      </c>
      <c r="D16" s="278" t="str">
        <f>IF(ISERROR(INDEX('contents 추가정보'!$C:$C,MATCH(DATE(YEAR(followers!$H$1),'일일 업로드 현황'!$B$4,'일일 업로드 현황'!D14),'contents 추가정보'!$F:$F,0)))=TRUE,"",INDEX('contents 추가정보'!$C:$C,MATCH(DATE(YEAR(followers!$H$1),'일일 업로드 현황'!$B$4,'일일 업로드 현황'!D14),'contents 추가정보'!$F:$F,0)))</f>
        <v>GTC24 현장 부스 설치 이미지</v>
      </c>
      <c r="E16" s="278" t="str">
        <f>IF(ISERROR(INDEX('contents 추가정보'!$C:$C,MATCH(DATE(YEAR(followers!$H$1),'일일 업로드 현황'!$B$4,'일일 업로드 현황'!E14),'contents 추가정보'!$F:$F,0)))=TRUE,"",INDEX('contents 추가정보'!$C:$C,MATCH(DATE(YEAR(followers!$H$1),'일일 업로드 현황'!$B$4,'일일 업로드 현황'!E14),'contents 추가정보'!$F:$F,0)))</f>
        <v>GTC24 현장 직원 이미지</v>
      </c>
      <c r="F16" s="278" t="str">
        <f>IF(ISERROR(INDEX('contents 추가정보'!$C:$C,MATCH(DATE(YEAR(followers!$H$1),'일일 업로드 현황'!$B$4,'일일 업로드 현황'!F14),'contents 추가정보'!$F:$F,0)))=TRUE,"",INDEX('contents 추가정보'!$C:$C,MATCH(DATE(YEAR(followers!$H$1),'일일 업로드 현황'!$B$4,'일일 업로드 현황'!F14),'contents 추가정보'!$F:$F,0)))</f>
        <v>GTC24 현장 세션 이미지</v>
      </c>
      <c r="G16" s="278" t="str">
        <f>IF(ISERROR(INDEX('contents 추가정보'!$C:$C,MATCH(DATE(YEAR(followers!$H$1),'일일 업로드 현황'!$B$4,'일일 업로드 현황'!G14),'contents 추가정보'!$F:$F,0)))=TRUE,"",INDEX('contents 추가정보'!$C:$C,MATCH(DATE(YEAR(followers!$H$1),'일일 업로드 현황'!$B$4,'일일 업로드 현황'!G14),'contents 추가정보'!$F:$F,0)))</f>
        <v>GTC24 스케치 뉴스룸</v>
      </c>
      <c r="H16" s="278" t="str">
        <f>IF(ISERROR(INDEX('contents 추가정보'!$C:$C,MATCH(DATE(YEAR(followers!$H$1),'일일 업로드 현황'!$B$4,'일일 업로드 현황'!H14),'contents 추가정보'!$F:$F,0)))=TRUE,"",INDEX('contents 추가정보'!$C:$C,MATCH(DATE(YEAR(followers!$H$1),'일일 업로드 현황'!$B$4,'일일 업로드 현황'!H14),'contents 추가정보'!$F:$F,0)))</f>
        <v>세계 물의 날</v>
      </c>
      <c r="I16" s="279" t="str">
        <f>IF(ISERROR(INDEX('contents 추가정보'!$C:$C,MATCH(DATE(YEAR(followers!$H$1),'일일 업로드 현황'!$B$4,'일일 업로드 현황'!I14),'contents 추가정보'!$F:$F,0)))=TRUE,"",INDEX('contents 추가정보'!$C:$C,MATCH(DATE(YEAR(followers!$H$1),'일일 업로드 현황'!$B$4,'일일 업로드 현황'!I14),'contents 추가정보'!$F:$F,0)))</f>
        <v/>
      </c>
    </row>
    <row r="17" spans="2:9">
      <c r="B17" s="275" t="s">
        <v>301</v>
      </c>
      <c r="C17" s="280">
        <f>IF(DAY(EOMONTH(DATE(YEAR(followers!$H$1),'일일 업로드 현황'!$B$4,1),0))='일일 업로드 현황'!I14,"",I14+1)</f>
        <v>24</v>
      </c>
      <c r="D17" s="276">
        <f>IF(C17="","",IF(DAY(EOMONTH(DATE(YEAR(followers!$H$1),'일일 업로드 현황'!$B$4,1),0))='일일 업로드 현황'!C17,"",C17+1))</f>
        <v>25</v>
      </c>
      <c r="E17" s="276">
        <f>IF(D17="","",IF(DAY(EOMONTH(DATE(YEAR(followers!$H$1),'일일 업로드 현황'!$B$4,1),0))='일일 업로드 현황'!D17,"",D17+1))</f>
        <v>26</v>
      </c>
      <c r="F17" s="276">
        <f>IF(E17="","",IF(DAY(EOMONTH(DATE(YEAR(followers!$H$1),'일일 업로드 현황'!$B$4,1),0))='일일 업로드 현황'!E17,"",E17+1))</f>
        <v>27</v>
      </c>
      <c r="G17" s="276">
        <f>IF(F17="","",IF(DAY(EOMONTH(DATE(YEAR(followers!$H$1),'일일 업로드 현황'!$B$4,1),0))='일일 업로드 현황'!F17,"",F17+1))</f>
        <v>28</v>
      </c>
      <c r="H17" s="276">
        <f>IF(G17="","",IF(DAY(EOMONTH(DATE(YEAR(followers!$H$1),'일일 업로드 현황'!$B$4,1),0))='일일 업로드 현황'!G17,"",G17+1))</f>
        <v>29</v>
      </c>
      <c r="I17" s="277">
        <f>IF(H17="","",IF(DAY(EOMONTH(DATE(YEAR(followers!$H$1),'일일 업로드 현황'!$B$4,1),0))='일일 업로드 현황'!H17,"",H17+1))</f>
        <v>30</v>
      </c>
    </row>
    <row r="18" spans="2:9">
      <c r="B18" s="275" t="s">
        <v>118</v>
      </c>
      <c r="C18" s="278" t="str">
        <f>IF(ISERROR(INDEX('contents 추가정보'!$C:$C,MATCH(DATE(YEAR(followers!$H$1),'일일 업로드 현황'!$B$4,'일일 업로드 현황'!C17),'contents 추가정보'!$F:$F,0)))=TRUE,"",INDEX('contents 추가정보'!$C:$C,MATCH(DATE(YEAR(followers!$H$1),'일일 업로드 현황'!$B$4,'일일 업로드 현황'!C17),'contents 추가정보'!$F:$F,0)))</f>
        <v/>
      </c>
      <c r="D18" s="278" t="str">
        <f>IF(ISERROR(INDEX('contents 추가정보'!$C:$C,MATCH(DATE(YEAR(followers!$H$1),'일일 업로드 현황'!$B$4,'일일 업로드 현황'!D17),'contents 추가정보'!$F:$F,0)))=TRUE,"",INDEX('contents 추가정보'!$C:$C,MATCH(DATE(YEAR(followers!$H$1),'일일 업로드 현황'!$B$4,'일일 업로드 현황'!D17),'contents 추가정보'!$F:$F,0)))</f>
        <v>TSV-HBM 카드뉴스</v>
      </c>
      <c r="E18" s="278" t="str">
        <f>IF(ISERROR(INDEX('contents 추가정보'!$C:$C,MATCH(DATE(YEAR(followers!$H$1),'일일 업로드 현황'!$B$4,'일일 업로드 현황'!E17),'contents 추가정보'!$F:$F,0)))=TRUE,"",INDEX('contents 추가정보'!$C:$C,MATCH(DATE(YEAR(followers!$H$1),'일일 업로드 현황'!$B$4,'일일 업로드 현황'!E17),'contents 추가정보'!$F:$F,0)))</f>
        <v>GTC24 전시제품 소개 카드뉴스</v>
      </c>
      <c r="F18" s="278" t="str">
        <f>IF(ISERROR(INDEX('contents 추가정보'!$C:$C,MATCH(DATE(YEAR(followers!$H$1),'일일 업로드 현황'!$B$4,'일일 업로드 현황'!F17),'contents 추가정보'!$F:$F,0)))=TRUE,"",INDEX('contents 추가정보'!$C:$C,MATCH(DATE(YEAR(followers!$H$1),'일일 업로드 현황'!$B$4,'일일 업로드 현황'!F17),'contents 추가정보'!$F:$F,0)))</f>
        <v>HBM3E 스펙 조명 캐러셀</v>
      </c>
      <c r="G18" s="278" t="str">
        <f>IF(ISERROR(INDEX('contents 추가정보'!$C:$C,MATCH(DATE(YEAR(followers!$H$1),'일일 업로드 현황'!$B$4,'일일 업로드 현황'!G17),'contents 추가정보'!$F:$F,0)))=TRUE,"",INDEX('contents 추가정보'!$C:$C,MATCH(DATE(YEAR(followers!$H$1),'일일 업로드 현황'!$B$4,'일일 업로드 현황'!G17),'contents 추가정보'!$F:$F,0)))</f>
        <v>AI 인프라_권운오 부상장님 인터뷰</v>
      </c>
      <c r="H18" s="278" t="str">
        <f>IF(ISERROR(INDEX('contents 추가정보'!$C:$C,MATCH(DATE(YEAR(followers!$H$1),'일일 업로드 현황'!$B$4,'일일 업로드 현황'!H17),'contents 추가정보'!$F:$F,0)))=TRUE,"",INDEX('contents 추가정보'!$C:$C,MATCH(DATE(YEAR(followers!$H$1),'일일 업로드 현황'!$B$4,'일일 업로드 현황'!H17),'contents 추가정보'!$F:$F,0)))</f>
        <v>AI 인프라_김성섭 부사장님 인터뷰 (미주법인)</v>
      </c>
      <c r="I18" s="279" t="str">
        <f>IF(ISERROR(INDEX('contents 추가정보'!$C:$C,MATCH(DATE(YEAR(followers!$H$1),'일일 업로드 현황'!$B$4,'일일 업로드 현황'!I17),'contents 추가정보'!$F:$F,0)))=TRUE,"",INDEX('contents 추가정보'!$C:$C,MATCH(DATE(YEAR(followers!$H$1),'일일 업로드 현황'!$B$4,'일일 업로드 현황'!I17),'contents 추가정보'!$F:$F,0)))</f>
        <v/>
      </c>
    </row>
    <row r="19" spans="2:9">
      <c r="B19" s="275" t="s">
        <v>297</v>
      </c>
      <c r="C19" s="278" t="str">
        <f>IF(ISERROR(INDEX('contents 추가정보'!$C:$C,MATCH(DATE(YEAR(followers!$H$1),'일일 업로드 현황'!$B$4,'일일 업로드 현황'!C17),'contents 추가정보'!$F:$F,0)))=TRUE,"",INDEX('contents 추가정보'!$C:$C,MATCH(DATE(YEAR(followers!$H$1),'일일 업로드 현황'!$B$4,'일일 업로드 현황'!C17),'contents 추가정보'!$F:$F,0)))</f>
        <v/>
      </c>
      <c r="D19" s="278" t="str">
        <f>IF(ISERROR(INDEX('contents 추가정보'!$C:$C,MATCH(DATE(YEAR(followers!$H$1),'일일 업로드 현황'!$B$4,'일일 업로드 현황'!D17),'contents 추가정보'!$F:$F,0)))=TRUE,"",INDEX('contents 추가정보'!$C:$C,MATCH(DATE(YEAR(followers!$H$1),'일일 업로드 현황'!$B$4,'일일 업로드 현황'!D17),'contents 추가정보'!$F:$F,0)))</f>
        <v>TSV-HBM 카드뉴스</v>
      </c>
      <c r="E19" s="278" t="str">
        <f>IF(ISERROR(INDEX('contents 추가정보'!$C:$C,MATCH(DATE(YEAR(followers!$H$1),'일일 업로드 현황'!$B$4,'일일 업로드 현황'!E17),'contents 추가정보'!$F:$F,0)))=TRUE,"",INDEX('contents 추가정보'!$C:$C,MATCH(DATE(YEAR(followers!$H$1),'일일 업로드 현황'!$B$4,'일일 업로드 현황'!E17),'contents 추가정보'!$F:$F,0)))</f>
        <v>GTC24 전시제품 소개 카드뉴스</v>
      </c>
      <c r="F19" s="278" t="str">
        <f>IF(ISERROR(INDEX('contents 추가정보'!$C:$C,MATCH(DATE(YEAR(followers!$H$1),'일일 업로드 현황'!$B$4,'일일 업로드 현황'!F17),'contents 추가정보'!$F:$F,0)))=TRUE,"",INDEX('contents 추가정보'!$C:$C,MATCH(DATE(YEAR(followers!$H$1),'일일 업로드 현황'!$B$4,'일일 업로드 현황'!F17),'contents 추가정보'!$F:$F,0)))</f>
        <v>HBM3E 스펙 조명 캐러셀</v>
      </c>
      <c r="G19" s="278" t="str">
        <f>IF(ISERROR(INDEX('contents 추가정보'!$C:$C,MATCH(DATE(YEAR(followers!$H$1),'일일 업로드 현황'!$B$4,'일일 업로드 현황'!G17),'contents 추가정보'!$F:$F,0)))=TRUE,"",INDEX('contents 추가정보'!$C:$C,MATCH(DATE(YEAR(followers!$H$1),'일일 업로드 현황'!$B$4,'일일 업로드 현황'!G17),'contents 추가정보'!$F:$F,0)))</f>
        <v>AI 인프라_권운오 부상장님 인터뷰</v>
      </c>
      <c r="H19" s="278" t="str">
        <f>IF(ISERROR(INDEX('contents 추가정보'!$C:$C,MATCH(DATE(YEAR(followers!$H$1),'일일 업로드 현황'!$B$4,'일일 업로드 현황'!H17),'contents 추가정보'!$F:$F,0)))=TRUE,"",INDEX('contents 추가정보'!$C:$C,MATCH(DATE(YEAR(followers!$H$1),'일일 업로드 현황'!$B$4,'일일 업로드 현황'!H17),'contents 추가정보'!$F:$F,0)))</f>
        <v>AI 인프라_김성섭 부사장님 인터뷰 (미주법인)</v>
      </c>
      <c r="I19" s="279" t="str">
        <f>IF(ISERROR(INDEX('contents 추가정보'!$C:$C,MATCH(DATE(YEAR(followers!$H$1),'일일 업로드 현황'!$B$4,'일일 업로드 현황'!I17),'contents 추가정보'!$F:$F,0)))=TRUE,"",INDEX('contents 추가정보'!$C:$C,MATCH(DATE(YEAR(followers!$H$1),'일일 업로드 현황'!$B$4,'일일 업로드 현황'!I17),'contents 추가정보'!$F:$F,0)))</f>
        <v/>
      </c>
    </row>
    <row r="20" spans="2:9">
      <c r="B20" s="275"/>
      <c r="C20" s="278"/>
      <c r="D20" s="278"/>
      <c r="E20" s="284" t="str">
        <f>IF(COUNTIF('contents 추가정보'!$F:$F,DATE(YEAR(followers!$H$1),'일일 업로드 현황'!$B$4,'일일 업로드 현황'!E17))&gt;1,INDEX('contents 추가정보'!$C:$C,MATCH(DATE(YEAR(followers!$H$1),'일일 업로드 현황'!$B$4,'일일 업로드 현황'!E17),'contents 추가정보'!$F:$F,0)),"")</f>
        <v/>
      </c>
      <c r="F20" s="278"/>
      <c r="G20" s="278"/>
      <c r="H20" s="278"/>
      <c r="I20" s="279"/>
    </row>
    <row r="21" spans="2:9">
      <c r="B21" s="275" t="s">
        <v>303</v>
      </c>
      <c r="C21" s="280">
        <f>IF(I17="","",IF(DAY(EOMONTH(DATE(YEAR(followers!$H$1),'일일 업로드 현황'!$B$4,1),0))='일일 업로드 현황'!I17,"",I17+1))</f>
        <v>31</v>
      </c>
      <c r="D21" s="276" t="str">
        <f>IF(C21="","",IF(DAY(EOMONTH(DATE(YEAR(followers!$H$1),'일일 업로드 현황'!$B$4,1),0))='일일 업로드 현황'!C21,"",C21+1))</f>
        <v/>
      </c>
      <c r="E21" s="276" t="str">
        <f>IF(D21="","",IF(DAY(EOMONTH(DATE(YEAR(followers!$H$1),'일일 업로드 현황'!$B$4,1),0))='일일 업로드 현황'!D21,"",D21+1))</f>
        <v/>
      </c>
      <c r="F21" s="276" t="str">
        <f>IF(E21="","",IF(DAY(EOMONTH(DATE(YEAR(followers!$H$1),'일일 업로드 현황'!$B$4,1),0))='일일 업로드 현황'!E21,"",E21+1))</f>
        <v/>
      </c>
      <c r="G21" s="276" t="str">
        <f>IF(F21="","",IF(DAY(EOMONTH(DATE(YEAR(followers!$H$1),'일일 업로드 현황'!$B$4,1),0))='일일 업로드 현황'!F21,"",F21+1))</f>
        <v/>
      </c>
      <c r="H21" s="276" t="str">
        <f>IF(G21="","",IF(DAY(EOMONTH(DATE(YEAR(followers!$H$1),'일일 업로드 현황'!$B$4,1),0))='일일 업로드 현황'!G21,"",G21+1))</f>
        <v/>
      </c>
      <c r="I21" s="277" t="str">
        <f>IF(H21="","",IF(DAY(EOMONTH(DATE(YEAR(followers!$H$1),'일일 업로드 현황'!$B$4,1),0))='일일 업로드 현황'!H21,"",H21+1))</f>
        <v/>
      </c>
    </row>
    <row r="22" spans="2:9">
      <c r="B22" s="275" t="s">
        <v>118</v>
      </c>
      <c r="C22" s="278" t="str">
        <f>IF(ISERROR(INDEX('contents 추가정보'!$C:$C,MATCH(DATE(YEAR(followers!$H$1),'일일 업로드 현황'!$B$4,'일일 업로드 현황'!C21),'contents 추가정보'!$F:$F,0)))=TRUE,"",INDEX('contents 추가정보'!$C:$C,MATCH(DATE(YEAR(followers!$H$1),'일일 업로드 현황'!$B$4,'일일 업로드 현황'!C21),'contents 추가정보'!$F:$F,0)))</f>
        <v/>
      </c>
      <c r="D22" s="278" t="str">
        <f>IF(ISERROR(INDEX('contents 추가정보'!$C:$C,MATCH(DATE(YEAR(followers!$H$1),'일일 업로드 현황'!$B$4,'일일 업로드 현황'!D21),'contents 추가정보'!$F:$F,0)))=TRUE,"",INDEX('contents 추가정보'!$C:$C,MATCH(DATE(YEAR(followers!$H$1),'일일 업로드 현황'!$B$4,'일일 업로드 현황'!D21),'contents 추가정보'!$F:$F,0)))</f>
        <v/>
      </c>
      <c r="E22" s="278" t="str">
        <f>IF(ISERROR(INDEX('contents 추가정보'!$C:$C,MATCH(DATE(YEAR(followers!$H$1),'일일 업로드 현황'!$B$4,'일일 업로드 현황'!E21),'contents 추가정보'!$F:$F,0)))=TRUE,"",INDEX('contents 추가정보'!$C:$C,MATCH(DATE(YEAR(followers!$H$1),'일일 업로드 현황'!$B$4,'일일 업로드 현황'!E21),'contents 추가정보'!$F:$F,0)))</f>
        <v/>
      </c>
      <c r="F22" s="278" t="str">
        <f>IF(ISERROR(INDEX('contents 추가정보'!$C:$C,MATCH(DATE(YEAR(followers!$H$1),'일일 업로드 현황'!$B$4,'일일 업로드 현황'!F21),'contents 추가정보'!$F:$F,0)))=TRUE,"",INDEX('contents 추가정보'!$C:$C,MATCH(DATE(YEAR(followers!$H$1),'일일 업로드 현황'!$B$4,'일일 업로드 현황'!F21),'contents 추가정보'!$F:$F,0)))</f>
        <v/>
      </c>
      <c r="G22" s="278" t="str">
        <f>IF(ISERROR(INDEX('contents 추가정보'!$C:$C,MATCH(DATE(YEAR(followers!$H$1),'일일 업로드 현황'!$B$4,'일일 업로드 현황'!G21),'contents 추가정보'!$F:$F,0)))=TRUE,"",INDEX('contents 추가정보'!$C:$C,MATCH(DATE(YEAR(followers!$H$1),'일일 업로드 현황'!$B$4,'일일 업로드 현황'!G21),'contents 추가정보'!$F:$F,0)))</f>
        <v/>
      </c>
      <c r="H22" s="278" t="str">
        <f>IF(ISERROR(INDEX('contents 추가정보'!$C:$C,MATCH(DATE(YEAR(followers!$H$1),'일일 업로드 현황'!$B$4,'일일 업로드 현황'!H21),'contents 추가정보'!$F:$F,0)))=TRUE,"",INDEX('contents 추가정보'!$C:$C,MATCH(DATE(YEAR(followers!$H$1),'일일 업로드 현황'!$B$4,'일일 업로드 현황'!H21),'contents 추가정보'!$F:$F,0)))</f>
        <v/>
      </c>
      <c r="I22" s="279" t="str">
        <f>IF(ISERROR(INDEX('contents 추가정보'!$C:$C,MATCH(DATE(YEAR(followers!$H$1),'일일 업로드 현황'!$B$4,'일일 업로드 현황'!I21),'contents 추가정보'!$F:$F,0)))=TRUE,"",INDEX('contents 추가정보'!$C:$C,MATCH(DATE(YEAR(followers!$H$1),'일일 업로드 현황'!$B$4,'일일 업로드 현황'!I21),'contents 추가정보'!$F:$F,0)))</f>
        <v/>
      </c>
    </row>
    <row r="23" spans="2:9" ht="17.25" thickBot="1">
      <c r="B23" s="281" t="s">
        <v>297</v>
      </c>
      <c r="C23" s="282" t="str">
        <f>IF(ISERROR(INDEX('contents 추가정보'!$C:$C,MATCH(DATE(YEAR(followers!$H$1),'일일 업로드 현황'!$B$4,'일일 업로드 현황'!C21),'contents 추가정보'!$F:$F,0)))=TRUE,"",INDEX('contents 추가정보'!$C:$C,MATCH(DATE(YEAR(followers!$H$1),'일일 업로드 현황'!$B$4,'일일 업로드 현황'!C21),'contents 추가정보'!$F:$F,0)))</f>
        <v/>
      </c>
      <c r="D23" s="282" t="str">
        <f>IF(ISERROR(INDEX('contents 추가정보'!$C:$C,MATCH(DATE(YEAR(followers!$H$1),'일일 업로드 현황'!$B$4,'일일 업로드 현황'!D21),'contents 추가정보'!$F:$F,0)))=TRUE,"",INDEX('contents 추가정보'!$C:$C,MATCH(DATE(YEAR(followers!$H$1),'일일 업로드 현황'!$B$4,'일일 업로드 현황'!D21),'contents 추가정보'!$F:$F,0)))</f>
        <v/>
      </c>
      <c r="E23" s="282" t="str">
        <f>IF(ISERROR(INDEX('contents 추가정보'!$C:$C,MATCH(DATE(YEAR(followers!$H$1),'일일 업로드 현황'!$B$4,'일일 업로드 현황'!E21),'contents 추가정보'!$F:$F,0)))=TRUE,"",INDEX('contents 추가정보'!$C:$C,MATCH(DATE(YEAR(followers!$H$1),'일일 업로드 현황'!$B$4,'일일 업로드 현황'!E21),'contents 추가정보'!$F:$F,0)))</f>
        <v/>
      </c>
      <c r="F23" s="282" t="str">
        <f>IF(ISERROR(INDEX('contents 추가정보'!$C:$C,MATCH(DATE(YEAR(followers!$H$1),'일일 업로드 현황'!$B$4,'일일 업로드 현황'!F21),'contents 추가정보'!$F:$F,0)))=TRUE,"",INDEX('contents 추가정보'!$C:$C,MATCH(DATE(YEAR(followers!$H$1),'일일 업로드 현황'!$B$4,'일일 업로드 현황'!F21),'contents 추가정보'!$F:$F,0)))</f>
        <v/>
      </c>
      <c r="G23" s="282" t="str">
        <f>IF(ISERROR(INDEX('contents 추가정보'!$C:$C,MATCH(DATE(YEAR(followers!$H$1),'일일 업로드 현황'!$B$4,'일일 업로드 현황'!G21),'contents 추가정보'!$F:$F,0)))=TRUE,"",INDEX('contents 추가정보'!$C:$C,MATCH(DATE(YEAR(followers!$H$1),'일일 업로드 현황'!$B$4,'일일 업로드 현황'!G21),'contents 추가정보'!$F:$F,0)))</f>
        <v/>
      </c>
      <c r="H23" s="282" t="str">
        <f>IF(ISERROR(INDEX('contents 추가정보'!$C:$C,MATCH(DATE(YEAR(followers!$H$1),'일일 업로드 현황'!$B$4,'일일 업로드 현황'!H21),'contents 추가정보'!$F:$F,0)))=TRUE,"",INDEX('contents 추가정보'!$C:$C,MATCH(DATE(YEAR(followers!$H$1),'일일 업로드 현황'!$B$4,'일일 업로드 현황'!H21),'contents 추가정보'!$F:$F,0)))</f>
        <v/>
      </c>
      <c r="I23" s="283" t="str">
        <f>IF(ISERROR(INDEX('contents 추가정보'!$C:$C,MATCH(DATE(YEAR(followers!$H$1),'일일 업로드 현황'!$B$4,'일일 업로드 현황'!I21),'contents 추가정보'!$F:$F,0)))=TRUE,"",INDEX('contents 추가정보'!$C:$C,MATCH(DATE(YEAR(followers!$H$1),'일일 업로드 현황'!$B$4,'일일 업로드 현황'!I21),'contents 추가정보'!$F:$F,0)))</f>
        <v/>
      </c>
    </row>
  </sheetData>
  <phoneticPr fontId="2" type="noConversion"/>
  <pageMargins left="0.7" right="0.7" top="0.75" bottom="0.75" header="0.3" footer="0.3"/>
  <pageSetup paperSize="9" orientation="portrait" horizontalDpi="360" verticalDpi="36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EA980-57FF-448F-BD70-ADDB48343BBC}">
  <sheetPr>
    <tabColor theme="7" tint="0.79998168889431442"/>
  </sheetPr>
  <dimension ref="A3:BK45"/>
  <sheetViews>
    <sheetView topLeftCell="N2" zoomScale="85" zoomScaleNormal="85" workbookViewId="0">
      <selection activeCell="W6" sqref="W6"/>
    </sheetView>
  </sheetViews>
  <sheetFormatPr defaultRowHeight="16.5"/>
  <cols>
    <col min="1" max="3" width="9" style="4"/>
    <col min="4" max="4" width="11.875" style="4" bestFit="1" customWidth="1"/>
    <col min="5" max="5" width="27.125" style="4" bestFit="1" customWidth="1"/>
    <col min="6" max="6" width="15.625" style="4" bestFit="1" customWidth="1"/>
    <col min="7" max="7" width="17.625" style="4" bestFit="1" customWidth="1"/>
    <col min="8" max="8" width="19.125" style="4" customWidth="1"/>
    <col min="9" max="12" width="11.125" style="4" bestFit="1" customWidth="1"/>
    <col min="13" max="13" width="9.125" style="4" bestFit="1" customWidth="1"/>
    <col min="14" max="14" width="9" style="4"/>
    <col min="15" max="16" width="13" style="4" bestFit="1" customWidth="1"/>
    <col min="17" max="56" width="9" style="4"/>
    <col min="57" max="58" width="12.5" bestFit="1" customWidth="1"/>
    <col min="60" max="60" width="10.5" bestFit="1" customWidth="1"/>
    <col min="62" max="63" width="11.625" bestFit="1" customWidth="1"/>
  </cols>
  <sheetData>
    <row r="3" spans="1:63">
      <c r="BF3" s="95"/>
    </row>
    <row r="6" spans="1:63">
      <c r="A6" s="4" t="s">
        <v>933</v>
      </c>
      <c r="B6" s="4" t="s">
        <v>934</v>
      </c>
      <c r="C6" s="4" t="s">
        <v>935</v>
      </c>
      <c r="D6" s="4" t="s">
        <v>936</v>
      </c>
      <c r="E6" s="4" t="s">
        <v>937</v>
      </c>
      <c r="F6" s="4" t="s">
        <v>938</v>
      </c>
      <c r="G6" s="4" t="s">
        <v>939</v>
      </c>
      <c r="H6" s="4" t="s">
        <v>940</v>
      </c>
      <c r="I6" s="4" t="s">
        <v>941</v>
      </c>
      <c r="J6" s="4" t="s">
        <v>942</v>
      </c>
      <c r="K6" s="4" t="s">
        <v>943</v>
      </c>
      <c r="L6" s="4" t="s">
        <v>944</v>
      </c>
      <c r="M6" s="4" t="s">
        <v>945</v>
      </c>
      <c r="N6" s="4" t="s">
        <v>946</v>
      </c>
      <c r="O6" s="4" t="s">
        <v>947</v>
      </c>
      <c r="P6" s="4" t="s">
        <v>948</v>
      </c>
      <c r="Q6" s="4" t="s">
        <v>949</v>
      </c>
      <c r="R6" s="4" t="s">
        <v>950</v>
      </c>
      <c r="S6" s="4" t="s">
        <v>951</v>
      </c>
      <c r="T6" s="4" t="s">
        <v>29</v>
      </c>
      <c r="U6" s="4" t="s">
        <v>30</v>
      </c>
      <c r="V6" s="4" t="s">
        <v>952</v>
      </c>
      <c r="W6" s="4" t="s">
        <v>953</v>
      </c>
      <c r="X6" s="4" t="s">
        <v>954</v>
      </c>
      <c r="Y6" s="4" t="s">
        <v>955</v>
      </c>
      <c r="Z6" s="4" t="s">
        <v>33</v>
      </c>
      <c r="AA6" s="4" t="s">
        <v>956</v>
      </c>
      <c r="AB6" s="4" t="s">
        <v>35</v>
      </c>
      <c r="AC6" s="4" t="s">
        <v>957</v>
      </c>
      <c r="AD6" s="4" t="s">
        <v>958</v>
      </c>
      <c r="AE6" s="4" t="s">
        <v>959</v>
      </c>
      <c r="AF6" s="4" t="s">
        <v>960</v>
      </c>
      <c r="AG6" s="4" t="s">
        <v>961</v>
      </c>
      <c r="AH6" s="4" t="s">
        <v>962</v>
      </c>
      <c r="AI6" s="4" t="s">
        <v>963</v>
      </c>
      <c r="AJ6" s="4" t="s">
        <v>964</v>
      </c>
      <c r="AK6" s="4" t="s">
        <v>965</v>
      </c>
      <c r="AL6" s="4" t="s">
        <v>966</v>
      </c>
      <c r="AM6" s="4" t="s">
        <v>967</v>
      </c>
      <c r="AN6" s="4" t="s">
        <v>968</v>
      </c>
      <c r="AO6" s="4" t="s">
        <v>969</v>
      </c>
      <c r="AP6" s="4" t="s">
        <v>970</v>
      </c>
      <c r="AQ6" s="4" t="s">
        <v>971</v>
      </c>
      <c r="AR6" s="4" t="s">
        <v>972</v>
      </c>
      <c r="AS6" s="4" t="s">
        <v>973</v>
      </c>
      <c r="AT6" s="4" t="s">
        <v>974</v>
      </c>
      <c r="AU6" s="4" t="s">
        <v>975</v>
      </c>
      <c r="AV6" s="4" t="s">
        <v>976</v>
      </c>
      <c r="AW6" s="4" t="s">
        <v>977</v>
      </c>
      <c r="AX6" s="4" t="s">
        <v>978</v>
      </c>
      <c r="AY6" s="4" t="s">
        <v>979</v>
      </c>
      <c r="AZ6" s="4" t="s">
        <v>980</v>
      </c>
      <c r="BG6" t="s">
        <v>949</v>
      </c>
      <c r="BH6" t="s">
        <v>950</v>
      </c>
    </row>
    <row r="7" spans="1:63">
      <c r="A7" s="4" t="s">
        <v>791</v>
      </c>
      <c r="B7" s="4" t="s">
        <v>781</v>
      </c>
      <c r="C7" s="4" t="s">
        <v>778</v>
      </c>
      <c r="D7" s="4">
        <v>670314554</v>
      </c>
      <c r="E7" s="4" t="s">
        <v>782</v>
      </c>
      <c r="F7" s="4" t="s">
        <v>783</v>
      </c>
      <c r="G7" s="4" t="s">
        <v>780</v>
      </c>
      <c r="H7" s="4" t="s">
        <v>784</v>
      </c>
      <c r="I7" s="4" t="s">
        <v>164</v>
      </c>
      <c r="J7" s="4">
        <v>284452554</v>
      </c>
      <c r="K7" s="4" t="s">
        <v>785</v>
      </c>
      <c r="L7" s="4" t="s">
        <v>164</v>
      </c>
      <c r="M7" s="4" t="s">
        <v>786</v>
      </c>
      <c r="N7" s="4" t="s">
        <v>981</v>
      </c>
      <c r="O7" s="4" t="s">
        <v>779</v>
      </c>
      <c r="P7" s="4">
        <v>18000</v>
      </c>
      <c r="Q7" s="4" t="s">
        <v>780</v>
      </c>
      <c r="R7" s="4" t="s">
        <v>787</v>
      </c>
      <c r="S7" s="4">
        <v>4894.32</v>
      </c>
      <c r="T7" s="4">
        <v>3811638</v>
      </c>
      <c r="U7" s="314">
        <v>765</v>
      </c>
      <c r="V7" s="4">
        <v>2.0000000000000001E-4</v>
      </c>
      <c r="W7" s="4">
        <v>1.28</v>
      </c>
      <c r="X7" s="4">
        <v>6.4</v>
      </c>
      <c r="Y7" s="4">
        <v>0</v>
      </c>
      <c r="Z7" s="4">
        <v>0</v>
      </c>
      <c r="AA7" s="4">
        <v>0</v>
      </c>
      <c r="AB7" s="4">
        <v>274</v>
      </c>
      <c r="AC7" s="4">
        <v>0</v>
      </c>
      <c r="AD7" s="4">
        <v>274</v>
      </c>
      <c r="AE7" s="314">
        <v>765</v>
      </c>
      <c r="AF7" s="4">
        <v>2.0000000000000001E-4</v>
      </c>
      <c r="AG7" s="4">
        <v>0</v>
      </c>
      <c r="AH7" s="4">
        <v>0</v>
      </c>
      <c r="AI7" s="4">
        <v>0</v>
      </c>
      <c r="AJ7" s="4">
        <v>0</v>
      </c>
      <c r="AK7" s="4">
        <v>0</v>
      </c>
      <c r="AL7" s="4">
        <v>0</v>
      </c>
      <c r="AM7" s="4">
        <v>0</v>
      </c>
      <c r="AN7" s="4">
        <v>446292</v>
      </c>
      <c r="AO7" s="4">
        <v>8.5410000000000004</v>
      </c>
      <c r="AP7" s="315">
        <v>10.97</v>
      </c>
      <c r="AQ7" s="4">
        <v>0</v>
      </c>
      <c r="AR7" s="4">
        <v>0</v>
      </c>
      <c r="AS7" s="4">
        <v>0</v>
      </c>
      <c r="AT7" s="4">
        <v>0</v>
      </c>
      <c r="AU7" s="4">
        <v>0</v>
      </c>
      <c r="AV7" s="4">
        <v>0</v>
      </c>
      <c r="AW7" s="4">
        <v>157.88</v>
      </c>
      <c r="AX7" s="4">
        <v>0</v>
      </c>
      <c r="AY7" s="4">
        <v>491</v>
      </c>
      <c r="AZ7" s="4">
        <v>0</v>
      </c>
      <c r="BE7" s="6">
        <f>IFERROR(DATE(RIGHT(BG7,4),LEFT(BG7,FIND("/",LEFT(BG7,LEN(BG7)-5))-1),MID(LEFT(BG7,LEN(BG7)-5),FIND("/",LEFT(BG7,LEN(BG7)-5))+1,2)),"")</f>
        <v>45291</v>
      </c>
      <c r="BF7" s="6">
        <f>IFERROR(DATE(RIGHT(BH7,4),LEFT(BH7,FIND("/",LEFT(BH7,LEN(BH7)-5))-1),MID(LEFT(BH7,LEN(BH7)-5),FIND("/",LEFT(BH7,LEN(BH7)-5))+1,2)),"")</f>
        <v>45382</v>
      </c>
      <c r="BG7" t="str">
        <f t="shared" ref="BG7:BG45" si="0">IF(INDEX($A$1:$AX$45,BI7,MATCH(BG$6,$6:$6,0))=0,"",INDEX($A$1:$AX$45,BI7,MATCH(BG$6,$6:$6,0)))</f>
        <v>12/31/2023</v>
      </c>
      <c r="BH7" t="str">
        <f>IF(INDEX($A$1:$AX$45,BI7,MATCH($BH$6,$6:$6,0))=0,"",INDEX($A$1:AX45,BI7,MATCH($BH$6,$6:$6,0)))</f>
        <v>3/31/2024</v>
      </c>
      <c r="BI7">
        <v>7</v>
      </c>
      <c r="BJ7" s="6"/>
      <c r="BK7" s="316"/>
    </row>
    <row r="8" spans="1:63">
      <c r="A8" s="4" t="s">
        <v>791</v>
      </c>
      <c r="B8" s="4" t="s">
        <v>781</v>
      </c>
      <c r="C8" s="4" t="s">
        <v>778</v>
      </c>
      <c r="D8" s="4">
        <v>670314554</v>
      </c>
      <c r="E8" s="4" t="s">
        <v>782</v>
      </c>
      <c r="F8" s="4" t="s">
        <v>783</v>
      </c>
      <c r="G8" s="4" t="s">
        <v>780</v>
      </c>
      <c r="H8" s="4" t="s">
        <v>784</v>
      </c>
      <c r="I8" s="4" t="s">
        <v>164</v>
      </c>
      <c r="J8" s="4">
        <v>284490864</v>
      </c>
      <c r="K8" s="4" t="s">
        <v>788</v>
      </c>
      <c r="L8" s="4" t="s">
        <v>164</v>
      </c>
      <c r="M8" s="4" t="s">
        <v>786</v>
      </c>
      <c r="N8" s="4" t="s">
        <v>981</v>
      </c>
      <c r="O8" s="4" t="s">
        <v>779</v>
      </c>
      <c r="P8" s="4">
        <v>7500</v>
      </c>
      <c r="Q8" s="4" t="s">
        <v>780</v>
      </c>
      <c r="R8" s="4" t="s">
        <v>787</v>
      </c>
      <c r="S8" s="4">
        <v>2380.1999999999998</v>
      </c>
      <c r="T8" s="4">
        <v>1543430</v>
      </c>
      <c r="U8" s="314">
        <v>505</v>
      </c>
      <c r="V8" s="4">
        <v>3.3E-4</v>
      </c>
      <c r="W8" s="4">
        <v>1.54</v>
      </c>
      <c r="X8" s="4">
        <v>4.71</v>
      </c>
      <c r="Y8" s="4">
        <v>0</v>
      </c>
      <c r="Z8" s="4">
        <v>0</v>
      </c>
      <c r="AA8" s="4">
        <v>0</v>
      </c>
      <c r="AB8" s="4">
        <v>178</v>
      </c>
      <c r="AC8" s="4">
        <v>0</v>
      </c>
      <c r="AD8" s="4">
        <v>178</v>
      </c>
      <c r="AE8" s="314">
        <v>505</v>
      </c>
      <c r="AF8" s="4">
        <v>3.3E-4</v>
      </c>
      <c r="AG8" s="4">
        <v>0</v>
      </c>
      <c r="AH8" s="4">
        <v>0</v>
      </c>
      <c r="AI8" s="4">
        <v>0</v>
      </c>
      <c r="AJ8" s="4">
        <v>0</v>
      </c>
      <c r="AK8" s="4">
        <v>0</v>
      </c>
      <c r="AL8" s="4">
        <v>0</v>
      </c>
      <c r="AM8" s="4">
        <v>0</v>
      </c>
      <c r="AN8" s="4">
        <v>386786</v>
      </c>
      <c r="AO8" s="4">
        <v>3.99</v>
      </c>
      <c r="AP8" s="315">
        <v>6.15</v>
      </c>
      <c r="AQ8" s="4">
        <v>0</v>
      </c>
      <c r="AR8" s="4">
        <v>0</v>
      </c>
      <c r="AS8" s="4">
        <v>0</v>
      </c>
      <c r="AT8" s="4">
        <v>0</v>
      </c>
      <c r="AU8" s="4">
        <v>0</v>
      </c>
      <c r="AV8" s="4">
        <v>0</v>
      </c>
      <c r="AW8" s="4">
        <v>76.78</v>
      </c>
      <c r="AX8" s="4">
        <v>0</v>
      </c>
      <c r="AY8" s="4">
        <v>327</v>
      </c>
      <c r="AZ8" s="4">
        <v>0</v>
      </c>
      <c r="BE8" s="6">
        <f t="shared" ref="BE8:BE45" si="1">IFERROR(DATE(RIGHT(BG8,4),LEFT(BG8,FIND("/",LEFT(BG8,LEN(BG8)-5))-1),MID(LEFT(BG8,LEN(BG8)-5),FIND("/",LEFT(BG8,LEN(BG8)-5))+1,2)),"")</f>
        <v>45291</v>
      </c>
      <c r="BF8" s="6">
        <f t="shared" ref="BF8:BF45" si="2">IFERROR(DATE(RIGHT(BH8,4),LEFT(BH8,FIND("/",LEFT(BH8,LEN(BH8)-5))-1),MID(LEFT(BH8,LEN(BH8)-5),FIND("/",LEFT(BH8,LEN(BH8)-5))+1,2)),"")</f>
        <v>45382</v>
      </c>
      <c r="BG8" t="str">
        <f t="shared" si="0"/>
        <v>12/31/2023</v>
      </c>
      <c r="BH8" t="str">
        <f>IF(INDEX($A$1:$AX$45,BI8,MATCH($BH$6,$6:$6,0))=0,"",INDEX($A$1:AX46,BI8,MATCH($BH$6,$6:$6,0)))</f>
        <v>3/31/2024</v>
      </c>
      <c r="BI8">
        <v>8</v>
      </c>
      <c r="BK8" s="316"/>
    </row>
    <row r="9" spans="1:63">
      <c r="A9" s="4" t="s">
        <v>791</v>
      </c>
      <c r="B9" s="4" t="s">
        <v>781</v>
      </c>
      <c r="C9" s="4" t="s">
        <v>778</v>
      </c>
      <c r="D9" s="4">
        <v>670314554</v>
      </c>
      <c r="E9" s="4" t="s">
        <v>782</v>
      </c>
      <c r="F9" s="4" t="s">
        <v>783</v>
      </c>
      <c r="G9" s="4" t="s">
        <v>780</v>
      </c>
      <c r="H9" s="4" t="s">
        <v>784</v>
      </c>
      <c r="I9" s="4" t="s">
        <v>164</v>
      </c>
      <c r="J9" s="4">
        <v>285900894</v>
      </c>
      <c r="K9" s="4" t="s">
        <v>789</v>
      </c>
      <c r="L9" s="4" t="s">
        <v>164</v>
      </c>
      <c r="M9" s="4" t="s">
        <v>786</v>
      </c>
      <c r="N9" s="4" t="s">
        <v>981</v>
      </c>
      <c r="O9" s="4" t="s">
        <v>779</v>
      </c>
      <c r="P9" s="4">
        <v>5000</v>
      </c>
      <c r="Q9" s="4" t="s">
        <v>338</v>
      </c>
      <c r="R9" s="4" t="s">
        <v>787</v>
      </c>
      <c r="S9" s="4">
        <v>1105.05</v>
      </c>
      <c r="T9" s="4">
        <v>881056</v>
      </c>
      <c r="U9" s="314">
        <v>174</v>
      </c>
      <c r="V9" s="4">
        <v>2.0000000000000001E-4</v>
      </c>
      <c r="W9" s="4">
        <v>1.25</v>
      </c>
      <c r="X9" s="4">
        <v>6.35</v>
      </c>
      <c r="Y9" s="4">
        <v>0</v>
      </c>
      <c r="Z9" s="4">
        <v>0</v>
      </c>
      <c r="AA9" s="4">
        <v>0</v>
      </c>
      <c r="AB9" s="4">
        <v>60</v>
      </c>
      <c r="AC9" s="4">
        <v>0</v>
      </c>
      <c r="AD9" s="4">
        <v>60</v>
      </c>
      <c r="AE9" s="314">
        <v>174</v>
      </c>
      <c r="AF9" s="4">
        <v>2.0000000000000001E-4</v>
      </c>
      <c r="AG9" s="4">
        <v>0</v>
      </c>
      <c r="AH9" s="4">
        <v>0</v>
      </c>
      <c r="AI9" s="4">
        <v>0</v>
      </c>
      <c r="AJ9" s="4">
        <v>0</v>
      </c>
      <c r="AK9" s="4">
        <v>0</v>
      </c>
      <c r="AL9" s="4">
        <v>0</v>
      </c>
      <c r="AM9" s="4">
        <v>0</v>
      </c>
      <c r="AN9" s="4">
        <v>92097</v>
      </c>
      <c r="AO9" s="4">
        <v>9.5670000000000002</v>
      </c>
      <c r="AP9" s="315">
        <v>12</v>
      </c>
      <c r="AQ9" s="4">
        <v>0</v>
      </c>
      <c r="AR9" s="4">
        <v>0</v>
      </c>
      <c r="AS9" s="4">
        <v>0</v>
      </c>
      <c r="AT9" s="4">
        <v>0</v>
      </c>
      <c r="AU9" s="4">
        <v>0</v>
      </c>
      <c r="AV9" s="4">
        <v>0</v>
      </c>
      <c r="AW9" s="4">
        <v>35.65</v>
      </c>
      <c r="AX9" s="4">
        <v>0</v>
      </c>
      <c r="AY9" s="4">
        <v>114</v>
      </c>
      <c r="AZ9" s="4">
        <v>0</v>
      </c>
      <c r="BE9" s="6">
        <f t="shared" si="1"/>
        <v>45323</v>
      </c>
      <c r="BF9" s="6">
        <f t="shared" si="2"/>
        <v>45382</v>
      </c>
      <c r="BG9" t="str">
        <f t="shared" si="0"/>
        <v>2/1/2024</v>
      </c>
      <c r="BH9" t="str">
        <f>IF(INDEX($A$1:$AX$45,BI9,MATCH($BH$6,$6:$6,0))=0,"",INDEX($A$1:AX47,BI9,MATCH($BH$6,$6:$6,0)))</f>
        <v>3/31/2024</v>
      </c>
      <c r="BI9">
        <v>9</v>
      </c>
      <c r="BK9" s="316"/>
    </row>
    <row r="10" spans="1:63">
      <c r="U10" s="314"/>
      <c r="AE10" s="314"/>
      <c r="AP10" s="315"/>
      <c r="BE10" s="6" t="str">
        <f t="shared" si="1"/>
        <v/>
      </c>
      <c r="BF10" s="6" t="str">
        <f t="shared" si="2"/>
        <v/>
      </c>
      <c r="BG10" t="str">
        <f t="shared" si="0"/>
        <v/>
      </c>
      <c r="BH10" t="str">
        <f>IF(INDEX($A$1:$AX$45,BI10,MATCH($BH$6,$6:$6,0))=0,"",INDEX($A$1:AX48,BI10,MATCH($BH$6,$6:$6,0)))</f>
        <v/>
      </c>
      <c r="BI10">
        <v>10</v>
      </c>
    </row>
    <row r="11" spans="1:63">
      <c r="U11" s="314"/>
      <c r="AE11" s="314"/>
      <c r="AP11" s="315"/>
      <c r="BE11" s="6" t="str">
        <f t="shared" si="1"/>
        <v/>
      </c>
      <c r="BF11" s="6" t="str">
        <f t="shared" si="2"/>
        <v/>
      </c>
      <c r="BG11" t="str">
        <f t="shared" si="0"/>
        <v/>
      </c>
      <c r="BH11" t="str">
        <f>IF(INDEX($A$1:$AX$45,BI11,MATCH($BH$6,$6:$6,0))=0,"",INDEX($A$1:AX49,BI11,MATCH($BH$6,$6:$6,0)))</f>
        <v/>
      </c>
      <c r="BI11">
        <v>11</v>
      </c>
    </row>
    <row r="12" spans="1:63">
      <c r="U12" s="314"/>
      <c r="AE12" s="314"/>
      <c r="AP12" s="315"/>
      <c r="BE12" s="6" t="str">
        <f t="shared" si="1"/>
        <v/>
      </c>
      <c r="BF12" s="6" t="str">
        <f t="shared" si="2"/>
        <v/>
      </c>
      <c r="BG12" t="str">
        <f t="shared" si="0"/>
        <v/>
      </c>
      <c r="BH12" t="str">
        <f>IF(INDEX($A$1:$AX$45,BI12,MATCH($BH$6,$6:$6,0))=0,"",INDEX($A$1:AX50,BI12,MATCH($BH$6,$6:$6,0)))</f>
        <v/>
      </c>
      <c r="BI12">
        <v>12</v>
      </c>
    </row>
    <row r="13" spans="1:63">
      <c r="U13" s="314"/>
      <c r="AE13" s="314"/>
      <c r="AP13" s="315"/>
      <c r="BE13" s="6" t="str">
        <f t="shared" si="1"/>
        <v/>
      </c>
      <c r="BF13" s="6" t="str">
        <f t="shared" si="2"/>
        <v/>
      </c>
      <c r="BG13" t="str">
        <f t="shared" si="0"/>
        <v/>
      </c>
      <c r="BH13" t="str">
        <f>IF(INDEX($A$1:$AX$45,BI13,MATCH($BH$6,$6:$6,0))=0,"",INDEX($A$1:AX51,BI13,MATCH($BH$6,$6:$6,0)))</f>
        <v/>
      </c>
      <c r="BI13">
        <v>13</v>
      </c>
    </row>
    <row r="14" spans="1:63">
      <c r="U14" s="314"/>
      <c r="AE14" s="314"/>
      <c r="AP14" s="315"/>
      <c r="BE14" s="6" t="str">
        <f t="shared" si="1"/>
        <v/>
      </c>
      <c r="BF14" s="6" t="str">
        <f t="shared" si="2"/>
        <v/>
      </c>
      <c r="BG14" t="str">
        <f t="shared" si="0"/>
        <v/>
      </c>
      <c r="BH14" t="str">
        <f>IF(INDEX($A$1:$AX$45,BI14,MATCH($BH$6,$6:$6,0))=0,"",INDEX($A$1:AX52,BI14,MATCH($BH$6,$6:$6,0)))</f>
        <v/>
      </c>
      <c r="BI14">
        <v>14</v>
      </c>
    </row>
    <row r="15" spans="1:63">
      <c r="BE15" s="6" t="str">
        <f t="shared" si="1"/>
        <v/>
      </c>
      <c r="BF15" s="6" t="str">
        <f t="shared" si="2"/>
        <v/>
      </c>
      <c r="BG15" t="str">
        <f t="shared" si="0"/>
        <v/>
      </c>
      <c r="BH15" t="str">
        <f>IF(INDEX($A$1:$AX$45,BI15,MATCH($BH$6,$6:$6,0))=0,"",INDEX($A$1:AX53,BI15,MATCH($BH$6,$6:$6,0)))</f>
        <v/>
      </c>
      <c r="BI15">
        <v>15</v>
      </c>
    </row>
    <row r="16" spans="1:63">
      <c r="BE16" s="6" t="str">
        <f t="shared" si="1"/>
        <v/>
      </c>
      <c r="BF16" s="6" t="str">
        <f t="shared" si="2"/>
        <v/>
      </c>
      <c r="BG16" t="str">
        <f t="shared" si="0"/>
        <v/>
      </c>
      <c r="BH16" t="str">
        <f>IF(INDEX($A$1:$AX$45,BI16,MATCH($BH$6,$6:$6,0))=0,"",INDEX($A$1:AX54,BI16,MATCH($BH$6,$6:$6,0)))</f>
        <v/>
      </c>
      <c r="BI16">
        <v>16</v>
      </c>
    </row>
    <row r="17" spans="57:61">
      <c r="BE17" s="6" t="str">
        <f t="shared" si="1"/>
        <v/>
      </c>
      <c r="BF17" s="6" t="str">
        <f t="shared" si="2"/>
        <v/>
      </c>
      <c r="BG17" t="str">
        <f t="shared" si="0"/>
        <v/>
      </c>
      <c r="BH17" t="str">
        <f>IF(INDEX($A$1:$AX$45,BI17,MATCH($BH$6,$6:$6,0))=0,"",INDEX($A$1:AX55,BI17,MATCH($BH$6,$6:$6,0)))</f>
        <v/>
      </c>
      <c r="BI17">
        <v>17</v>
      </c>
    </row>
    <row r="18" spans="57:61">
      <c r="BE18" s="6" t="str">
        <f t="shared" si="1"/>
        <v/>
      </c>
      <c r="BF18" s="6" t="str">
        <f t="shared" si="2"/>
        <v/>
      </c>
      <c r="BG18" t="str">
        <f t="shared" si="0"/>
        <v/>
      </c>
      <c r="BH18" t="str">
        <f>IF(INDEX($A$1:$AX$45,BI18,MATCH($BH$6,$6:$6,0))=0,"",INDEX($A$1:AX56,BI18,MATCH($BH$6,$6:$6,0)))</f>
        <v/>
      </c>
      <c r="BI18">
        <v>18</v>
      </c>
    </row>
    <row r="19" spans="57:61">
      <c r="BE19" s="6" t="str">
        <f t="shared" si="1"/>
        <v/>
      </c>
      <c r="BF19" s="6" t="str">
        <f t="shared" si="2"/>
        <v/>
      </c>
      <c r="BG19" t="str">
        <f t="shared" si="0"/>
        <v/>
      </c>
      <c r="BH19" t="str">
        <f>IF(INDEX($A$1:$AX$45,BI19,MATCH($BH$6,$6:$6,0))=0,"",INDEX($A$1:AX57,BI19,MATCH($BH$6,$6:$6,0)))</f>
        <v/>
      </c>
      <c r="BI19">
        <v>19</v>
      </c>
    </row>
    <row r="20" spans="57:61">
      <c r="BE20" s="6" t="str">
        <f t="shared" si="1"/>
        <v/>
      </c>
      <c r="BF20" s="6" t="str">
        <f t="shared" si="2"/>
        <v/>
      </c>
      <c r="BG20" t="str">
        <f t="shared" si="0"/>
        <v/>
      </c>
      <c r="BH20" t="str">
        <f>IF(INDEX($A$1:$AX$45,BI20,MATCH($BH$6,$6:$6,0))=0,"",INDEX($A$1:AX58,BI20,MATCH($BH$6,$6:$6,0)))</f>
        <v/>
      </c>
      <c r="BI20">
        <v>20</v>
      </c>
    </row>
    <row r="21" spans="57:61">
      <c r="BE21" s="6" t="str">
        <f t="shared" si="1"/>
        <v/>
      </c>
      <c r="BF21" s="6" t="str">
        <f t="shared" si="2"/>
        <v/>
      </c>
      <c r="BG21" t="str">
        <f t="shared" si="0"/>
        <v/>
      </c>
      <c r="BH21" t="str">
        <f>IF(INDEX($A$1:$AX$45,BI21,MATCH($BH$6,$6:$6,0))=0,"",INDEX($A$1:AX59,BI21,MATCH($BH$6,$6:$6,0)))</f>
        <v/>
      </c>
      <c r="BI21">
        <v>21</v>
      </c>
    </row>
    <row r="22" spans="57:61">
      <c r="BE22" s="6" t="str">
        <f t="shared" si="1"/>
        <v/>
      </c>
      <c r="BF22" s="6" t="str">
        <f t="shared" si="2"/>
        <v/>
      </c>
      <c r="BG22" t="str">
        <f t="shared" si="0"/>
        <v/>
      </c>
      <c r="BH22" t="str">
        <f>IF(INDEX($A$1:$AX$45,BI22,MATCH($BH$6,$6:$6,0))=0,"",INDEX($A$1:AX60,BI22,MATCH($BH$6,$6:$6,0)))</f>
        <v/>
      </c>
      <c r="BI22">
        <v>22</v>
      </c>
    </row>
    <row r="23" spans="57:61">
      <c r="BE23" s="6" t="str">
        <f t="shared" si="1"/>
        <v/>
      </c>
      <c r="BF23" s="6" t="str">
        <f t="shared" si="2"/>
        <v/>
      </c>
      <c r="BG23" t="str">
        <f t="shared" si="0"/>
        <v/>
      </c>
      <c r="BH23" t="str">
        <f>IF(INDEX($A$1:$AX$45,BI23,MATCH($BH$6,$6:$6,0))=0,"",INDEX($A$1:AX61,BI23,MATCH($BH$6,$6:$6,0)))</f>
        <v/>
      </c>
      <c r="BI23">
        <v>23</v>
      </c>
    </row>
    <row r="24" spans="57:61">
      <c r="BE24" s="6" t="str">
        <f t="shared" si="1"/>
        <v/>
      </c>
      <c r="BF24" s="6" t="str">
        <f t="shared" si="2"/>
        <v/>
      </c>
      <c r="BG24" t="str">
        <f t="shared" si="0"/>
        <v/>
      </c>
      <c r="BH24" t="str">
        <f>IF(INDEX($A$1:$AX$45,BI24,MATCH($BH$6,$6:$6,0))=0,"",INDEX($A$1:AX62,BI24,MATCH($BH$6,$6:$6,0)))</f>
        <v/>
      </c>
      <c r="BI24">
        <v>24</v>
      </c>
    </row>
    <row r="25" spans="57:61">
      <c r="BE25" s="6" t="str">
        <f t="shared" si="1"/>
        <v/>
      </c>
      <c r="BF25" s="6" t="str">
        <f t="shared" si="2"/>
        <v/>
      </c>
      <c r="BG25" t="str">
        <f t="shared" si="0"/>
        <v/>
      </c>
      <c r="BH25" t="str">
        <f>IF(INDEX($A$1:$AX$45,BI25,MATCH($BH$6,$6:$6,0))=0,"",INDEX($A$1:AX63,BI25,MATCH($BH$6,$6:$6,0)))</f>
        <v/>
      </c>
      <c r="BI25">
        <v>25</v>
      </c>
    </row>
    <row r="26" spans="57:61">
      <c r="BE26" s="6" t="str">
        <f t="shared" si="1"/>
        <v/>
      </c>
      <c r="BF26" s="6" t="str">
        <f t="shared" si="2"/>
        <v/>
      </c>
      <c r="BG26" t="str">
        <f t="shared" si="0"/>
        <v/>
      </c>
      <c r="BH26" t="str">
        <f>IF(INDEX($A$1:$AX$45,BI26,MATCH($BH$6,$6:$6,0))=0,"",INDEX($A$1:AX64,BI26,MATCH($BH$6,$6:$6,0)))</f>
        <v/>
      </c>
      <c r="BI26">
        <v>26</v>
      </c>
    </row>
    <row r="27" spans="57:61">
      <c r="BE27" s="6" t="str">
        <f t="shared" si="1"/>
        <v/>
      </c>
      <c r="BF27" s="6" t="str">
        <f t="shared" si="2"/>
        <v/>
      </c>
      <c r="BG27" t="str">
        <f t="shared" si="0"/>
        <v/>
      </c>
      <c r="BH27" t="str">
        <f>IF(INDEX($A$1:$AX$45,BI27,MATCH($BH$6,$6:$6,0))=0,"",INDEX($A$1:AX65,BI27,MATCH($BH$6,$6:$6,0)))</f>
        <v/>
      </c>
      <c r="BI27">
        <v>27</v>
      </c>
    </row>
    <row r="28" spans="57:61">
      <c r="BE28" s="6" t="str">
        <f t="shared" si="1"/>
        <v/>
      </c>
      <c r="BF28" s="6" t="str">
        <f t="shared" si="2"/>
        <v/>
      </c>
      <c r="BG28" t="str">
        <f t="shared" si="0"/>
        <v/>
      </c>
      <c r="BH28" t="str">
        <f>IF(INDEX($A$1:$AX$45,BI28,MATCH($BH$6,$6:$6,0))=0,"",INDEX($A$1:AX66,BI28,MATCH($BH$6,$6:$6,0)))</f>
        <v/>
      </c>
      <c r="BI28">
        <v>28</v>
      </c>
    </row>
    <row r="29" spans="57:61">
      <c r="BE29" s="6" t="str">
        <f t="shared" si="1"/>
        <v/>
      </c>
      <c r="BF29" s="6" t="str">
        <f t="shared" si="2"/>
        <v/>
      </c>
      <c r="BG29" t="str">
        <f t="shared" si="0"/>
        <v/>
      </c>
      <c r="BH29" t="str">
        <f>IF(INDEX($A$1:$AX$45,BI29,MATCH($BH$6,$6:$6,0))=0,"",INDEX($A$1:AX67,BI29,MATCH($BH$6,$6:$6,0)))</f>
        <v/>
      </c>
      <c r="BI29">
        <v>29</v>
      </c>
    </row>
    <row r="30" spans="57:61">
      <c r="BE30" s="6" t="str">
        <f t="shared" si="1"/>
        <v/>
      </c>
      <c r="BF30" s="6" t="str">
        <f t="shared" si="2"/>
        <v/>
      </c>
      <c r="BG30" t="str">
        <f t="shared" si="0"/>
        <v/>
      </c>
      <c r="BH30" t="str">
        <f>IF(INDEX($A$1:$AX$45,BI30,MATCH($BH$6,$6:$6,0))=0,"",INDEX($A$1:AX68,BI30,MATCH($BH$6,$6:$6,0)))</f>
        <v/>
      </c>
      <c r="BI30">
        <v>30</v>
      </c>
    </row>
    <row r="31" spans="57:61">
      <c r="BE31" s="6" t="str">
        <f t="shared" si="1"/>
        <v/>
      </c>
      <c r="BF31" s="6" t="str">
        <f t="shared" si="2"/>
        <v/>
      </c>
      <c r="BG31" t="str">
        <f t="shared" si="0"/>
        <v/>
      </c>
      <c r="BH31" t="str">
        <f>IF(INDEX($A$1:$AX$45,BI31,MATCH($BH$6,$6:$6,0))=0,"",INDEX($A$1:AX69,BI31,MATCH($BH$6,$6:$6,0)))</f>
        <v/>
      </c>
      <c r="BI31">
        <v>31</v>
      </c>
    </row>
    <row r="32" spans="57:61">
      <c r="BE32" s="6" t="str">
        <f t="shared" si="1"/>
        <v/>
      </c>
      <c r="BF32" s="6" t="str">
        <f t="shared" si="2"/>
        <v/>
      </c>
      <c r="BG32" t="str">
        <f t="shared" si="0"/>
        <v/>
      </c>
      <c r="BH32" t="str">
        <f>IF(INDEX($A$1:$AX$45,BI32,MATCH($BH$6,$6:$6,0))=0,"",INDEX($A$1:AX70,BI32,MATCH($BH$6,$6:$6,0)))</f>
        <v/>
      </c>
      <c r="BI32">
        <v>32</v>
      </c>
    </row>
    <row r="33" spans="57:61">
      <c r="BE33" s="6" t="str">
        <f t="shared" si="1"/>
        <v/>
      </c>
      <c r="BF33" s="6" t="str">
        <f t="shared" si="2"/>
        <v/>
      </c>
      <c r="BG33" t="str">
        <f t="shared" si="0"/>
        <v/>
      </c>
      <c r="BH33" t="str">
        <f>IF(INDEX($A$1:$AX$45,BI33,MATCH($BH$6,$6:$6,0))=0,"",INDEX($A$1:AX71,BI33,MATCH($BH$6,$6:$6,0)))</f>
        <v/>
      </c>
      <c r="BI33">
        <v>33</v>
      </c>
    </row>
    <row r="34" spans="57:61">
      <c r="BE34" s="6" t="str">
        <f t="shared" si="1"/>
        <v/>
      </c>
      <c r="BF34" s="6" t="str">
        <f t="shared" si="2"/>
        <v/>
      </c>
      <c r="BG34" t="str">
        <f t="shared" si="0"/>
        <v/>
      </c>
      <c r="BH34" t="str">
        <f>IF(INDEX($A$1:$AX$45,BI34,MATCH($BH$6,$6:$6,0))=0,"",INDEX($A$1:AX72,BI34,MATCH($BH$6,$6:$6,0)))</f>
        <v/>
      </c>
      <c r="BI34">
        <v>34</v>
      </c>
    </row>
    <row r="35" spans="57:61">
      <c r="BE35" s="6" t="str">
        <f t="shared" si="1"/>
        <v/>
      </c>
      <c r="BF35" s="6" t="str">
        <f t="shared" si="2"/>
        <v/>
      </c>
      <c r="BG35" t="str">
        <f t="shared" si="0"/>
        <v/>
      </c>
      <c r="BH35" t="str">
        <f>IF(INDEX($A$1:$AX$45,BI35,MATCH($BH$6,$6:$6,0))=0,"",INDEX($A$1:AX73,BI35,MATCH($BH$6,$6:$6,0)))</f>
        <v/>
      </c>
      <c r="BI35">
        <v>35</v>
      </c>
    </row>
    <row r="36" spans="57:61">
      <c r="BE36" s="6" t="str">
        <f t="shared" si="1"/>
        <v/>
      </c>
      <c r="BF36" s="6" t="str">
        <f t="shared" si="2"/>
        <v/>
      </c>
      <c r="BG36" t="str">
        <f t="shared" si="0"/>
        <v/>
      </c>
      <c r="BH36" t="str">
        <f>IF(INDEX($A$1:$AX$45,BI36,MATCH($BH$6,$6:$6,0))=0,"",INDEX($A$1:AX74,BI36,MATCH($BH$6,$6:$6,0)))</f>
        <v/>
      </c>
      <c r="BI36">
        <v>36</v>
      </c>
    </row>
    <row r="37" spans="57:61">
      <c r="BE37" s="6" t="str">
        <f t="shared" si="1"/>
        <v/>
      </c>
      <c r="BF37" s="6" t="str">
        <f t="shared" si="2"/>
        <v/>
      </c>
      <c r="BG37" t="str">
        <f t="shared" si="0"/>
        <v/>
      </c>
      <c r="BH37" t="str">
        <f>IF(INDEX($A$1:$AX$45,BI37,MATCH($BH$6,$6:$6,0))=0,"",INDEX($A$1:AX75,BI37,MATCH($BH$6,$6:$6,0)))</f>
        <v/>
      </c>
      <c r="BI37">
        <v>37</v>
      </c>
    </row>
    <row r="38" spans="57:61">
      <c r="BE38" s="6" t="str">
        <f t="shared" si="1"/>
        <v/>
      </c>
      <c r="BF38" s="6" t="str">
        <f t="shared" si="2"/>
        <v/>
      </c>
      <c r="BG38" t="str">
        <f t="shared" si="0"/>
        <v/>
      </c>
      <c r="BH38" t="str">
        <f>IF(INDEX($A$1:$AX$45,BI38,MATCH($BH$6,$6:$6,0))=0,"",INDEX($A$1:AX76,BI38,MATCH($BH$6,$6:$6,0)))</f>
        <v/>
      </c>
      <c r="BI38">
        <v>38</v>
      </c>
    </row>
    <row r="39" spans="57:61">
      <c r="BE39" s="6" t="str">
        <f t="shared" si="1"/>
        <v/>
      </c>
      <c r="BF39" s="6" t="str">
        <f t="shared" si="2"/>
        <v/>
      </c>
      <c r="BG39" t="str">
        <f t="shared" si="0"/>
        <v/>
      </c>
      <c r="BH39" t="str">
        <f>IF(INDEX($A$1:$AX$45,BI39,MATCH($BH$6,$6:$6,0))=0,"",INDEX($A$1:AX77,BI39,MATCH($BH$6,$6:$6,0)))</f>
        <v/>
      </c>
      <c r="BI39">
        <v>39</v>
      </c>
    </row>
    <row r="40" spans="57:61">
      <c r="BE40" s="6" t="str">
        <f t="shared" si="1"/>
        <v/>
      </c>
      <c r="BF40" s="6" t="str">
        <f t="shared" si="2"/>
        <v/>
      </c>
      <c r="BG40" t="str">
        <f t="shared" si="0"/>
        <v/>
      </c>
      <c r="BH40" t="str">
        <f>IF(INDEX($A$1:$AX$45,BI40,MATCH($BH$6,$6:$6,0))=0,"",INDEX($A$1:AX78,BI40,MATCH($BH$6,$6:$6,0)))</f>
        <v/>
      </c>
      <c r="BI40">
        <v>40</v>
      </c>
    </row>
    <row r="41" spans="57:61">
      <c r="BE41" s="6" t="str">
        <f t="shared" si="1"/>
        <v/>
      </c>
      <c r="BF41" s="6" t="str">
        <f t="shared" si="2"/>
        <v/>
      </c>
      <c r="BG41" t="str">
        <f t="shared" si="0"/>
        <v/>
      </c>
      <c r="BH41" t="str">
        <f>IF(INDEX($A$1:$AX$45,BI41,MATCH($BH$6,$6:$6,0))=0,"",INDEX($A$1:AX79,BI41,MATCH($BH$6,$6:$6,0)))</f>
        <v/>
      </c>
      <c r="BI41">
        <v>41</v>
      </c>
    </row>
    <row r="42" spans="57:61">
      <c r="BE42" s="6" t="str">
        <f t="shared" si="1"/>
        <v/>
      </c>
      <c r="BF42" s="6" t="str">
        <f t="shared" si="2"/>
        <v/>
      </c>
      <c r="BG42" t="str">
        <f t="shared" si="0"/>
        <v/>
      </c>
      <c r="BH42" t="str">
        <f>IF(INDEX($A$1:$AX$45,BI42,MATCH($BH$6,$6:$6,0))=0,"",INDEX($A$1:AX80,BI42,MATCH($BH$6,$6:$6,0)))</f>
        <v/>
      </c>
      <c r="BI42">
        <v>41</v>
      </c>
    </row>
    <row r="43" spans="57:61">
      <c r="BE43" s="6" t="str">
        <f t="shared" si="1"/>
        <v/>
      </c>
      <c r="BF43" s="6" t="str">
        <f t="shared" si="2"/>
        <v/>
      </c>
      <c r="BG43" t="str">
        <f t="shared" si="0"/>
        <v/>
      </c>
      <c r="BH43" t="str">
        <f>IF(INDEX($A$1:$AX$45,BI43,MATCH($BH$6,$6:$6,0))=0,"",INDEX($A$1:AX81,BI43,MATCH($BH$6,$6:$6,0)))</f>
        <v/>
      </c>
      <c r="BI43">
        <v>41</v>
      </c>
    </row>
    <row r="44" spans="57:61">
      <c r="BE44" s="6" t="str">
        <f t="shared" si="1"/>
        <v/>
      </c>
      <c r="BF44" s="6" t="str">
        <f t="shared" si="2"/>
        <v/>
      </c>
      <c r="BG44" t="str">
        <f t="shared" si="0"/>
        <v/>
      </c>
      <c r="BH44" t="str">
        <f>IF(INDEX($A$1:$AX$45,BI44,MATCH($BH$6,$6:$6,0))=0,"",INDEX($A$1:AX82,BI44,MATCH($BH$6,$6:$6,0)))</f>
        <v/>
      </c>
      <c r="BI44">
        <v>41</v>
      </c>
    </row>
    <row r="45" spans="57:61">
      <c r="BE45" s="6" t="str">
        <f t="shared" si="1"/>
        <v/>
      </c>
      <c r="BF45" s="6" t="str">
        <f t="shared" si="2"/>
        <v/>
      </c>
      <c r="BG45" t="str">
        <f t="shared" si="0"/>
        <v/>
      </c>
      <c r="BH45" t="str">
        <f>IF(INDEX($A$1:$AX$45,BI45,MATCH($BH$6,$6:$6,0))=0,"",INDEX($A$1:AX83,BI45,MATCH($BH$6,$6:$6,0)))</f>
        <v/>
      </c>
      <c r="BI45">
        <v>41</v>
      </c>
    </row>
  </sheetData>
  <phoneticPr fontId="2" type="noConversion"/>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610A5-2293-4D6C-BAC2-0E322064B7B7}">
  <sheetPr>
    <tabColor theme="9" tint="0.79998168889431442"/>
  </sheetPr>
  <dimension ref="A1:O35"/>
  <sheetViews>
    <sheetView zoomScale="85" zoomScaleNormal="85" workbookViewId="0">
      <selection activeCell="M13" sqref="M13"/>
    </sheetView>
  </sheetViews>
  <sheetFormatPr defaultRowHeight="16.5"/>
  <cols>
    <col min="2" max="2" width="11.125" customWidth="1"/>
    <col min="3" max="3" width="10.625" bestFit="1" customWidth="1"/>
    <col min="4" max="4" width="66.125" customWidth="1"/>
    <col min="7" max="7" width="12" bestFit="1" customWidth="1"/>
    <col min="9" max="9" width="10.875" bestFit="1" customWidth="1"/>
    <col min="10" max="10" width="10.625" bestFit="1" customWidth="1"/>
    <col min="11" max="11" width="9.625" bestFit="1" customWidth="1"/>
    <col min="13" max="15" width="18.875" customWidth="1"/>
  </cols>
  <sheetData>
    <row r="1" spans="1:15">
      <c r="A1" t="s">
        <v>752</v>
      </c>
      <c r="B1" s="288" t="s">
        <v>790</v>
      </c>
    </row>
    <row r="2" spans="1:15" ht="17.25" thickBot="1">
      <c r="C2" t="s">
        <v>982</v>
      </c>
      <c r="E2" t="s">
        <v>753</v>
      </c>
      <c r="F2" t="s">
        <v>754</v>
      </c>
      <c r="G2" t="s">
        <v>983</v>
      </c>
      <c r="H2" t="s">
        <v>984</v>
      </c>
      <c r="I2" t="s">
        <v>985</v>
      </c>
    </row>
    <row r="3" spans="1:15">
      <c r="A3" s="381" t="s">
        <v>756</v>
      </c>
      <c r="B3" s="375" t="s">
        <v>757</v>
      </c>
      <c r="C3" s="375" t="s">
        <v>758</v>
      </c>
      <c r="D3" s="289" t="s">
        <v>759</v>
      </c>
      <c r="E3" s="383" t="s">
        <v>760</v>
      </c>
      <c r="F3" s="384"/>
      <c r="G3" s="375" t="s">
        <v>761</v>
      </c>
      <c r="H3" s="375" t="s">
        <v>762</v>
      </c>
      <c r="I3" s="375" t="s">
        <v>763</v>
      </c>
      <c r="J3" s="375" t="s">
        <v>764</v>
      </c>
      <c r="K3" s="377" t="s">
        <v>765</v>
      </c>
      <c r="M3" s="290" t="s">
        <v>766</v>
      </c>
      <c r="N3" s="290" t="s">
        <v>767</v>
      </c>
      <c r="O3" s="290" t="s">
        <v>765</v>
      </c>
    </row>
    <row r="4" spans="1:15" ht="17.25">
      <c r="A4" s="382"/>
      <c r="B4" s="376"/>
      <c r="C4" s="376"/>
      <c r="D4" s="291" t="s">
        <v>768</v>
      </c>
      <c r="E4" s="291" t="s">
        <v>769</v>
      </c>
      <c r="F4" s="291" t="s">
        <v>770</v>
      </c>
      <c r="G4" s="376"/>
      <c r="H4" s="376"/>
      <c r="I4" s="376"/>
      <c r="J4" s="376"/>
      <c r="K4" s="378"/>
      <c r="M4" s="292">
        <f>I14</f>
        <v>512</v>
      </c>
      <c r="N4" s="293">
        <f>J14</f>
        <v>0.35457063711911357</v>
      </c>
      <c r="O4" s="321">
        <f>K14</f>
        <v>16.366347656249999</v>
      </c>
    </row>
    <row r="5" spans="1:15">
      <c r="A5" s="294">
        <v>1</v>
      </c>
      <c r="B5" s="295" t="s">
        <v>771</v>
      </c>
      <c r="C5" s="317">
        <f>IF($D$5="","",INDEX('Follower Ad data'!$A$1:$AX$15,7,MATCH(C$2,'Follower Ad data'!$6:$6,0)))</f>
        <v>4894.32</v>
      </c>
      <c r="D5" s="296" t="s">
        <v>785</v>
      </c>
      <c r="E5" s="297" t="str">
        <f>IF('Follower Ad data'!BE7="","",TEXT('Follower Ad data'!BE7,"mm월 dd일"))</f>
        <v>12월 31일</v>
      </c>
      <c r="F5" s="297" t="str">
        <f>IF('Follower Ad data'!BF7="","",TEXT('Follower Ad data'!BF7,"mm월 dd일"))</f>
        <v>03월 31일</v>
      </c>
      <c r="G5" s="298">
        <f>IF($D$5="","",INDEX('Follower Ad data'!$A$1:$AX$15,7,MATCH(G$2,'Follower Ad data'!$6:$6,0)))</f>
        <v>3811638</v>
      </c>
      <c r="H5" s="298">
        <f>IF($D$5="","",INDEX('Follower Ad data'!$A$1:$AX$15,7,MATCH(H$2,'Follower Ad data'!$6:$6,0)))</f>
        <v>765</v>
      </c>
      <c r="I5" s="299">
        <f>IF($D$5="","",INDEX('Follower Ad data'!$A$1:$AX$15,7,MATCH(I$2,'Follower Ad data'!$6:$6,0)))</f>
        <v>274</v>
      </c>
      <c r="J5" s="300">
        <f>IF(I5="","",I5/H5)</f>
        <v>0.35816993464052288</v>
      </c>
      <c r="K5" s="319">
        <f>IFERROR(C5/I5,"")</f>
        <v>17.862481751824816</v>
      </c>
    </row>
    <row r="6" spans="1:15">
      <c r="A6" s="294">
        <v>2</v>
      </c>
      <c r="B6" s="295" t="s">
        <v>771</v>
      </c>
      <c r="C6" s="317">
        <f>IF($D$6="","",INDEX('Follower Ad data'!$A$1:$AX$15,8,MATCH(C$2,'Follower Ad data'!$6:$6,0)))</f>
        <v>2380.1999999999998</v>
      </c>
      <c r="D6" s="296" t="s">
        <v>788</v>
      </c>
      <c r="E6" s="297" t="str">
        <f>IF('Follower Ad data'!BE8="","",TEXT('Follower Ad data'!BE8,"mm월 dd일"))</f>
        <v>12월 31일</v>
      </c>
      <c r="F6" s="297" t="str">
        <f>IF('Follower Ad data'!BF8="","",TEXT('Follower Ad data'!BF8,"mm월 dd일"))</f>
        <v>03월 31일</v>
      </c>
      <c r="G6" s="298">
        <f>IF($D$6="","",INDEX('Follower Ad data'!$A$1:$AX$15,8,MATCH(G$2,'Follower Ad data'!$6:$6,0)))</f>
        <v>1543430</v>
      </c>
      <c r="H6" s="298">
        <f>IF($D$6="","",INDEX('Follower Ad data'!$A$1:$AX$15,8,MATCH(H$2,'Follower Ad data'!$6:$6,0)))</f>
        <v>505</v>
      </c>
      <c r="I6" s="299">
        <f>IF($D$6="","",INDEX('Follower Ad data'!$A$1:$AX$15,8,MATCH(I$2,'Follower Ad data'!$6:$6,0)))</f>
        <v>178</v>
      </c>
      <c r="J6" s="300">
        <f t="shared" ref="J6:J14" si="0">IF(I6="","",I6/H6)</f>
        <v>0.35247524752475246</v>
      </c>
      <c r="K6" s="319">
        <f t="shared" ref="K6:K13" si="1">IFERROR(C6/I6,"")</f>
        <v>13.371910112359549</v>
      </c>
    </row>
    <row r="7" spans="1:15">
      <c r="A7" s="294">
        <v>3</v>
      </c>
      <c r="B7" s="295" t="s">
        <v>771</v>
      </c>
      <c r="C7" s="317">
        <f>IF($D$7="","",INDEX('Follower Ad data'!$A$1:$AX$15,9,MATCH(C$2,'Follower Ad data'!$6:$6,0)))</f>
        <v>1105.05</v>
      </c>
      <c r="D7" s="296" t="s">
        <v>789</v>
      </c>
      <c r="E7" s="297" t="str">
        <f>IF('Follower Ad data'!BE9="","",TEXT('Follower Ad data'!BE9,"mm월 dd일"))</f>
        <v>02월 01일</v>
      </c>
      <c r="F7" s="297" t="str">
        <f>IF('Follower Ad data'!BF9="","",TEXT('Follower Ad data'!BF9,"mm월 dd일"))</f>
        <v>03월 31일</v>
      </c>
      <c r="G7" s="298">
        <f>IF($D$7="","",INDEX('Follower Ad data'!$A$1:$AX$15,9,MATCH(G$2,'Follower Ad data'!$6:$6,0)))</f>
        <v>881056</v>
      </c>
      <c r="H7" s="298">
        <f>IF($D$7="","",INDEX('Follower Ad data'!$A$1:$AX$15,9,MATCH(H$2,'Follower Ad data'!$6:$6,0)))</f>
        <v>174</v>
      </c>
      <c r="I7" s="299">
        <f>IF($D$7="","",INDEX('Follower Ad data'!$A$1:$AX$15,9,MATCH(I$2,'Follower Ad data'!$6:$6,0)))</f>
        <v>60</v>
      </c>
      <c r="J7" s="300">
        <f t="shared" si="0"/>
        <v>0.34482758620689657</v>
      </c>
      <c r="K7" s="319">
        <f t="shared" si="1"/>
        <v>18.4175</v>
      </c>
    </row>
    <row r="8" spans="1:15">
      <c r="A8" s="294">
        <v>4</v>
      </c>
      <c r="B8" s="295"/>
      <c r="C8" s="317" t="str">
        <f>IF($D$8="","",INDEX('Follower Ad data'!$A$1:$AX$15,10,MATCH(C$2,'Follower Ad data'!$6:$6,0)))</f>
        <v/>
      </c>
      <c r="D8" s="296"/>
      <c r="E8" s="297" t="str">
        <f>IF('Follower Ad data'!BE10="","",TEXT('Follower Ad data'!BE10,"mm월 dd일"))</f>
        <v/>
      </c>
      <c r="F8" s="297" t="str">
        <f>IF('Follower Ad data'!BF10="","",TEXT('Follower Ad data'!BF10,"mm월 dd일"))</f>
        <v/>
      </c>
      <c r="G8" s="298" t="str">
        <f>IF($D$8="","",INDEX('Follower Ad data'!$A$1:$AX$15,10,MATCH(G$2,'Follower Ad data'!$6:$6,0)))</f>
        <v/>
      </c>
      <c r="H8" s="298" t="str">
        <f>IF($D$8="","",INDEX('Follower Ad data'!$A$1:$AX$15,10,MATCH(H$2,'Follower Ad data'!$6:$6,0)))</f>
        <v/>
      </c>
      <c r="I8" s="299" t="str">
        <f>IF($D$8="","",INDEX('Follower Ad data'!$A$1:$AX$15,10,MATCH(I$2,'Follower Ad data'!$6:$6,0)))</f>
        <v/>
      </c>
      <c r="J8" s="300" t="str">
        <f>IF(I8="","",I8/H8)</f>
        <v/>
      </c>
      <c r="K8" s="319" t="str">
        <f t="shared" si="1"/>
        <v/>
      </c>
      <c r="M8" s="256"/>
    </row>
    <row r="9" spans="1:15">
      <c r="A9" s="294">
        <v>5</v>
      </c>
      <c r="B9" s="295"/>
      <c r="C9" s="317" t="str">
        <f>IF($D$9="","",INDEX('Follower Ad data'!$A$1:$AX$15,11,MATCH(C$2,'Follower Ad data'!$6:$6,0)))</f>
        <v/>
      </c>
      <c r="D9" s="296"/>
      <c r="E9" s="297" t="str">
        <f>IF('Follower Ad data'!BE11="","",TEXT('Follower Ad data'!BE11,"mm월 dd일"))</f>
        <v/>
      </c>
      <c r="F9" s="297" t="str">
        <f>IF('Follower Ad data'!BF11="","",TEXT('Follower Ad data'!BF11,"mm월 dd일"))</f>
        <v/>
      </c>
      <c r="G9" s="298" t="str">
        <f>IF($D$9="","",INDEX('Follower Ad data'!$A$1:$AX$15,11,MATCH(G$2,'Follower Ad data'!$6:$6,0)))</f>
        <v/>
      </c>
      <c r="H9" s="298" t="str">
        <f>IF($D$9="","",INDEX('Follower Ad data'!$A$1:$AX$15,11,MATCH(H$2,'Follower Ad data'!$6:$6,0)))</f>
        <v/>
      </c>
      <c r="I9" s="299" t="str">
        <f>IF($D$9="","",INDEX('Follower Ad data'!$A$1:$AX$15,11,MATCH(I$2,'Follower Ad data'!$6:$6,0)))</f>
        <v/>
      </c>
      <c r="J9" s="300" t="str">
        <f t="shared" si="0"/>
        <v/>
      </c>
      <c r="K9" s="319" t="str">
        <f t="shared" si="1"/>
        <v/>
      </c>
      <c r="M9" s="322"/>
    </row>
    <row r="10" spans="1:15">
      <c r="A10" s="294">
        <v>6</v>
      </c>
      <c r="B10" s="295"/>
      <c r="C10" s="317" t="str">
        <f>IF($D$10="","",INDEX('Follower Ad data'!$A$1:$AX$15,12,MATCH(C$2,'Follower Ad data'!$6:$6,0)))</f>
        <v/>
      </c>
      <c r="D10" s="296"/>
      <c r="E10" s="297" t="str">
        <f>IF('Follower Ad data'!BE12="","",TEXT('Follower Ad data'!BE12,"mm월 dd일"))</f>
        <v/>
      </c>
      <c r="F10" s="297" t="str">
        <f>IF('Follower Ad data'!BF12="","",TEXT('Follower Ad data'!BF12,"mm월 dd일"))</f>
        <v/>
      </c>
      <c r="G10" s="298" t="str">
        <f>IF($D$10="","",INDEX('Follower Ad data'!$A$1:$AX$15,12,MATCH(G$2,'Follower Ad data'!$6:$6,0)))</f>
        <v/>
      </c>
      <c r="H10" s="298" t="str">
        <f>IF($D$10="","",INDEX('Follower Ad data'!$A$1:$AX$15,12,MATCH(H$2,'Follower Ad data'!$6:$6,0)))</f>
        <v/>
      </c>
      <c r="I10" s="299" t="str">
        <f>IF($D$10="","",INDEX('Follower Ad data'!$A$1:$AX$15,12,MATCH(I$2,'Follower Ad data'!$6:$6,0)))</f>
        <v/>
      </c>
      <c r="J10" s="300" t="str">
        <f t="shared" si="0"/>
        <v/>
      </c>
      <c r="K10" s="319" t="str">
        <f t="shared" si="1"/>
        <v/>
      </c>
      <c r="M10" s="256"/>
    </row>
    <row r="11" spans="1:15">
      <c r="A11" s="294">
        <v>7</v>
      </c>
      <c r="B11" s="301"/>
      <c r="C11" s="317" t="str">
        <f>IF($D$11="","",INDEX('Follower Ad data'!$A$1:$AX$15,13,MATCH(C$2,'Follower Ad data'!$6:$6,0)))</f>
        <v/>
      </c>
      <c r="D11" s="302"/>
      <c r="E11" s="297" t="str">
        <f>IF('Follower Ad data'!BE13="","",TEXT('Follower Ad data'!BE13,"mm월 dd일"))</f>
        <v/>
      </c>
      <c r="F11" s="297" t="str">
        <f>IF('Follower Ad data'!BF13="","",TEXT('Follower Ad data'!BF13,"mm월 dd일"))</f>
        <v/>
      </c>
      <c r="G11" s="298" t="str">
        <f>IF($D$11="","",INDEX('Follower Ad data'!$A$1:$AX$15,13,MATCH(G$2,'Follower Ad data'!$6:$6,0)))</f>
        <v/>
      </c>
      <c r="H11" s="298" t="str">
        <f>IF($D$11="","",INDEX('Follower Ad data'!$A$1:$AX$15,13,MATCH(H$2,'Follower Ad data'!$6:$6,0)))</f>
        <v/>
      </c>
      <c r="I11" s="299" t="str">
        <f>IF($D$11="","",INDEX('Follower Ad data'!$A$1:$AX$15,13,MATCH(I$2,'Follower Ad data'!$6:$6,0)))</f>
        <v/>
      </c>
      <c r="J11" s="300" t="str">
        <f t="shared" si="0"/>
        <v/>
      </c>
      <c r="K11" s="319" t="str">
        <f t="shared" si="1"/>
        <v/>
      </c>
      <c r="M11" s="323"/>
    </row>
    <row r="12" spans="1:15">
      <c r="A12" s="294">
        <v>8</v>
      </c>
      <c r="B12" s="301"/>
      <c r="C12" s="317" t="str">
        <f>IF($D$12="","",INDEX('Follower Ad data'!$A$1:$AX$15,14,MATCH(C$2,'Follower Ad data'!$6:$6,0)))</f>
        <v/>
      </c>
      <c r="D12" s="302"/>
      <c r="E12" s="297" t="str">
        <f>IF('Follower Ad data'!BE14="","",TEXT('Follower Ad data'!BE14,"mm월 dd일"))</f>
        <v/>
      </c>
      <c r="F12" s="297" t="str">
        <f>IF('Follower Ad data'!BF14="","",TEXT('Follower Ad data'!BF14,"mm월 dd일"))</f>
        <v/>
      </c>
      <c r="G12" s="298" t="str">
        <f>IF($D$12="","",INDEX('Follower Ad data'!$A$1:$AX$15,14,MATCH(G$2,'Follower Ad data'!$6:$6,0)))</f>
        <v/>
      </c>
      <c r="H12" s="298" t="str">
        <f>IF($D$12="","",INDEX('Follower Ad data'!$A$1:$AX$15,14,MATCH(H$2,'Follower Ad data'!$6:$6,0)))</f>
        <v/>
      </c>
      <c r="I12" s="299" t="str">
        <f>IF($D$12="","",INDEX('Follower Ad data'!$A$1:$AX$15,14,MATCH(I$2,'Follower Ad data'!$6:$6,0)))</f>
        <v/>
      </c>
      <c r="J12" s="300" t="str">
        <f t="shared" si="0"/>
        <v/>
      </c>
      <c r="K12" s="319" t="str">
        <f t="shared" si="1"/>
        <v/>
      </c>
    </row>
    <row r="13" spans="1:15">
      <c r="A13" s="294">
        <v>9</v>
      </c>
      <c r="B13" s="301"/>
      <c r="C13" s="317" t="str">
        <f>IF($D$13="","",INDEX('Follower Ad data'!$A$1:$AX$15,15,MATCH(C$2,'Follower Ad data'!$6:$6,0)))</f>
        <v/>
      </c>
      <c r="D13" s="302"/>
      <c r="E13" s="297" t="str">
        <f>IF('Follower Ad data'!BE15="","",TEXT('Follower Ad data'!BE15,"mm월 dd일"))</f>
        <v/>
      </c>
      <c r="F13" s="297" t="str">
        <f>IF('Follower Ad data'!BF15="","",TEXT('Follower Ad data'!BF15,"mm월 dd일"))</f>
        <v/>
      </c>
      <c r="G13" s="298" t="str">
        <f>IF($D$13="","",INDEX('Follower Ad data'!$A$1:$AX$15,15,MATCH(G$2,'Follower Ad data'!$6:$6,0)))</f>
        <v/>
      </c>
      <c r="H13" s="298" t="str">
        <f>IF($D$13="","",INDEX('Follower Ad data'!$A$1:$AX$15,15,MATCH(H$2,'Follower Ad data'!$6:$6,0)))</f>
        <v/>
      </c>
      <c r="I13" s="299" t="str">
        <f>IF($D$13="","",INDEX('Follower Ad data'!$A$1:$AX$15,15,MATCH(I$2,'Follower Ad data'!$6:$6,0)))</f>
        <v/>
      </c>
      <c r="J13" s="300" t="str">
        <f t="shared" si="0"/>
        <v/>
      </c>
      <c r="K13" s="319" t="str">
        <f t="shared" si="1"/>
        <v/>
      </c>
    </row>
    <row r="14" spans="1:15" ht="24" thickBot="1">
      <c r="A14" s="379" t="s">
        <v>153</v>
      </c>
      <c r="B14" s="380"/>
      <c r="C14" s="318">
        <f>SUM(C5:C13)</f>
        <v>8379.57</v>
      </c>
      <c r="D14" s="303"/>
      <c r="E14" s="304"/>
      <c r="F14" s="304"/>
      <c r="G14" s="305">
        <f>SUM(G5:G13)</f>
        <v>6236124</v>
      </c>
      <c r="H14" s="306">
        <f>SUM(H5:H13)</f>
        <v>1444</v>
      </c>
      <c r="I14" s="307">
        <f>SUM(I5:I13)</f>
        <v>512</v>
      </c>
      <c r="J14" s="308">
        <f t="shared" si="0"/>
        <v>0.35457063711911357</v>
      </c>
      <c r="K14" s="320">
        <f>IFERROR(C14/I14,"")</f>
        <v>16.366347656249999</v>
      </c>
    </row>
    <row r="15" spans="1:15" ht="17.45" customHeight="1"/>
    <row r="17" spans="1:13" ht="17.25">
      <c r="D17" s="309" t="str">
        <f>"("&amp;B1&amp;") 총 지출비용 "&amp;TEXT(C14,"$#,##0")&amp;" / 총 클릭 "&amp;TEXT(H14, "#,##0")&amp;" / 신규 팔로워 "&amp;TEXT(M4,"#,##0")&amp;" 명"</f>
        <v>(24 Q1 팔로워 광고) 총 지출비용 $8,380 / 총 클릭 1,444 / 신규 팔로워 512 명</v>
      </c>
    </row>
    <row r="18" spans="1:13" ht="26.25">
      <c r="D18" s="310"/>
    </row>
    <row r="21" spans="1:13" ht="17.25" thickBot="1">
      <c r="G21" t="s">
        <v>755</v>
      </c>
      <c r="H21" t="s">
        <v>772</v>
      </c>
      <c r="I21" t="s">
        <v>773</v>
      </c>
      <c r="J21" t="s">
        <v>986</v>
      </c>
      <c r="K21" t="s">
        <v>987</v>
      </c>
    </row>
    <row r="22" spans="1:13">
      <c r="A22" s="381" t="s">
        <v>756</v>
      </c>
      <c r="B22" s="375" t="s">
        <v>757</v>
      </c>
      <c r="C22" s="375" t="s">
        <v>758</v>
      </c>
      <c r="D22" s="289" t="s">
        <v>759</v>
      </c>
      <c r="E22" s="383" t="s">
        <v>760</v>
      </c>
      <c r="F22" s="384"/>
      <c r="G22" s="375" t="s">
        <v>761</v>
      </c>
      <c r="H22" s="375" t="s">
        <v>762</v>
      </c>
      <c r="I22" s="375" t="s">
        <v>773</v>
      </c>
      <c r="J22" s="375" t="s">
        <v>774</v>
      </c>
      <c r="K22" s="377" t="s">
        <v>775</v>
      </c>
    </row>
    <row r="23" spans="1:13">
      <c r="A23" s="382"/>
      <c r="B23" s="376"/>
      <c r="C23" s="376"/>
      <c r="D23" s="291" t="s">
        <v>768</v>
      </c>
      <c r="E23" s="291" t="s">
        <v>769</v>
      </c>
      <c r="F23" s="291" t="s">
        <v>770</v>
      </c>
      <c r="G23" s="376"/>
      <c r="H23" s="376"/>
      <c r="I23" s="376"/>
      <c r="J23" s="376"/>
      <c r="K23" s="378"/>
    </row>
    <row r="24" spans="1:13">
      <c r="A24" s="294">
        <v>1</v>
      </c>
      <c r="B24" s="311" t="str">
        <f t="shared" ref="B24:B32" si="2">IF(B5="","",B5)</f>
        <v>팔로워 광고</v>
      </c>
      <c r="C24" s="317">
        <f>C5</f>
        <v>4894.32</v>
      </c>
      <c r="D24" s="312" t="str">
        <f t="shared" ref="D24:D32" si="3">IF(D5="","",D5)</f>
        <v>24 Q1 Follower ADs (TOP Customer)</v>
      </c>
      <c r="E24" s="297" t="str">
        <f>E5</f>
        <v>12월 31일</v>
      </c>
      <c r="F24" s="297" t="str">
        <f>F5</f>
        <v>03월 31일</v>
      </c>
      <c r="G24" s="298">
        <f>G5</f>
        <v>3811638</v>
      </c>
      <c r="H24" s="298">
        <f>H5</f>
        <v>765</v>
      </c>
      <c r="I24" s="300">
        <f t="shared" ref="I24:I32" si="4">IF(D24="","",H24/G24)</f>
        <v>2.0070111589820441E-4</v>
      </c>
      <c r="J24" s="319">
        <f>IF($D24="","",INDEX('Follower Ad data'!$A$1:$AX$15,7,MATCH(J$21,'Follower Ad data'!$6:$6,0)))</f>
        <v>1.28</v>
      </c>
      <c r="K24" s="319">
        <f>IF($D24="","",INDEX('Follower Ad data'!$A$1:$AX$15,7,MATCH(K$21,'Follower Ad data'!$6:$6,0)))</f>
        <v>6.4</v>
      </c>
      <c r="M24" s="313" t="s">
        <v>776</v>
      </c>
    </row>
    <row r="25" spans="1:13">
      <c r="A25" s="294">
        <v>2</v>
      </c>
      <c r="B25" s="311" t="str">
        <f t="shared" si="2"/>
        <v>팔로워 광고</v>
      </c>
      <c r="C25" s="317">
        <f t="shared" ref="C25:C32" si="5">C6</f>
        <v>2380.1999999999998</v>
      </c>
      <c r="D25" s="312" t="str">
        <f t="shared" si="3"/>
        <v>24 Q1 Follower ADs (No Sector, US)</v>
      </c>
      <c r="E25" s="297" t="str">
        <f t="shared" ref="E25:H32" si="6">E6</f>
        <v>12월 31일</v>
      </c>
      <c r="F25" s="297" t="str">
        <f t="shared" si="6"/>
        <v>03월 31일</v>
      </c>
      <c r="G25" s="298">
        <f t="shared" si="6"/>
        <v>1543430</v>
      </c>
      <c r="H25" s="298">
        <f t="shared" si="6"/>
        <v>505</v>
      </c>
      <c r="I25" s="300">
        <f t="shared" si="4"/>
        <v>3.2719332914353099E-4</v>
      </c>
      <c r="J25" s="319">
        <f>IF($D25="","",INDEX('Follower Ad data'!$A$1:$AX$15,8,MATCH(J$21,'Follower Ad data'!$6:$6,0)))</f>
        <v>1.54</v>
      </c>
      <c r="K25" s="319">
        <f>IF($D25="","",INDEX('Follower Ad data'!$A$1:$AX$15,8,MATCH(K$21,'Follower Ad data'!$6:$6,0)))</f>
        <v>4.71</v>
      </c>
    </row>
    <row r="26" spans="1:13">
      <c r="A26" s="294">
        <v>3</v>
      </c>
      <c r="B26" s="311" t="str">
        <f t="shared" si="2"/>
        <v>팔로워 광고</v>
      </c>
      <c r="C26" s="317">
        <f t="shared" si="5"/>
        <v>1105.05</v>
      </c>
      <c r="D26" s="312" t="str">
        <f t="shared" si="3"/>
        <v>24 Q1 Follower ADs (Mobile Customer)</v>
      </c>
      <c r="E26" s="297" t="str">
        <f t="shared" si="6"/>
        <v>02월 01일</v>
      </c>
      <c r="F26" s="297" t="str">
        <f t="shared" si="6"/>
        <v>03월 31일</v>
      </c>
      <c r="G26" s="298">
        <f t="shared" si="6"/>
        <v>881056</v>
      </c>
      <c r="H26" s="298">
        <f t="shared" si="6"/>
        <v>174</v>
      </c>
      <c r="I26" s="300">
        <f t="shared" si="4"/>
        <v>1.9749028438600951E-4</v>
      </c>
      <c r="J26" s="319">
        <f>IF($D26="","",INDEX('Follower Ad data'!$A$1:$AX$15,9,MATCH(J$21,'Follower Ad data'!$6:$6,0)))</f>
        <v>1.25</v>
      </c>
      <c r="K26" s="319">
        <f>IF($D26="","",INDEX('Follower Ad data'!$A$1:$AX$15,9,MATCH(K$21,'Follower Ad data'!$6:$6,0)))</f>
        <v>6.35</v>
      </c>
    </row>
    <row r="27" spans="1:13">
      <c r="A27" s="294">
        <v>4</v>
      </c>
      <c r="B27" s="311" t="str">
        <f t="shared" si="2"/>
        <v/>
      </c>
      <c r="C27" s="317" t="str">
        <f t="shared" si="5"/>
        <v/>
      </c>
      <c r="D27" s="312" t="str">
        <f t="shared" si="3"/>
        <v/>
      </c>
      <c r="E27" s="297" t="str">
        <f t="shared" si="6"/>
        <v/>
      </c>
      <c r="F27" s="297" t="str">
        <f t="shared" si="6"/>
        <v/>
      </c>
      <c r="G27" s="298" t="str">
        <f t="shared" si="6"/>
        <v/>
      </c>
      <c r="H27" s="298" t="str">
        <f t="shared" si="6"/>
        <v/>
      </c>
      <c r="I27" s="300" t="str">
        <f t="shared" si="4"/>
        <v/>
      </c>
      <c r="J27" s="319" t="str">
        <f>IF($D27="","",INDEX('Follower Ad data'!$A$1:$AX$15,10,MATCH(J$21,'Follower Ad data'!$6:$6,0)))</f>
        <v/>
      </c>
      <c r="K27" s="319" t="str">
        <f>IF($D27="","",INDEX('Follower Ad data'!$A$1:$AX$15,10,MATCH(K$21,'Follower Ad data'!$6:$6,0)))</f>
        <v/>
      </c>
    </row>
    <row r="28" spans="1:13">
      <c r="A28" s="294">
        <v>5</v>
      </c>
      <c r="B28" s="311" t="str">
        <f t="shared" si="2"/>
        <v/>
      </c>
      <c r="C28" s="317" t="str">
        <f t="shared" si="5"/>
        <v/>
      </c>
      <c r="D28" s="312" t="str">
        <f t="shared" si="3"/>
        <v/>
      </c>
      <c r="E28" s="297" t="str">
        <f t="shared" si="6"/>
        <v/>
      </c>
      <c r="F28" s="297" t="str">
        <f t="shared" si="6"/>
        <v/>
      </c>
      <c r="G28" s="298" t="str">
        <f t="shared" si="6"/>
        <v/>
      </c>
      <c r="H28" s="298" t="str">
        <f t="shared" si="6"/>
        <v/>
      </c>
      <c r="I28" s="300" t="str">
        <f t="shared" si="4"/>
        <v/>
      </c>
      <c r="J28" s="319" t="str">
        <f>IF($D28="","",INDEX('Follower Ad data'!$A$1:$AX$15,11,MATCH(J$21,'Follower Ad data'!$6:$6,0)))</f>
        <v/>
      </c>
      <c r="K28" s="319" t="str">
        <f>IF($D28="","",INDEX('Follower Ad data'!$A$1:$AX$15,11,MATCH(K$21,'Follower Ad data'!$6:$6,0)))</f>
        <v/>
      </c>
    </row>
    <row r="29" spans="1:13">
      <c r="A29" s="294">
        <v>6</v>
      </c>
      <c r="B29" s="311" t="str">
        <f t="shared" si="2"/>
        <v/>
      </c>
      <c r="C29" s="317" t="str">
        <f t="shared" si="5"/>
        <v/>
      </c>
      <c r="D29" s="312" t="str">
        <f t="shared" si="3"/>
        <v/>
      </c>
      <c r="E29" s="297" t="str">
        <f t="shared" si="6"/>
        <v/>
      </c>
      <c r="F29" s="297" t="str">
        <f t="shared" si="6"/>
        <v/>
      </c>
      <c r="G29" s="298" t="str">
        <f t="shared" si="6"/>
        <v/>
      </c>
      <c r="H29" s="298" t="str">
        <f t="shared" si="6"/>
        <v/>
      </c>
      <c r="I29" s="300" t="str">
        <f t="shared" si="4"/>
        <v/>
      </c>
      <c r="J29" s="319" t="str">
        <f>IF($D29="","",INDEX('Follower Ad data'!$A$1:$AX$15,12,MATCH(J$21,'Follower Ad data'!$6:$6,0)))</f>
        <v/>
      </c>
      <c r="K29" s="319" t="str">
        <f>IF($D29="","",INDEX('Follower Ad data'!$A$1:$AX$15,12,MATCH(K$21,'Follower Ad data'!$6:$6,0)))</f>
        <v/>
      </c>
    </row>
    <row r="30" spans="1:13">
      <c r="A30" s="294">
        <v>7</v>
      </c>
      <c r="B30" s="311" t="str">
        <f t="shared" si="2"/>
        <v/>
      </c>
      <c r="C30" s="317" t="str">
        <f t="shared" si="5"/>
        <v/>
      </c>
      <c r="D30" s="312" t="str">
        <f t="shared" si="3"/>
        <v/>
      </c>
      <c r="E30" s="297" t="str">
        <f t="shared" si="6"/>
        <v/>
      </c>
      <c r="F30" s="297" t="str">
        <f t="shared" si="6"/>
        <v/>
      </c>
      <c r="G30" s="298" t="str">
        <f t="shared" si="6"/>
        <v/>
      </c>
      <c r="H30" s="298" t="str">
        <f t="shared" si="6"/>
        <v/>
      </c>
      <c r="I30" s="300" t="str">
        <f t="shared" si="4"/>
        <v/>
      </c>
      <c r="J30" s="319" t="str">
        <f>IF($D30="","",INDEX('Follower Ad data'!$A$1:$AX$15,13,MATCH(J$21,'Follower Ad data'!$6:$6,0)))</f>
        <v/>
      </c>
      <c r="K30" s="319" t="str">
        <f>IF($D30="","",INDEX('Follower Ad data'!$A$1:$AX$15,13,MATCH(K$21,'Follower Ad data'!$6:$6,0)))</f>
        <v/>
      </c>
    </row>
    <row r="31" spans="1:13">
      <c r="A31" s="294">
        <v>8</v>
      </c>
      <c r="B31" s="311" t="str">
        <f t="shared" si="2"/>
        <v/>
      </c>
      <c r="C31" s="317" t="str">
        <f t="shared" si="5"/>
        <v/>
      </c>
      <c r="D31" s="312" t="str">
        <f t="shared" si="3"/>
        <v/>
      </c>
      <c r="E31" s="297" t="str">
        <f t="shared" si="6"/>
        <v/>
      </c>
      <c r="F31" s="297" t="str">
        <f t="shared" si="6"/>
        <v/>
      </c>
      <c r="G31" s="298" t="str">
        <f t="shared" si="6"/>
        <v/>
      </c>
      <c r="H31" s="298" t="str">
        <f t="shared" si="6"/>
        <v/>
      </c>
      <c r="I31" s="300" t="str">
        <f t="shared" si="4"/>
        <v/>
      </c>
      <c r="J31" s="319" t="str">
        <f>IF($D31="","",INDEX('Follower Ad data'!$A$1:$AX$15,14,MATCH(J$21,'Follower Ad data'!$6:$6,0)))</f>
        <v/>
      </c>
      <c r="K31" s="319" t="str">
        <f>IF($D31="","",INDEX('Follower Ad data'!$A$1:$AX$15,14,MATCH(K$21,'Follower Ad data'!$6:$6,0)))</f>
        <v/>
      </c>
    </row>
    <row r="32" spans="1:13">
      <c r="A32" s="294">
        <v>9</v>
      </c>
      <c r="B32" s="311" t="str">
        <f t="shared" si="2"/>
        <v/>
      </c>
      <c r="C32" s="317" t="str">
        <f t="shared" si="5"/>
        <v/>
      </c>
      <c r="D32" s="312" t="str">
        <f t="shared" si="3"/>
        <v/>
      </c>
      <c r="E32" s="297" t="str">
        <f t="shared" si="6"/>
        <v/>
      </c>
      <c r="F32" s="297" t="str">
        <f t="shared" si="6"/>
        <v/>
      </c>
      <c r="G32" s="298" t="str">
        <f t="shared" si="6"/>
        <v/>
      </c>
      <c r="H32" s="298" t="str">
        <f t="shared" si="6"/>
        <v/>
      </c>
      <c r="I32" s="300" t="str">
        <f t="shared" si="4"/>
        <v/>
      </c>
      <c r="J32" s="319" t="str">
        <f>IF($D32="","",INDEX('Follower Ad data'!$A$1:$AX$15,15,MATCH(J$21,'Follower Ad data'!$6:$6,0)))</f>
        <v/>
      </c>
      <c r="K32" s="319" t="str">
        <f>IF($D32="","",INDEX('Follower Ad data'!$A$1:$AX$15,15,MATCH(K$21,'Follower Ad data'!$6:$6,0)))</f>
        <v/>
      </c>
    </row>
    <row r="33" spans="1:11" ht="24" thickBot="1">
      <c r="A33" s="379" t="s">
        <v>153</v>
      </c>
      <c r="B33" s="380"/>
      <c r="C33" s="318">
        <f>SUM(C24:C32)</f>
        <v>8379.57</v>
      </c>
      <c r="D33" s="303"/>
      <c r="E33" s="304"/>
      <c r="F33" s="304"/>
      <c r="G33" s="305">
        <f>SUM(G24:G32)</f>
        <v>6236124</v>
      </c>
      <c r="H33" s="306">
        <f>SUM(H24:H32)</f>
        <v>1444</v>
      </c>
      <c r="I33" s="308">
        <f>H33/G33</f>
        <v>2.3155408712206493E-4</v>
      </c>
      <c r="J33" s="318">
        <f>C33/G33*1000</f>
        <v>1.3437144610979512</v>
      </c>
      <c r="K33" s="320">
        <f>C33/H33</f>
        <v>5.8030263157894737</v>
      </c>
    </row>
    <row r="35" spans="1:11">
      <c r="D35" t="s">
        <v>777</v>
      </c>
    </row>
  </sheetData>
  <mergeCells count="20">
    <mergeCell ref="A33:B33"/>
    <mergeCell ref="I3:I4"/>
    <mergeCell ref="J3:J4"/>
    <mergeCell ref="K3:K4"/>
    <mergeCell ref="A14:B14"/>
    <mergeCell ref="A22:A23"/>
    <mergeCell ref="B22:B23"/>
    <mergeCell ref="C22:C23"/>
    <mergeCell ref="E22:F22"/>
    <mergeCell ref="G22:G23"/>
    <mergeCell ref="H22:H23"/>
    <mergeCell ref="A3:A4"/>
    <mergeCell ref="B3:B4"/>
    <mergeCell ref="C3:C4"/>
    <mergeCell ref="E3:F3"/>
    <mergeCell ref="G3:G4"/>
    <mergeCell ref="H3:H4"/>
    <mergeCell ref="I22:I23"/>
    <mergeCell ref="J22:J23"/>
    <mergeCell ref="K22:K23"/>
  </mergeCells>
  <phoneticPr fontId="2" type="noConversion"/>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783D5-AB4A-44BD-A61B-BCB6711B1AEA}">
  <sheetPr>
    <tabColor theme="7" tint="0.79998168889431442"/>
  </sheetPr>
  <dimension ref="A1:AU34"/>
  <sheetViews>
    <sheetView workbookViewId="0">
      <selection activeCell="J1" sqref="J1"/>
    </sheetView>
  </sheetViews>
  <sheetFormatPr defaultRowHeight="16.5"/>
  <cols>
    <col min="3" max="3" width="68.875" customWidth="1"/>
    <col min="44" max="44" width="11.125" bestFit="1" customWidth="1"/>
  </cols>
  <sheetData>
    <row r="1" spans="1:47">
      <c r="A1" s="4" t="s">
        <v>988</v>
      </c>
      <c r="B1" s="4" t="s">
        <v>989</v>
      </c>
      <c r="C1" s="4" t="s">
        <v>990</v>
      </c>
      <c r="D1" s="4" t="s">
        <v>991</v>
      </c>
      <c r="E1" s="4" t="s">
        <v>992</v>
      </c>
      <c r="F1" s="4" t="s">
        <v>993</v>
      </c>
      <c r="G1" s="4" t="s">
        <v>994</v>
      </c>
      <c r="H1" s="4" t="s">
        <v>995</v>
      </c>
      <c r="I1" s="4" t="s">
        <v>996</v>
      </c>
      <c r="J1" s="4" t="s">
        <v>997</v>
      </c>
      <c r="K1" s="4" t="s">
        <v>998</v>
      </c>
      <c r="L1" s="4" t="s">
        <v>999</v>
      </c>
      <c r="M1" s="4" t="s">
        <v>1000</v>
      </c>
      <c r="N1" s="4" t="s">
        <v>1001</v>
      </c>
      <c r="O1" s="4" t="s">
        <v>1002</v>
      </c>
      <c r="P1" s="4" t="s">
        <v>1003</v>
      </c>
      <c r="Q1" s="4" t="s">
        <v>1004</v>
      </c>
      <c r="R1" s="4" t="s">
        <v>1005</v>
      </c>
      <c r="S1" s="4" t="s">
        <v>1006</v>
      </c>
      <c r="T1" s="4" t="s">
        <v>1007</v>
      </c>
      <c r="U1" s="4" t="s">
        <v>1008</v>
      </c>
      <c r="V1" s="4" t="s">
        <v>1009</v>
      </c>
      <c r="W1" s="4" t="s">
        <v>1010</v>
      </c>
      <c r="X1" s="4" t="s">
        <v>1011</v>
      </c>
      <c r="Y1" s="4" t="s">
        <v>1012</v>
      </c>
      <c r="Z1" s="4" t="s">
        <v>1013</v>
      </c>
      <c r="AA1" s="4" t="s">
        <v>1014</v>
      </c>
      <c r="AB1" s="4" t="s">
        <v>1015</v>
      </c>
      <c r="AC1" s="4" t="s">
        <v>1016</v>
      </c>
      <c r="AD1" s="4" t="s">
        <v>1017</v>
      </c>
      <c r="AE1" s="4" t="s">
        <v>1018</v>
      </c>
      <c r="AF1" s="4" t="s">
        <v>1019</v>
      </c>
      <c r="AG1" s="4" t="s">
        <v>1020</v>
      </c>
      <c r="AH1" s="4" t="s">
        <v>1021</v>
      </c>
      <c r="AI1" s="4" t="s">
        <v>1022</v>
      </c>
      <c r="AJ1" s="4" t="s">
        <v>1023</v>
      </c>
      <c r="AK1" s="4" t="s">
        <v>1024</v>
      </c>
      <c r="AL1" s="4" t="s">
        <v>1025</v>
      </c>
      <c r="AM1" s="4" t="s">
        <v>1026</v>
      </c>
      <c r="AN1" s="4" t="s">
        <v>1027</v>
      </c>
      <c r="AR1" s="18" t="s">
        <v>1107</v>
      </c>
      <c r="AS1" s="18" t="s">
        <v>1108</v>
      </c>
    </row>
    <row r="2" spans="1:47">
      <c r="A2" s="4">
        <v>1.7740288110608758E+18</v>
      </c>
      <c r="B2" s="4" t="s">
        <v>1028</v>
      </c>
      <c r="C2" s="4" t="s">
        <v>1029</v>
      </c>
      <c r="D2" s="4">
        <v>45381.833333333336</v>
      </c>
      <c r="E2" s="4">
        <v>491</v>
      </c>
      <c r="F2" s="4">
        <v>10</v>
      </c>
      <c r="G2" s="4">
        <v>2.0366598778004074E-2</v>
      </c>
      <c r="H2" s="4">
        <v>0</v>
      </c>
      <c r="I2" s="4">
        <v>0</v>
      </c>
      <c r="J2" s="4">
        <v>4</v>
      </c>
      <c r="K2" s="4">
        <v>1</v>
      </c>
      <c r="L2" s="4">
        <v>0</v>
      </c>
      <c r="M2" s="4">
        <v>0</v>
      </c>
      <c r="N2" s="4">
        <v>1</v>
      </c>
      <c r="O2" s="4">
        <v>0</v>
      </c>
      <c r="P2" s="4">
        <v>0</v>
      </c>
      <c r="Q2" s="4">
        <v>0</v>
      </c>
      <c r="R2" s="4">
        <v>0</v>
      </c>
      <c r="S2" s="4">
        <v>0</v>
      </c>
      <c r="T2" s="4">
        <v>0</v>
      </c>
      <c r="U2" s="4">
        <v>88</v>
      </c>
      <c r="V2" s="4">
        <v>4</v>
      </c>
      <c r="W2" s="4" t="s">
        <v>1030</v>
      </c>
      <c r="X2" s="4" t="s">
        <v>1030</v>
      </c>
      <c r="Y2" s="4" t="s">
        <v>1030</v>
      </c>
      <c r="Z2" s="4" t="s">
        <v>1030</v>
      </c>
      <c r="AA2" s="4" t="s">
        <v>1030</v>
      </c>
      <c r="AB2" s="4" t="s">
        <v>1030</v>
      </c>
      <c r="AC2" s="4" t="s">
        <v>1030</v>
      </c>
      <c r="AD2" s="4" t="s">
        <v>1030</v>
      </c>
      <c r="AE2" s="4" t="s">
        <v>1030</v>
      </c>
      <c r="AF2" s="4" t="s">
        <v>1030</v>
      </c>
      <c r="AG2" s="4" t="s">
        <v>1030</v>
      </c>
      <c r="AH2" s="4" t="s">
        <v>1030</v>
      </c>
      <c r="AI2" s="4" t="s">
        <v>1030</v>
      </c>
      <c r="AJ2" s="4" t="s">
        <v>1030</v>
      </c>
      <c r="AK2" s="4" t="s">
        <v>1030</v>
      </c>
      <c r="AL2" s="4" t="s">
        <v>1030</v>
      </c>
      <c r="AM2" s="4" t="s">
        <v>1030</v>
      </c>
      <c r="AN2" s="4" t="s">
        <v>1030</v>
      </c>
      <c r="AR2" s="51">
        <f>IF(D2="","",TRUNC(D2))</f>
        <v>45381</v>
      </c>
      <c r="AS2" s="18">
        <f>IFERROR(RANK(F2,F:F,0)+COUNTIF($F$1:F1,F2),"")</f>
        <v>23</v>
      </c>
      <c r="AU2" s="325"/>
    </row>
    <row r="3" spans="1:47">
      <c r="A3" s="4">
        <v>1.7736739626999729E+18</v>
      </c>
      <c r="B3" s="4" t="s">
        <v>1031</v>
      </c>
      <c r="C3" s="4" t="s">
        <v>1032</v>
      </c>
      <c r="D3" s="4">
        <v>45380.854166666664</v>
      </c>
      <c r="E3" s="4">
        <v>420</v>
      </c>
      <c r="F3" s="4">
        <v>5</v>
      </c>
      <c r="G3" s="4">
        <v>1.1904761904761904E-2</v>
      </c>
      <c r="H3" s="4">
        <v>0</v>
      </c>
      <c r="I3" s="4">
        <v>0</v>
      </c>
      <c r="J3" s="4">
        <v>4</v>
      </c>
      <c r="K3" s="4">
        <v>0</v>
      </c>
      <c r="L3" s="4">
        <v>0</v>
      </c>
      <c r="M3" s="4">
        <v>0</v>
      </c>
      <c r="N3" s="4">
        <v>0</v>
      </c>
      <c r="O3" s="4">
        <v>0</v>
      </c>
      <c r="P3" s="4">
        <v>0</v>
      </c>
      <c r="Q3" s="4">
        <v>0</v>
      </c>
      <c r="R3" s="4">
        <v>0</v>
      </c>
      <c r="S3" s="4">
        <v>0</v>
      </c>
      <c r="T3" s="4">
        <v>0</v>
      </c>
      <c r="U3" s="4">
        <v>1</v>
      </c>
      <c r="V3" s="4">
        <v>1</v>
      </c>
      <c r="W3" s="4" t="s">
        <v>1030</v>
      </c>
      <c r="X3" s="4" t="s">
        <v>1030</v>
      </c>
      <c r="Y3" s="4" t="s">
        <v>1030</v>
      </c>
      <c r="Z3" s="4" t="s">
        <v>1030</v>
      </c>
      <c r="AA3" s="4" t="s">
        <v>1030</v>
      </c>
      <c r="AB3" s="4" t="s">
        <v>1030</v>
      </c>
      <c r="AC3" s="4" t="s">
        <v>1030</v>
      </c>
      <c r="AD3" s="4" t="s">
        <v>1030</v>
      </c>
      <c r="AE3" s="4" t="s">
        <v>1030</v>
      </c>
      <c r="AF3" s="4" t="s">
        <v>1030</v>
      </c>
      <c r="AG3" s="4" t="s">
        <v>1030</v>
      </c>
      <c r="AH3" s="4" t="s">
        <v>1030</v>
      </c>
      <c r="AI3" s="4" t="s">
        <v>1030</v>
      </c>
      <c r="AJ3" s="4" t="s">
        <v>1030</v>
      </c>
      <c r="AK3" s="4" t="s">
        <v>1030</v>
      </c>
      <c r="AL3" s="4" t="s">
        <v>1030</v>
      </c>
      <c r="AM3" s="4" t="s">
        <v>1030</v>
      </c>
      <c r="AN3" s="4" t="s">
        <v>1030</v>
      </c>
      <c r="AR3" s="51">
        <f t="shared" ref="AR3:AR34" si="0">IF(D3="","",TRUNC(D3))</f>
        <v>45380</v>
      </c>
      <c r="AS3" s="18">
        <f>IFERROR(RANK(F3,F:F,0)+COUNTIF($F$1:F2,F3),"")</f>
        <v>27</v>
      </c>
    </row>
    <row r="4" spans="1:47">
      <c r="A4" s="4">
        <v>1.7735952805768031E+18</v>
      </c>
      <c r="B4" s="4" t="s">
        <v>1033</v>
      </c>
      <c r="C4" s="4" t="s">
        <v>1034</v>
      </c>
      <c r="D4" s="4">
        <v>45380.636805555558</v>
      </c>
      <c r="E4" s="4">
        <v>7461</v>
      </c>
      <c r="F4" s="4">
        <v>92</v>
      </c>
      <c r="G4" s="4">
        <v>1.2330786757807265E-2</v>
      </c>
      <c r="H4" s="4">
        <v>5</v>
      </c>
      <c r="I4" s="4">
        <v>1</v>
      </c>
      <c r="J4" s="4">
        <v>0</v>
      </c>
      <c r="K4" s="4">
        <v>28</v>
      </c>
      <c r="L4" s="4">
        <v>0</v>
      </c>
      <c r="M4" s="4">
        <v>0</v>
      </c>
      <c r="N4" s="4">
        <v>45</v>
      </c>
      <c r="O4" s="4">
        <v>0</v>
      </c>
      <c r="P4" s="4">
        <v>0</v>
      </c>
      <c r="Q4" s="4">
        <v>0</v>
      </c>
      <c r="R4" s="4">
        <v>4</v>
      </c>
      <c r="S4" s="4">
        <v>0</v>
      </c>
      <c r="T4" s="4">
        <v>0</v>
      </c>
      <c r="U4" s="4">
        <v>9</v>
      </c>
      <c r="V4" s="4">
        <v>9</v>
      </c>
      <c r="W4" s="4" t="s">
        <v>1035</v>
      </c>
      <c r="X4" s="4" t="s">
        <v>1036</v>
      </c>
      <c r="Y4" s="4" t="s">
        <v>1037</v>
      </c>
      <c r="Z4" s="4" t="s">
        <v>1038</v>
      </c>
      <c r="AA4" s="4" t="s">
        <v>1038</v>
      </c>
      <c r="AB4" s="4" t="s">
        <v>1039</v>
      </c>
      <c r="AC4" s="4" t="s">
        <v>1040</v>
      </c>
      <c r="AD4" s="4" t="s">
        <v>1038</v>
      </c>
      <c r="AE4" s="4" t="s">
        <v>1041</v>
      </c>
      <c r="AF4" s="4" t="s">
        <v>1042</v>
      </c>
      <c r="AG4" s="4" t="s">
        <v>1038</v>
      </c>
      <c r="AH4" s="4" t="s">
        <v>1043</v>
      </c>
      <c r="AI4" s="4" t="s">
        <v>1043</v>
      </c>
      <c r="AJ4" s="4" t="s">
        <v>1044</v>
      </c>
      <c r="AK4" s="4" t="s">
        <v>1043</v>
      </c>
      <c r="AL4" s="4" t="s">
        <v>1043</v>
      </c>
      <c r="AM4" s="4" t="s">
        <v>1045</v>
      </c>
      <c r="AN4" s="4" t="s">
        <v>1045</v>
      </c>
      <c r="AR4" s="51">
        <f t="shared" si="0"/>
        <v>45380</v>
      </c>
      <c r="AS4" s="18">
        <f>IFERROR(RANK(F4,F:F,0)+COUNTIF($F$1:F3,F4),"")</f>
        <v>5</v>
      </c>
    </row>
    <row r="5" spans="1:47">
      <c r="A5" s="4">
        <v>1.7732677111974259E+18</v>
      </c>
      <c r="B5" s="4" t="s">
        <v>1046</v>
      </c>
      <c r="C5" s="4" t="s">
        <v>1047</v>
      </c>
      <c r="D5" s="4">
        <v>45379.732638888891</v>
      </c>
      <c r="E5" s="4">
        <v>399</v>
      </c>
      <c r="F5" s="4">
        <v>7</v>
      </c>
      <c r="G5" s="4">
        <v>1.7543859649122806E-2</v>
      </c>
      <c r="H5" s="4">
        <v>0</v>
      </c>
      <c r="I5" s="4">
        <v>0</v>
      </c>
      <c r="J5" s="4">
        <v>4</v>
      </c>
      <c r="K5" s="4">
        <v>0</v>
      </c>
      <c r="L5" s="4">
        <v>2</v>
      </c>
      <c r="M5" s="4">
        <v>0</v>
      </c>
      <c r="N5" s="4">
        <v>1</v>
      </c>
      <c r="O5" s="4">
        <v>0</v>
      </c>
      <c r="P5" s="4">
        <v>0</v>
      </c>
      <c r="Q5" s="4">
        <v>0</v>
      </c>
      <c r="R5" s="4">
        <v>0</v>
      </c>
      <c r="S5" s="4">
        <v>0</v>
      </c>
      <c r="T5" s="4">
        <v>0</v>
      </c>
      <c r="U5" s="4">
        <v>0</v>
      </c>
      <c r="V5" s="4">
        <v>0</v>
      </c>
      <c r="W5" s="4" t="s">
        <v>1030</v>
      </c>
      <c r="X5" s="4" t="s">
        <v>1030</v>
      </c>
      <c r="Y5" s="4" t="s">
        <v>1030</v>
      </c>
      <c r="Z5" s="4" t="s">
        <v>1030</v>
      </c>
      <c r="AA5" s="4" t="s">
        <v>1030</v>
      </c>
      <c r="AB5" s="4" t="s">
        <v>1030</v>
      </c>
      <c r="AC5" s="4" t="s">
        <v>1030</v>
      </c>
      <c r="AD5" s="4" t="s">
        <v>1030</v>
      </c>
      <c r="AE5" s="4" t="s">
        <v>1030</v>
      </c>
      <c r="AF5" s="4" t="s">
        <v>1030</v>
      </c>
      <c r="AG5" s="4" t="s">
        <v>1030</v>
      </c>
      <c r="AH5" s="4" t="s">
        <v>1030</v>
      </c>
      <c r="AI5" s="4" t="s">
        <v>1030</v>
      </c>
      <c r="AJ5" s="4" t="s">
        <v>1030</v>
      </c>
      <c r="AK5" s="4" t="s">
        <v>1030</v>
      </c>
      <c r="AL5" s="4" t="s">
        <v>1030</v>
      </c>
      <c r="AM5" s="4" t="s">
        <v>1030</v>
      </c>
      <c r="AN5" s="4" t="s">
        <v>1030</v>
      </c>
      <c r="AR5" s="51">
        <f t="shared" si="0"/>
        <v>45379</v>
      </c>
      <c r="AS5" s="18">
        <f>IFERROR(RANK(F5,F:F,0)+COUNTIF($F$1:F4,F5),"")</f>
        <v>25</v>
      </c>
    </row>
    <row r="6" spans="1:47">
      <c r="A6" s="4">
        <v>1.7729491857985334E+18</v>
      </c>
      <c r="B6" s="4" t="s">
        <v>1048</v>
      </c>
      <c r="C6" s="4" t="s">
        <v>1049</v>
      </c>
      <c r="D6" s="4">
        <v>45378.854166666664</v>
      </c>
      <c r="E6" s="4">
        <v>438</v>
      </c>
      <c r="F6" s="4">
        <v>8</v>
      </c>
      <c r="G6" s="4">
        <v>1.8264840182648401E-2</v>
      </c>
      <c r="H6" s="4">
        <v>1</v>
      </c>
      <c r="I6" s="4">
        <v>0</v>
      </c>
      <c r="J6" s="4">
        <v>4</v>
      </c>
      <c r="K6" s="4">
        <v>0</v>
      </c>
      <c r="L6" s="4">
        <v>0</v>
      </c>
      <c r="M6" s="4">
        <v>1</v>
      </c>
      <c r="N6" s="4">
        <v>1</v>
      </c>
      <c r="O6" s="4">
        <v>0</v>
      </c>
      <c r="P6" s="4">
        <v>0</v>
      </c>
      <c r="Q6" s="4">
        <v>0</v>
      </c>
      <c r="R6" s="4">
        <v>0</v>
      </c>
      <c r="S6" s="4">
        <v>0</v>
      </c>
      <c r="T6" s="4">
        <v>0</v>
      </c>
      <c r="U6" s="4">
        <v>1</v>
      </c>
      <c r="V6" s="4">
        <v>1</v>
      </c>
      <c r="W6" s="4" t="s">
        <v>1030</v>
      </c>
      <c r="X6" s="4" t="s">
        <v>1030</v>
      </c>
      <c r="Y6" s="4" t="s">
        <v>1030</v>
      </c>
      <c r="Z6" s="4" t="s">
        <v>1030</v>
      </c>
      <c r="AA6" s="4" t="s">
        <v>1030</v>
      </c>
      <c r="AB6" s="4" t="s">
        <v>1030</v>
      </c>
      <c r="AC6" s="4" t="s">
        <v>1030</v>
      </c>
      <c r="AD6" s="4" t="s">
        <v>1030</v>
      </c>
      <c r="AE6" s="4" t="s">
        <v>1030</v>
      </c>
      <c r="AF6" s="4" t="s">
        <v>1030</v>
      </c>
      <c r="AG6" s="4" t="s">
        <v>1030</v>
      </c>
      <c r="AH6" s="4" t="s">
        <v>1030</v>
      </c>
      <c r="AI6" s="4" t="s">
        <v>1030</v>
      </c>
      <c r="AJ6" s="4" t="s">
        <v>1030</v>
      </c>
      <c r="AK6" s="4" t="s">
        <v>1030</v>
      </c>
      <c r="AL6" s="4" t="s">
        <v>1030</v>
      </c>
      <c r="AM6" s="4" t="s">
        <v>1030</v>
      </c>
      <c r="AN6" s="4" t="s">
        <v>1030</v>
      </c>
      <c r="AR6" s="51">
        <f t="shared" si="0"/>
        <v>45378</v>
      </c>
      <c r="AS6" s="18">
        <f>IFERROR(RANK(F6,F:F,0)+COUNTIF($F$1:F5,F6),"")</f>
        <v>24</v>
      </c>
    </row>
    <row r="7" spans="1:47">
      <c r="A7" s="4">
        <v>1.7725972625703693E+18</v>
      </c>
      <c r="B7" s="4" t="s">
        <v>1050</v>
      </c>
      <c r="C7" s="4" t="s">
        <v>1051</v>
      </c>
      <c r="D7" s="4">
        <v>45377.882638888892</v>
      </c>
      <c r="E7" s="4">
        <v>515</v>
      </c>
      <c r="F7" s="4">
        <v>18</v>
      </c>
      <c r="G7" s="4">
        <v>3.4951456310679613E-2</v>
      </c>
      <c r="H7" s="4">
        <v>0</v>
      </c>
      <c r="I7" s="4">
        <v>0</v>
      </c>
      <c r="J7" s="4">
        <v>3</v>
      </c>
      <c r="K7" s="4">
        <v>1</v>
      </c>
      <c r="L7" s="4">
        <v>2</v>
      </c>
      <c r="M7" s="4">
        <v>2</v>
      </c>
      <c r="N7" s="4">
        <v>6</v>
      </c>
      <c r="O7" s="4">
        <v>0</v>
      </c>
      <c r="P7" s="4">
        <v>0</v>
      </c>
      <c r="Q7" s="4">
        <v>0</v>
      </c>
      <c r="R7" s="4">
        <v>0</v>
      </c>
      <c r="S7" s="4">
        <v>0</v>
      </c>
      <c r="T7" s="4">
        <v>0</v>
      </c>
      <c r="U7" s="4">
        <v>4</v>
      </c>
      <c r="V7" s="4">
        <v>4</v>
      </c>
      <c r="W7" s="4" t="s">
        <v>1030</v>
      </c>
      <c r="X7" s="4" t="s">
        <v>1030</v>
      </c>
      <c r="Y7" s="4" t="s">
        <v>1030</v>
      </c>
      <c r="Z7" s="4" t="s">
        <v>1030</v>
      </c>
      <c r="AA7" s="4" t="s">
        <v>1030</v>
      </c>
      <c r="AB7" s="4" t="s">
        <v>1030</v>
      </c>
      <c r="AC7" s="4" t="s">
        <v>1030</v>
      </c>
      <c r="AD7" s="4" t="s">
        <v>1030</v>
      </c>
      <c r="AE7" s="4" t="s">
        <v>1030</v>
      </c>
      <c r="AF7" s="4" t="s">
        <v>1030</v>
      </c>
      <c r="AG7" s="4" t="s">
        <v>1030</v>
      </c>
      <c r="AH7" s="4" t="s">
        <v>1030</v>
      </c>
      <c r="AI7" s="4" t="s">
        <v>1030</v>
      </c>
      <c r="AJ7" s="4" t="s">
        <v>1030</v>
      </c>
      <c r="AK7" s="4" t="s">
        <v>1030</v>
      </c>
      <c r="AL7" s="4" t="s">
        <v>1030</v>
      </c>
      <c r="AM7" s="4" t="s">
        <v>1030</v>
      </c>
      <c r="AN7" s="4" t="s">
        <v>1030</v>
      </c>
      <c r="AR7" s="51">
        <f t="shared" si="0"/>
        <v>45377</v>
      </c>
      <c r="AS7" s="18">
        <f>IFERROR(RANK(F7,F:F,0)+COUNTIF($F$1:F6,F7),"")</f>
        <v>13</v>
      </c>
    </row>
    <row r="8" spans="1:47">
      <c r="A8" s="4">
        <v>1.7722244098872899E+18</v>
      </c>
      <c r="B8" s="4" t="s">
        <v>1052</v>
      </c>
      <c r="C8" s="4" t="s">
        <v>1053</v>
      </c>
      <c r="D8" s="4">
        <v>45376.854166666664</v>
      </c>
      <c r="E8" s="4">
        <v>593</v>
      </c>
      <c r="F8" s="4">
        <v>33</v>
      </c>
      <c r="G8" s="4">
        <v>5.5649241146711638E-2</v>
      </c>
      <c r="H8" s="4">
        <v>0</v>
      </c>
      <c r="I8" s="4">
        <v>1</v>
      </c>
      <c r="J8" s="4">
        <v>4</v>
      </c>
      <c r="K8" s="4">
        <v>2</v>
      </c>
      <c r="L8" s="4">
        <v>0</v>
      </c>
      <c r="M8" s="4">
        <v>2</v>
      </c>
      <c r="N8" s="4">
        <v>10</v>
      </c>
      <c r="O8" s="4">
        <v>0</v>
      </c>
      <c r="P8" s="4">
        <v>0</v>
      </c>
      <c r="Q8" s="4">
        <v>0</v>
      </c>
      <c r="R8" s="4">
        <v>1</v>
      </c>
      <c r="S8" s="4">
        <v>0</v>
      </c>
      <c r="T8" s="4">
        <v>0</v>
      </c>
      <c r="U8" s="4">
        <v>13</v>
      </c>
      <c r="V8" s="4">
        <v>13</v>
      </c>
      <c r="W8" s="4" t="s">
        <v>1030</v>
      </c>
      <c r="X8" s="4" t="s">
        <v>1030</v>
      </c>
      <c r="Y8" s="4" t="s">
        <v>1030</v>
      </c>
      <c r="Z8" s="4" t="s">
        <v>1030</v>
      </c>
      <c r="AA8" s="4" t="s">
        <v>1030</v>
      </c>
      <c r="AB8" s="4" t="s">
        <v>1030</v>
      </c>
      <c r="AC8" s="4" t="s">
        <v>1030</v>
      </c>
      <c r="AD8" s="4" t="s">
        <v>1030</v>
      </c>
      <c r="AE8" s="4" t="s">
        <v>1030</v>
      </c>
      <c r="AF8" s="4" t="s">
        <v>1030</v>
      </c>
      <c r="AG8" s="4" t="s">
        <v>1030</v>
      </c>
      <c r="AH8" s="4" t="s">
        <v>1030</v>
      </c>
      <c r="AI8" s="4" t="s">
        <v>1030</v>
      </c>
      <c r="AJ8" s="4" t="s">
        <v>1030</v>
      </c>
      <c r="AK8" s="4" t="s">
        <v>1030</v>
      </c>
      <c r="AL8" s="4" t="s">
        <v>1030</v>
      </c>
      <c r="AM8" s="4" t="s">
        <v>1030</v>
      </c>
      <c r="AN8" s="4" t="s">
        <v>1030</v>
      </c>
      <c r="AR8" s="51">
        <f t="shared" si="0"/>
        <v>45376</v>
      </c>
      <c r="AS8" s="18">
        <f>IFERROR(RANK(F8,F:F,0)+COUNTIF($F$1:F7,F8),"")</f>
        <v>8</v>
      </c>
    </row>
    <row r="9" spans="1:47">
      <c r="A9" s="4">
        <v>1.7711118568764662E+18</v>
      </c>
      <c r="B9" s="4" t="s">
        <v>1054</v>
      </c>
      <c r="C9" s="4" t="s">
        <v>1055</v>
      </c>
      <c r="D9" s="4">
        <v>45373.78402777778</v>
      </c>
      <c r="E9" s="4">
        <v>523</v>
      </c>
      <c r="F9" s="4">
        <v>11</v>
      </c>
      <c r="G9" s="4">
        <v>2.1032504780114723E-2</v>
      </c>
      <c r="H9" s="4">
        <v>0</v>
      </c>
      <c r="I9" s="4">
        <v>0</v>
      </c>
      <c r="J9" s="4">
        <v>6</v>
      </c>
      <c r="K9" s="4">
        <v>1</v>
      </c>
      <c r="L9" s="4">
        <v>0</v>
      </c>
      <c r="M9" s="4">
        <v>1</v>
      </c>
      <c r="N9" s="4">
        <v>2</v>
      </c>
      <c r="O9" s="4">
        <v>0</v>
      </c>
      <c r="P9" s="4">
        <v>0</v>
      </c>
      <c r="Q9" s="4">
        <v>0</v>
      </c>
      <c r="R9" s="4">
        <v>0</v>
      </c>
      <c r="S9" s="4">
        <v>0</v>
      </c>
      <c r="T9" s="4">
        <v>0</v>
      </c>
      <c r="U9" s="4">
        <v>56</v>
      </c>
      <c r="V9" s="4">
        <v>1</v>
      </c>
      <c r="W9" s="4" t="s">
        <v>1030</v>
      </c>
      <c r="X9" s="4" t="s">
        <v>1030</v>
      </c>
      <c r="Y9" s="4" t="s">
        <v>1030</v>
      </c>
      <c r="Z9" s="4" t="s">
        <v>1030</v>
      </c>
      <c r="AA9" s="4" t="s">
        <v>1030</v>
      </c>
      <c r="AB9" s="4" t="s">
        <v>1030</v>
      </c>
      <c r="AC9" s="4" t="s">
        <v>1030</v>
      </c>
      <c r="AD9" s="4" t="s">
        <v>1030</v>
      </c>
      <c r="AE9" s="4" t="s">
        <v>1030</v>
      </c>
      <c r="AF9" s="4" t="s">
        <v>1030</v>
      </c>
      <c r="AG9" s="4" t="s">
        <v>1030</v>
      </c>
      <c r="AH9" s="4" t="s">
        <v>1030</v>
      </c>
      <c r="AI9" s="4" t="s">
        <v>1030</v>
      </c>
      <c r="AJ9" s="4" t="s">
        <v>1030</v>
      </c>
      <c r="AK9" s="4" t="s">
        <v>1030</v>
      </c>
      <c r="AL9" s="4" t="s">
        <v>1030</v>
      </c>
      <c r="AM9" s="4" t="s">
        <v>1030</v>
      </c>
      <c r="AN9" s="4" t="s">
        <v>1030</v>
      </c>
      <c r="AR9" s="51">
        <f t="shared" si="0"/>
        <v>45373</v>
      </c>
      <c r="AS9" s="18">
        <f>IFERROR(RANK(F9,F:F,0)+COUNTIF($F$1:F8,F9),"")</f>
        <v>20</v>
      </c>
    </row>
    <row r="10" spans="1:47">
      <c r="A10" s="4">
        <v>1.7707824122989775E+18</v>
      </c>
      <c r="B10" s="4" t="s">
        <v>1056</v>
      </c>
      <c r="C10" s="4" t="s">
        <v>1057</v>
      </c>
      <c r="D10" s="4">
        <v>45372.875</v>
      </c>
      <c r="E10" s="4">
        <v>647</v>
      </c>
      <c r="F10" s="4">
        <v>25</v>
      </c>
      <c r="G10" s="4">
        <v>3.8639876352395672E-2</v>
      </c>
      <c r="H10" s="4">
        <v>0</v>
      </c>
      <c r="I10" s="4">
        <v>1</v>
      </c>
      <c r="J10" s="4">
        <v>7</v>
      </c>
      <c r="K10" s="4">
        <v>2</v>
      </c>
      <c r="L10" s="4">
        <v>11</v>
      </c>
      <c r="M10" s="4">
        <v>0</v>
      </c>
      <c r="N10" s="4">
        <v>4</v>
      </c>
      <c r="O10" s="4">
        <v>0</v>
      </c>
      <c r="P10" s="4">
        <v>0</v>
      </c>
      <c r="Q10" s="4">
        <v>0</v>
      </c>
      <c r="R10" s="4">
        <v>0</v>
      </c>
      <c r="S10" s="4">
        <v>0</v>
      </c>
      <c r="T10" s="4">
        <v>0</v>
      </c>
      <c r="U10" s="4">
        <v>0</v>
      </c>
      <c r="V10" s="4">
        <v>0</v>
      </c>
      <c r="W10" s="4" t="s">
        <v>1030</v>
      </c>
      <c r="X10" s="4" t="s">
        <v>1030</v>
      </c>
      <c r="Y10" s="4" t="s">
        <v>1030</v>
      </c>
      <c r="Z10" s="4" t="s">
        <v>1030</v>
      </c>
      <c r="AA10" s="4" t="s">
        <v>1030</v>
      </c>
      <c r="AB10" s="4" t="s">
        <v>1030</v>
      </c>
      <c r="AC10" s="4" t="s">
        <v>1030</v>
      </c>
      <c r="AD10" s="4" t="s">
        <v>1030</v>
      </c>
      <c r="AE10" s="4" t="s">
        <v>1030</v>
      </c>
      <c r="AF10" s="4" t="s">
        <v>1030</v>
      </c>
      <c r="AG10" s="4" t="s">
        <v>1030</v>
      </c>
      <c r="AH10" s="4" t="s">
        <v>1030</v>
      </c>
      <c r="AI10" s="4" t="s">
        <v>1030</v>
      </c>
      <c r="AJ10" s="4" t="s">
        <v>1030</v>
      </c>
      <c r="AK10" s="4" t="s">
        <v>1030</v>
      </c>
      <c r="AL10" s="4" t="s">
        <v>1030</v>
      </c>
      <c r="AM10" s="4" t="s">
        <v>1030</v>
      </c>
      <c r="AN10" s="4" t="s">
        <v>1030</v>
      </c>
      <c r="AR10" s="51">
        <f t="shared" si="0"/>
        <v>45372</v>
      </c>
      <c r="AS10" s="18">
        <f>IFERROR(RANK(F10,F:F,0)+COUNTIF($F$1:F9,F10),"")</f>
        <v>11</v>
      </c>
    </row>
    <row r="11" spans="1:47">
      <c r="A11" s="4">
        <v>1.7704179223910892E+18</v>
      </c>
      <c r="B11" s="4" t="s">
        <v>1058</v>
      </c>
      <c r="C11" s="4" t="s">
        <v>1059</v>
      </c>
      <c r="D11" s="4">
        <v>45371.868750000001</v>
      </c>
      <c r="E11" s="4">
        <v>542</v>
      </c>
      <c r="F11" s="4">
        <v>15</v>
      </c>
      <c r="G11" s="4">
        <v>2.7675276752767528E-2</v>
      </c>
      <c r="H11" s="4">
        <v>0</v>
      </c>
      <c r="I11" s="4">
        <v>0</v>
      </c>
      <c r="J11" s="4">
        <v>6</v>
      </c>
      <c r="K11" s="4">
        <v>0</v>
      </c>
      <c r="L11" s="4">
        <v>0</v>
      </c>
      <c r="M11" s="4">
        <v>1</v>
      </c>
      <c r="N11" s="4">
        <v>5</v>
      </c>
      <c r="O11" s="4">
        <v>0</v>
      </c>
      <c r="P11" s="4">
        <v>0</v>
      </c>
      <c r="Q11" s="4">
        <v>0</v>
      </c>
      <c r="R11" s="4">
        <v>0</v>
      </c>
      <c r="S11" s="4">
        <v>0</v>
      </c>
      <c r="T11" s="4">
        <v>0</v>
      </c>
      <c r="U11" s="4">
        <v>3</v>
      </c>
      <c r="V11" s="4">
        <v>3</v>
      </c>
      <c r="W11" s="4" t="s">
        <v>1030</v>
      </c>
      <c r="X11" s="4" t="s">
        <v>1030</v>
      </c>
      <c r="Y11" s="4" t="s">
        <v>1030</v>
      </c>
      <c r="Z11" s="4" t="s">
        <v>1030</v>
      </c>
      <c r="AA11" s="4" t="s">
        <v>1030</v>
      </c>
      <c r="AB11" s="4" t="s">
        <v>1030</v>
      </c>
      <c r="AC11" s="4" t="s">
        <v>1030</v>
      </c>
      <c r="AD11" s="4" t="s">
        <v>1030</v>
      </c>
      <c r="AE11" s="4" t="s">
        <v>1030</v>
      </c>
      <c r="AF11" s="4" t="s">
        <v>1030</v>
      </c>
      <c r="AG11" s="4" t="s">
        <v>1030</v>
      </c>
      <c r="AH11" s="4" t="s">
        <v>1030</v>
      </c>
      <c r="AI11" s="4" t="s">
        <v>1030</v>
      </c>
      <c r="AJ11" s="4" t="s">
        <v>1030</v>
      </c>
      <c r="AK11" s="4" t="s">
        <v>1030</v>
      </c>
      <c r="AL11" s="4" t="s">
        <v>1030</v>
      </c>
      <c r="AM11" s="4" t="s">
        <v>1030</v>
      </c>
      <c r="AN11" s="4" t="s">
        <v>1030</v>
      </c>
      <c r="AR11" s="51">
        <f t="shared" si="0"/>
        <v>45371</v>
      </c>
      <c r="AS11" s="18">
        <f>IFERROR(RANK(F11,F:F,0)+COUNTIF($F$1:F10,F11),"")</f>
        <v>17</v>
      </c>
    </row>
    <row r="12" spans="1:47">
      <c r="A12" s="4">
        <v>1.7703841994110239E+18</v>
      </c>
      <c r="B12" s="4" t="s">
        <v>1060</v>
      </c>
      <c r="C12" s="4" t="s">
        <v>1061</v>
      </c>
      <c r="D12" s="4">
        <v>45371.775694444441</v>
      </c>
      <c r="E12" s="4">
        <v>525</v>
      </c>
      <c r="F12" s="4">
        <v>13</v>
      </c>
      <c r="G12" s="4">
        <v>2.4761904761904763E-2</v>
      </c>
      <c r="H12" s="4">
        <v>1</v>
      </c>
      <c r="I12" s="4">
        <v>0</v>
      </c>
      <c r="J12" s="4">
        <v>7</v>
      </c>
      <c r="K12" s="4">
        <v>1</v>
      </c>
      <c r="L12" s="4">
        <v>3</v>
      </c>
      <c r="M12" s="4">
        <v>0</v>
      </c>
      <c r="N12" s="4">
        <v>1</v>
      </c>
      <c r="O12" s="4">
        <v>0</v>
      </c>
      <c r="P12" s="4">
        <v>0</v>
      </c>
      <c r="Q12" s="4">
        <v>0</v>
      </c>
      <c r="R12" s="4">
        <v>0</v>
      </c>
      <c r="S12" s="4">
        <v>0</v>
      </c>
      <c r="T12" s="4">
        <v>0</v>
      </c>
      <c r="U12" s="4">
        <v>0</v>
      </c>
      <c r="V12" s="4">
        <v>0</v>
      </c>
      <c r="W12" s="4" t="s">
        <v>1030</v>
      </c>
      <c r="X12" s="4" t="s">
        <v>1030</v>
      </c>
      <c r="Y12" s="4" t="s">
        <v>1030</v>
      </c>
      <c r="Z12" s="4" t="s">
        <v>1030</v>
      </c>
      <c r="AA12" s="4" t="s">
        <v>1030</v>
      </c>
      <c r="AB12" s="4" t="s">
        <v>1030</v>
      </c>
      <c r="AC12" s="4" t="s">
        <v>1030</v>
      </c>
      <c r="AD12" s="4" t="s">
        <v>1030</v>
      </c>
      <c r="AE12" s="4" t="s">
        <v>1030</v>
      </c>
      <c r="AF12" s="4" t="s">
        <v>1030</v>
      </c>
      <c r="AG12" s="4" t="s">
        <v>1030</v>
      </c>
      <c r="AH12" s="4" t="s">
        <v>1030</v>
      </c>
      <c r="AI12" s="4" t="s">
        <v>1030</v>
      </c>
      <c r="AJ12" s="4" t="s">
        <v>1030</v>
      </c>
      <c r="AK12" s="4" t="s">
        <v>1030</v>
      </c>
      <c r="AL12" s="4" t="s">
        <v>1030</v>
      </c>
      <c r="AM12" s="4" t="s">
        <v>1030</v>
      </c>
      <c r="AN12" s="4" t="s">
        <v>1030</v>
      </c>
      <c r="AR12" s="51">
        <f t="shared" si="0"/>
        <v>45371</v>
      </c>
      <c r="AS12" s="18">
        <f>IFERROR(RANK(F12,F:F,0)+COUNTIF($F$1:F11,F12),"")</f>
        <v>18</v>
      </c>
    </row>
    <row r="13" spans="1:47">
      <c r="A13" s="4">
        <v>1.7700500828110321E+18</v>
      </c>
      <c r="B13" s="4" t="s">
        <v>1062</v>
      </c>
      <c r="C13" s="4" t="s">
        <v>1063</v>
      </c>
      <c r="D13" s="4">
        <v>45370.854166666664</v>
      </c>
      <c r="E13" s="4">
        <v>583</v>
      </c>
      <c r="F13" s="4">
        <v>17</v>
      </c>
      <c r="G13" s="4">
        <v>2.9159519725557463E-2</v>
      </c>
      <c r="H13" s="4">
        <v>0</v>
      </c>
      <c r="I13" s="4">
        <v>0</v>
      </c>
      <c r="J13" s="4">
        <v>4</v>
      </c>
      <c r="K13" s="4">
        <v>0</v>
      </c>
      <c r="L13" s="4">
        <v>0</v>
      </c>
      <c r="M13" s="4">
        <v>0</v>
      </c>
      <c r="N13" s="4">
        <v>0</v>
      </c>
      <c r="O13" s="4">
        <v>0</v>
      </c>
      <c r="P13" s="4">
        <v>0</v>
      </c>
      <c r="Q13" s="4">
        <v>0</v>
      </c>
      <c r="R13" s="4">
        <v>0</v>
      </c>
      <c r="S13" s="4">
        <v>0</v>
      </c>
      <c r="T13" s="4">
        <v>0</v>
      </c>
      <c r="U13" s="4">
        <v>13</v>
      </c>
      <c r="V13" s="4">
        <v>13</v>
      </c>
      <c r="W13" s="4" t="s">
        <v>1030</v>
      </c>
      <c r="X13" s="4" t="s">
        <v>1030</v>
      </c>
      <c r="Y13" s="4" t="s">
        <v>1030</v>
      </c>
      <c r="Z13" s="4" t="s">
        <v>1030</v>
      </c>
      <c r="AA13" s="4" t="s">
        <v>1030</v>
      </c>
      <c r="AB13" s="4" t="s">
        <v>1030</v>
      </c>
      <c r="AC13" s="4" t="s">
        <v>1030</v>
      </c>
      <c r="AD13" s="4" t="s">
        <v>1030</v>
      </c>
      <c r="AE13" s="4" t="s">
        <v>1030</v>
      </c>
      <c r="AF13" s="4" t="s">
        <v>1030</v>
      </c>
      <c r="AG13" s="4" t="s">
        <v>1030</v>
      </c>
      <c r="AH13" s="4" t="s">
        <v>1030</v>
      </c>
      <c r="AI13" s="4" t="s">
        <v>1030</v>
      </c>
      <c r="AJ13" s="4" t="s">
        <v>1030</v>
      </c>
      <c r="AK13" s="4" t="s">
        <v>1030</v>
      </c>
      <c r="AL13" s="4" t="s">
        <v>1030</v>
      </c>
      <c r="AM13" s="4" t="s">
        <v>1030</v>
      </c>
      <c r="AN13" s="4" t="s">
        <v>1030</v>
      </c>
      <c r="AR13" s="51">
        <f t="shared" si="0"/>
        <v>45370</v>
      </c>
      <c r="AS13" s="18">
        <f>IFERROR(RANK(F13,F:F,0)+COUNTIF($F$1:F12,F13),"")</f>
        <v>14</v>
      </c>
    </row>
    <row r="14" spans="1:47">
      <c r="A14" s="4">
        <v>1.7699844532529562E+18</v>
      </c>
      <c r="B14" s="4" t="s">
        <v>1064</v>
      </c>
      <c r="C14" s="4" t="s">
        <v>1065</v>
      </c>
      <c r="D14" s="4">
        <v>45370.67291666667</v>
      </c>
      <c r="E14" s="4">
        <v>3605</v>
      </c>
      <c r="F14" s="4">
        <v>84</v>
      </c>
      <c r="G14" s="4">
        <v>2.3300970873786409E-2</v>
      </c>
      <c r="H14" s="4">
        <v>2</v>
      </c>
      <c r="I14" s="4">
        <v>1</v>
      </c>
      <c r="J14" s="4">
        <v>9</v>
      </c>
      <c r="K14" s="4">
        <v>10</v>
      </c>
      <c r="L14" s="4">
        <v>17</v>
      </c>
      <c r="M14" s="4">
        <v>3</v>
      </c>
      <c r="N14" s="4">
        <v>35</v>
      </c>
      <c r="O14" s="4">
        <v>0</v>
      </c>
      <c r="P14" s="4">
        <v>0</v>
      </c>
      <c r="Q14" s="4">
        <v>0</v>
      </c>
      <c r="R14" s="4">
        <v>4</v>
      </c>
      <c r="S14" s="4">
        <v>0</v>
      </c>
      <c r="T14" s="4">
        <v>0</v>
      </c>
      <c r="U14" s="4">
        <v>3</v>
      </c>
      <c r="V14" s="4">
        <v>3</v>
      </c>
      <c r="W14" s="4" t="s">
        <v>1030</v>
      </c>
      <c r="X14" s="4" t="s">
        <v>1030</v>
      </c>
      <c r="Y14" s="4" t="s">
        <v>1030</v>
      </c>
      <c r="Z14" s="4" t="s">
        <v>1030</v>
      </c>
      <c r="AA14" s="4" t="s">
        <v>1030</v>
      </c>
      <c r="AB14" s="4" t="s">
        <v>1030</v>
      </c>
      <c r="AC14" s="4" t="s">
        <v>1030</v>
      </c>
      <c r="AD14" s="4" t="s">
        <v>1030</v>
      </c>
      <c r="AE14" s="4" t="s">
        <v>1030</v>
      </c>
      <c r="AF14" s="4" t="s">
        <v>1030</v>
      </c>
      <c r="AG14" s="4" t="s">
        <v>1030</v>
      </c>
      <c r="AH14" s="4" t="s">
        <v>1030</v>
      </c>
      <c r="AI14" s="4" t="s">
        <v>1030</v>
      </c>
      <c r="AJ14" s="4" t="s">
        <v>1030</v>
      </c>
      <c r="AK14" s="4" t="s">
        <v>1030</v>
      </c>
      <c r="AL14" s="4" t="s">
        <v>1030</v>
      </c>
      <c r="AM14" s="4" t="s">
        <v>1030</v>
      </c>
      <c r="AN14" s="4" t="s">
        <v>1030</v>
      </c>
      <c r="AR14" s="51">
        <f t="shared" si="0"/>
        <v>45370</v>
      </c>
      <c r="AS14" s="18">
        <f>IFERROR(RANK(F14,F:F,0)+COUNTIF($F$1:F13,F14),"")</f>
        <v>6</v>
      </c>
    </row>
    <row r="15" spans="1:47">
      <c r="A15" s="4">
        <v>1.7697124751451837E+18</v>
      </c>
      <c r="B15" s="4" t="s">
        <v>1066</v>
      </c>
      <c r="C15" s="4" t="s">
        <v>1067</v>
      </c>
      <c r="D15" s="4">
        <v>45369.922222222223</v>
      </c>
      <c r="E15" s="4">
        <v>537</v>
      </c>
      <c r="F15" s="4">
        <v>28</v>
      </c>
      <c r="G15" s="4">
        <v>5.2141527001862198E-2</v>
      </c>
      <c r="H15" s="4">
        <v>0</v>
      </c>
      <c r="I15" s="4">
        <v>1</v>
      </c>
      <c r="J15" s="4">
        <v>2</v>
      </c>
      <c r="K15" s="4">
        <v>3</v>
      </c>
      <c r="L15" s="4">
        <v>0</v>
      </c>
      <c r="M15" s="4">
        <v>3</v>
      </c>
      <c r="N15" s="4">
        <v>12</v>
      </c>
      <c r="O15" s="4">
        <v>0</v>
      </c>
      <c r="P15" s="4">
        <v>0</v>
      </c>
      <c r="Q15" s="4">
        <v>0</v>
      </c>
      <c r="R15" s="4">
        <v>0</v>
      </c>
      <c r="S15" s="4">
        <v>0</v>
      </c>
      <c r="T15" s="4">
        <v>0</v>
      </c>
      <c r="U15" s="4">
        <v>0</v>
      </c>
      <c r="V15" s="4">
        <v>0</v>
      </c>
      <c r="W15" s="4" t="s">
        <v>1030</v>
      </c>
      <c r="X15" s="4" t="s">
        <v>1030</v>
      </c>
      <c r="Y15" s="4" t="s">
        <v>1030</v>
      </c>
      <c r="Z15" s="4" t="s">
        <v>1030</v>
      </c>
      <c r="AA15" s="4" t="s">
        <v>1030</v>
      </c>
      <c r="AB15" s="4" t="s">
        <v>1030</v>
      </c>
      <c r="AC15" s="4" t="s">
        <v>1030</v>
      </c>
      <c r="AD15" s="4" t="s">
        <v>1030</v>
      </c>
      <c r="AE15" s="4" t="s">
        <v>1030</v>
      </c>
      <c r="AF15" s="4" t="s">
        <v>1030</v>
      </c>
      <c r="AG15" s="4" t="s">
        <v>1030</v>
      </c>
      <c r="AH15" s="4" t="s">
        <v>1030</v>
      </c>
      <c r="AI15" s="4" t="s">
        <v>1030</v>
      </c>
      <c r="AJ15" s="4" t="s">
        <v>1030</v>
      </c>
      <c r="AK15" s="4" t="s">
        <v>1030</v>
      </c>
      <c r="AL15" s="4" t="s">
        <v>1030</v>
      </c>
      <c r="AM15" s="4" t="s">
        <v>1030</v>
      </c>
      <c r="AN15" s="4" t="s">
        <v>1030</v>
      </c>
      <c r="AR15" s="51">
        <f t="shared" si="0"/>
        <v>45369</v>
      </c>
      <c r="AS15" s="18">
        <f>IFERROR(RANK(F15,F:F,0)+COUNTIF($F$1:F14,F15),"")</f>
        <v>10</v>
      </c>
    </row>
    <row r="16" spans="1:47">
      <c r="A16" s="4">
        <v>1.7696876951801206E+18</v>
      </c>
      <c r="B16" s="4" t="s">
        <v>1068</v>
      </c>
      <c r="C16" s="4" t="s">
        <v>1069</v>
      </c>
      <c r="D16" s="4">
        <v>45369.854166666664</v>
      </c>
      <c r="E16" s="4">
        <v>12028</v>
      </c>
      <c r="F16" s="4">
        <v>139</v>
      </c>
      <c r="G16" s="4">
        <v>1.1556368473561689E-2</v>
      </c>
      <c r="H16" s="4">
        <v>1</v>
      </c>
      <c r="I16" s="4">
        <v>0</v>
      </c>
      <c r="J16" s="4">
        <v>8</v>
      </c>
      <c r="K16" s="4">
        <v>14</v>
      </c>
      <c r="L16" s="4">
        <v>2</v>
      </c>
      <c r="M16" s="4">
        <v>7</v>
      </c>
      <c r="N16" s="4">
        <v>57</v>
      </c>
      <c r="O16" s="4">
        <v>0</v>
      </c>
      <c r="P16" s="4">
        <v>0</v>
      </c>
      <c r="Q16" s="4">
        <v>0</v>
      </c>
      <c r="R16" s="4">
        <v>1</v>
      </c>
      <c r="S16" s="4">
        <v>0</v>
      </c>
      <c r="T16" s="4">
        <v>0</v>
      </c>
      <c r="U16" s="4">
        <v>48</v>
      </c>
      <c r="V16" s="4">
        <v>48</v>
      </c>
      <c r="W16" s="4" t="s">
        <v>1030</v>
      </c>
      <c r="X16" s="4" t="s">
        <v>1030</v>
      </c>
      <c r="Y16" s="4" t="s">
        <v>1030</v>
      </c>
      <c r="Z16" s="4" t="s">
        <v>1030</v>
      </c>
      <c r="AA16" s="4" t="s">
        <v>1030</v>
      </c>
      <c r="AB16" s="4" t="s">
        <v>1030</v>
      </c>
      <c r="AC16" s="4" t="s">
        <v>1030</v>
      </c>
      <c r="AD16" s="4" t="s">
        <v>1030</v>
      </c>
      <c r="AE16" s="4" t="s">
        <v>1030</v>
      </c>
      <c r="AF16" s="4" t="s">
        <v>1030</v>
      </c>
      <c r="AG16" s="4" t="s">
        <v>1030</v>
      </c>
      <c r="AH16" s="4" t="s">
        <v>1030</v>
      </c>
      <c r="AI16" s="4" t="s">
        <v>1030</v>
      </c>
      <c r="AJ16" s="4" t="s">
        <v>1030</v>
      </c>
      <c r="AK16" s="4" t="s">
        <v>1030</v>
      </c>
      <c r="AL16" s="4" t="s">
        <v>1030</v>
      </c>
      <c r="AM16" s="4" t="s">
        <v>1030</v>
      </c>
      <c r="AN16" s="4" t="s">
        <v>1030</v>
      </c>
      <c r="AR16" s="51">
        <f t="shared" si="0"/>
        <v>45369</v>
      </c>
      <c r="AS16" s="18">
        <f>IFERROR(RANK(F16,F:F,0)+COUNTIF($F$1:F15,F16),"")</f>
        <v>2</v>
      </c>
    </row>
    <row r="17" spans="1:45">
      <c r="A17" s="4">
        <v>1.7686005321372145E+18</v>
      </c>
      <c r="B17" s="4" t="s">
        <v>1070</v>
      </c>
      <c r="C17" s="4" t="s">
        <v>1071</v>
      </c>
      <c r="D17" s="4">
        <v>45366.854166666664</v>
      </c>
      <c r="E17" s="4">
        <v>758</v>
      </c>
      <c r="F17" s="4">
        <v>42</v>
      </c>
      <c r="G17" s="4">
        <v>5.5408970976253295E-2</v>
      </c>
      <c r="H17" s="4">
        <v>1</v>
      </c>
      <c r="I17" s="4">
        <v>0</v>
      </c>
      <c r="J17" s="4">
        <v>4</v>
      </c>
      <c r="K17" s="4">
        <v>4</v>
      </c>
      <c r="L17" s="4">
        <v>0</v>
      </c>
      <c r="M17" s="4">
        <v>1</v>
      </c>
      <c r="N17" s="4">
        <v>7</v>
      </c>
      <c r="O17" s="4">
        <v>0</v>
      </c>
      <c r="P17" s="4">
        <v>0</v>
      </c>
      <c r="Q17" s="4">
        <v>0</v>
      </c>
      <c r="R17" s="4">
        <v>0</v>
      </c>
      <c r="S17" s="4">
        <v>0</v>
      </c>
      <c r="T17" s="4">
        <v>0</v>
      </c>
      <c r="U17" s="4">
        <v>25</v>
      </c>
      <c r="V17" s="4">
        <v>25</v>
      </c>
      <c r="W17" s="4" t="s">
        <v>1030</v>
      </c>
      <c r="X17" s="4" t="s">
        <v>1030</v>
      </c>
      <c r="Y17" s="4" t="s">
        <v>1030</v>
      </c>
      <c r="Z17" s="4" t="s">
        <v>1030</v>
      </c>
      <c r="AA17" s="4" t="s">
        <v>1030</v>
      </c>
      <c r="AB17" s="4" t="s">
        <v>1030</v>
      </c>
      <c r="AC17" s="4" t="s">
        <v>1030</v>
      </c>
      <c r="AD17" s="4" t="s">
        <v>1030</v>
      </c>
      <c r="AE17" s="4" t="s">
        <v>1030</v>
      </c>
      <c r="AF17" s="4" t="s">
        <v>1030</v>
      </c>
      <c r="AG17" s="4" t="s">
        <v>1030</v>
      </c>
      <c r="AH17" s="4" t="s">
        <v>1030</v>
      </c>
      <c r="AI17" s="4" t="s">
        <v>1030</v>
      </c>
      <c r="AJ17" s="4" t="s">
        <v>1030</v>
      </c>
      <c r="AK17" s="4" t="s">
        <v>1030</v>
      </c>
      <c r="AL17" s="4" t="s">
        <v>1030</v>
      </c>
      <c r="AM17" s="4" t="s">
        <v>1030</v>
      </c>
      <c r="AN17" s="4" t="s">
        <v>1030</v>
      </c>
      <c r="AR17" s="51">
        <f t="shared" si="0"/>
        <v>45366</v>
      </c>
      <c r="AS17" s="18">
        <f>IFERROR(RANK(F17,F:F,0)+COUNTIF($F$1:F16,F17),"")</f>
        <v>7</v>
      </c>
    </row>
    <row r="18" spans="1:45">
      <c r="A18" s="4">
        <v>1.7682381435124905E+18</v>
      </c>
      <c r="B18" s="4" t="s">
        <v>1072</v>
      </c>
      <c r="C18" s="4" t="s">
        <v>1073</v>
      </c>
      <c r="D18" s="4">
        <v>45365.854166666664</v>
      </c>
      <c r="E18" s="4">
        <v>557</v>
      </c>
      <c r="F18" s="4">
        <v>11</v>
      </c>
      <c r="G18" s="4">
        <v>1.9748653500897665E-2</v>
      </c>
      <c r="H18" s="4">
        <v>0</v>
      </c>
      <c r="I18" s="4">
        <v>0</v>
      </c>
      <c r="J18" s="4">
        <v>4</v>
      </c>
      <c r="K18" s="4">
        <v>5</v>
      </c>
      <c r="L18" s="4">
        <v>0</v>
      </c>
      <c r="M18" s="4">
        <v>0</v>
      </c>
      <c r="N18" s="4">
        <v>1</v>
      </c>
      <c r="O18" s="4">
        <v>0</v>
      </c>
      <c r="P18" s="4">
        <v>0</v>
      </c>
      <c r="Q18" s="4">
        <v>0</v>
      </c>
      <c r="R18" s="4">
        <v>0</v>
      </c>
      <c r="S18" s="4">
        <v>0</v>
      </c>
      <c r="T18" s="4">
        <v>0</v>
      </c>
      <c r="U18" s="4">
        <v>1</v>
      </c>
      <c r="V18" s="4">
        <v>1</v>
      </c>
      <c r="W18" s="4" t="s">
        <v>1030</v>
      </c>
      <c r="X18" s="4" t="s">
        <v>1030</v>
      </c>
      <c r="Y18" s="4" t="s">
        <v>1030</v>
      </c>
      <c r="Z18" s="4" t="s">
        <v>1030</v>
      </c>
      <c r="AA18" s="4" t="s">
        <v>1030</v>
      </c>
      <c r="AB18" s="4" t="s">
        <v>1030</v>
      </c>
      <c r="AC18" s="4" t="s">
        <v>1030</v>
      </c>
      <c r="AD18" s="4" t="s">
        <v>1030</v>
      </c>
      <c r="AE18" s="4" t="s">
        <v>1030</v>
      </c>
      <c r="AF18" s="4" t="s">
        <v>1030</v>
      </c>
      <c r="AG18" s="4" t="s">
        <v>1030</v>
      </c>
      <c r="AH18" s="4" t="s">
        <v>1030</v>
      </c>
      <c r="AI18" s="4" t="s">
        <v>1030</v>
      </c>
      <c r="AJ18" s="4" t="s">
        <v>1030</v>
      </c>
      <c r="AK18" s="4" t="s">
        <v>1030</v>
      </c>
      <c r="AL18" s="4" t="s">
        <v>1030</v>
      </c>
      <c r="AM18" s="4" t="s">
        <v>1030</v>
      </c>
      <c r="AN18" s="4" t="s">
        <v>1030</v>
      </c>
      <c r="AR18" s="51">
        <f t="shared" si="0"/>
        <v>45365</v>
      </c>
      <c r="AS18" s="18">
        <f>IFERROR(RANK(F18,F:F,0)+COUNTIF($F$1:F17,F18),"")</f>
        <v>21</v>
      </c>
    </row>
    <row r="19" spans="1:45">
      <c r="A19" s="4">
        <v>1.7681622820754967E+18</v>
      </c>
      <c r="B19" s="4" t="s">
        <v>1074</v>
      </c>
      <c r="C19" s="4" t="s">
        <v>1075</v>
      </c>
      <c r="D19" s="4">
        <v>45365.644444444442</v>
      </c>
      <c r="E19" s="4">
        <v>454</v>
      </c>
      <c r="F19" s="4">
        <v>13</v>
      </c>
      <c r="G19" s="4">
        <v>2.8634361233480177E-2</v>
      </c>
      <c r="H19" s="4">
        <v>0</v>
      </c>
      <c r="I19" s="4">
        <v>0</v>
      </c>
      <c r="J19" s="4">
        <v>3</v>
      </c>
      <c r="K19" s="4">
        <v>2</v>
      </c>
      <c r="L19" s="4">
        <v>0</v>
      </c>
      <c r="M19" s="4">
        <v>1</v>
      </c>
      <c r="N19" s="4">
        <v>4</v>
      </c>
      <c r="O19" s="4">
        <v>0</v>
      </c>
      <c r="P19" s="4">
        <v>0</v>
      </c>
      <c r="Q19" s="4">
        <v>0</v>
      </c>
      <c r="R19" s="4">
        <v>0</v>
      </c>
      <c r="S19" s="4">
        <v>0</v>
      </c>
      <c r="T19" s="4">
        <v>0</v>
      </c>
      <c r="U19" s="4">
        <v>3</v>
      </c>
      <c r="V19" s="4">
        <v>3</v>
      </c>
      <c r="W19" s="4" t="s">
        <v>1030</v>
      </c>
      <c r="X19" s="4" t="s">
        <v>1030</v>
      </c>
      <c r="Y19" s="4" t="s">
        <v>1030</v>
      </c>
      <c r="Z19" s="4" t="s">
        <v>1030</v>
      </c>
      <c r="AA19" s="4" t="s">
        <v>1030</v>
      </c>
      <c r="AB19" s="4" t="s">
        <v>1030</v>
      </c>
      <c r="AC19" s="4" t="s">
        <v>1030</v>
      </c>
      <c r="AD19" s="4" t="s">
        <v>1030</v>
      </c>
      <c r="AE19" s="4" t="s">
        <v>1030</v>
      </c>
      <c r="AF19" s="4" t="s">
        <v>1030</v>
      </c>
      <c r="AG19" s="4" t="s">
        <v>1030</v>
      </c>
      <c r="AH19" s="4" t="s">
        <v>1030</v>
      </c>
      <c r="AI19" s="4" t="s">
        <v>1030</v>
      </c>
      <c r="AJ19" s="4" t="s">
        <v>1030</v>
      </c>
      <c r="AK19" s="4" t="s">
        <v>1030</v>
      </c>
      <c r="AL19" s="4" t="s">
        <v>1030</v>
      </c>
      <c r="AM19" s="4" t="s">
        <v>1030</v>
      </c>
      <c r="AN19" s="4" t="s">
        <v>1030</v>
      </c>
      <c r="AR19" s="51">
        <f t="shared" si="0"/>
        <v>45365</v>
      </c>
      <c r="AS19" s="18">
        <f>IFERROR(RANK(F19,F:F,0)+COUNTIF($F$1:F18,F19),"")</f>
        <v>19</v>
      </c>
    </row>
    <row r="20" spans="1:45">
      <c r="A20" s="4">
        <v>1.7679059574961608E+18</v>
      </c>
      <c r="B20" s="4" t="s">
        <v>1076</v>
      </c>
      <c r="C20" s="4" t="s">
        <v>1077</v>
      </c>
      <c r="D20" s="4">
        <v>45364.9375</v>
      </c>
      <c r="E20" s="4">
        <v>456</v>
      </c>
      <c r="F20" s="4">
        <v>30</v>
      </c>
      <c r="G20" s="4">
        <v>6.5789473684210523E-2</v>
      </c>
      <c r="H20" s="4">
        <v>0</v>
      </c>
      <c r="I20" s="4">
        <v>0</v>
      </c>
      <c r="J20" s="4">
        <v>4</v>
      </c>
      <c r="K20" s="4">
        <v>4</v>
      </c>
      <c r="L20" s="4">
        <v>0</v>
      </c>
      <c r="M20" s="4">
        <v>2</v>
      </c>
      <c r="N20" s="4">
        <v>2</v>
      </c>
      <c r="O20" s="4">
        <v>0</v>
      </c>
      <c r="P20" s="4">
        <v>0</v>
      </c>
      <c r="Q20" s="4">
        <v>0</v>
      </c>
      <c r="R20" s="4">
        <v>0</v>
      </c>
      <c r="S20" s="4">
        <v>0</v>
      </c>
      <c r="T20" s="4">
        <v>0</v>
      </c>
      <c r="U20" s="4">
        <v>18</v>
      </c>
      <c r="V20" s="4">
        <v>18</v>
      </c>
      <c r="W20" s="4" t="s">
        <v>1030</v>
      </c>
      <c r="X20" s="4" t="s">
        <v>1030</v>
      </c>
      <c r="Y20" s="4" t="s">
        <v>1030</v>
      </c>
      <c r="Z20" s="4" t="s">
        <v>1030</v>
      </c>
      <c r="AA20" s="4" t="s">
        <v>1030</v>
      </c>
      <c r="AB20" s="4" t="s">
        <v>1030</v>
      </c>
      <c r="AC20" s="4" t="s">
        <v>1030</v>
      </c>
      <c r="AD20" s="4" t="s">
        <v>1030</v>
      </c>
      <c r="AE20" s="4" t="s">
        <v>1030</v>
      </c>
      <c r="AF20" s="4" t="s">
        <v>1030</v>
      </c>
      <c r="AG20" s="4" t="s">
        <v>1030</v>
      </c>
      <c r="AH20" s="4" t="s">
        <v>1030</v>
      </c>
      <c r="AI20" s="4" t="s">
        <v>1030</v>
      </c>
      <c r="AJ20" s="4" t="s">
        <v>1030</v>
      </c>
      <c r="AK20" s="4" t="s">
        <v>1030</v>
      </c>
      <c r="AL20" s="4" t="s">
        <v>1030</v>
      </c>
      <c r="AM20" s="4" t="s">
        <v>1030</v>
      </c>
      <c r="AN20" s="4" t="s">
        <v>1030</v>
      </c>
      <c r="AR20" s="51">
        <f t="shared" si="0"/>
        <v>45364</v>
      </c>
      <c r="AS20" s="18">
        <f>IFERROR(RANK(F20,F:F,0)+COUNTIF($F$1:F19,F20),"")</f>
        <v>9</v>
      </c>
    </row>
    <row r="21" spans="1:45">
      <c r="A21" s="4">
        <v>1.767898958154859E+18</v>
      </c>
      <c r="B21" s="4" t="s">
        <v>1078</v>
      </c>
      <c r="C21" s="4" t="s">
        <v>1079</v>
      </c>
      <c r="D21" s="4">
        <v>45364.918055555558</v>
      </c>
      <c r="E21" s="4">
        <v>331</v>
      </c>
      <c r="F21" s="4">
        <v>4</v>
      </c>
      <c r="G21" s="4">
        <v>1.2084592145015106E-2</v>
      </c>
      <c r="H21" s="4">
        <v>0</v>
      </c>
      <c r="I21" s="4">
        <v>0</v>
      </c>
      <c r="J21" s="4">
        <v>4</v>
      </c>
      <c r="K21" s="4">
        <v>0</v>
      </c>
      <c r="L21" s="4">
        <v>0</v>
      </c>
      <c r="M21" s="4">
        <v>0</v>
      </c>
      <c r="N21" s="4">
        <v>0</v>
      </c>
      <c r="O21" s="4">
        <v>0</v>
      </c>
      <c r="P21" s="4">
        <v>0</v>
      </c>
      <c r="Q21" s="4">
        <v>0</v>
      </c>
      <c r="R21" s="4">
        <v>0</v>
      </c>
      <c r="S21" s="4">
        <v>0</v>
      </c>
      <c r="T21" s="4">
        <v>0</v>
      </c>
      <c r="U21" s="4">
        <v>0</v>
      </c>
      <c r="V21" s="4">
        <v>0</v>
      </c>
      <c r="W21" s="4" t="s">
        <v>1030</v>
      </c>
      <c r="X21" s="4" t="s">
        <v>1030</v>
      </c>
      <c r="Y21" s="4" t="s">
        <v>1030</v>
      </c>
      <c r="Z21" s="4" t="s">
        <v>1030</v>
      </c>
      <c r="AA21" s="4" t="s">
        <v>1030</v>
      </c>
      <c r="AB21" s="4" t="s">
        <v>1030</v>
      </c>
      <c r="AC21" s="4" t="s">
        <v>1030</v>
      </c>
      <c r="AD21" s="4" t="s">
        <v>1030</v>
      </c>
      <c r="AE21" s="4" t="s">
        <v>1030</v>
      </c>
      <c r="AF21" s="4" t="s">
        <v>1030</v>
      </c>
      <c r="AG21" s="4" t="s">
        <v>1030</v>
      </c>
      <c r="AH21" s="4" t="s">
        <v>1030</v>
      </c>
      <c r="AI21" s="4" t="s">
        <v>1030</v>
      </c>
      <c r="AJ21" s="4" t="s">
        <v>1030</v>
      </c>
      <c r="AK21" s="4" t="s">
        <v>1030</v>
      </c>
      <c r="AL21" s="4" t="s">
        <v>1030</v>
      </c>
      <c r="AM21" s="4" t="s">
        <v>1030</v>
      </c>
      <c r="AN21" s="4" t="s">
        <v>1030</v>
      </c>
      <c r="AR21" s="51">
        <f t="shared" si="0"/>
        <v>45364</v>
      </c>
      <c r="AS21" s="18">
        <f>IFERROR(RANK(F21,F:F,0)+COUNTIF($F$1:F20,F21),"")</f>
        <v>28</v>
      </c>
    </row>
    <row r="22" spans="1:45">
      <c r="A22" s="4">
        <v>1.7678105960601559E+18</v>
      </c>
      <c r="B22" s="4" t="s">
        <v>1080</v>
      </c>
      <c r="C22" s="4" t="s">
        <v>1081</v>
      </c>
      <c r="D22" s="4">
        <v>45364.674305555556</v>
      </c>
      <c r="E22" s="4">
        <v>23628</v>
      </c>
      <c r="F22" s="4">
        <v>173</v>
      </c>
      <c r="G22" s="4">
        <v>7.3218215676316232E-3</v>
      </c>
      <c r="H22" s="4">
        <v>1</v>
      </c>
      <c r="I22" s="4">
        <v>0</v>
      </c>
      <c r="J22" s="4">
        <v>12</v>
      </c>
      <c r="K22" s="4">
        <v>24</v>
      </c>
      <c r="L22" s="4">
        <v>0</v>
      </c>
      <c r="M22" s="4">
        <v>9</v>
      </c>
      <c r="N22" s="4">
        <v>99</v>
      </c>
      <c r="O22" s="4">
        <v>0</v>
      </c>
      <c r="P22" s="4">
        <v>0</v>
      </c>
      <c r="Q22" s="4">
        <v>0</v>
      </c>
      <c r="R22" s="4">
        <v>1</v>
      </c>
      <c r="S22" s="4">
        <v>0</v>
      </c>
      <c r="T22" s="4">
        <v>0</v>
      </c>
      <c r="U22" s="4">
        <v>27</v>
      </c>
      <c r="V22" s="4">
        <v>27</v>
      </c>
      <c r="W22" s="4" t="s">
        <v>1030</v>
      </c>
      <c r="X22" s="4" t="s">
        <v>1030</v>
      </c>
      <c r="Y22" s="4" t="s">
        <v>1030</v>
      </c>
      <c r="Z22" s="4" t="s">
        <v>1030</v>
      </c>
      <c r="AA22" s="4" t="s">
        <v>1030</v>
      </c>
      <c r="AB22" s="4" t="s">
        <v>1030</v>
      </c>
      <c r="AC22" s="4" t="s">
        <v>1030</v>
      </c>
      <c r="AD22" s="4" t="s">
        <v>1030</v>
      </c>
      <c r="AE22" s="4" t="s">
        <v>1030</v>
      </c>
      <c r="AF22" s="4" t="s">
        <v>1030</v>
      </c>
      <c r="AG22" s="4" t="s">
        <v>1030</v>
      </c>
      <c r="AH22" s="4" t="s">
        <v>1030</v>
      </c>
      <c r="AI22" s="4" t="s">
        <v>1030</v>
      </c>
      <c r="AJ22" s="4" t="s">
        <v>1030</v>
      </c>
      <c r="AK22" s="4" t="s">
        <v>1030</v>
      </c>
      <c r="AL22" s="4" t="s">
        <v>1030</v>
      </c>
      <c r="AM22" s="4" t="s">
        <v>1030</v>
      </c>
      <c r="AN22" s="4" t="s">
        <v>1030</v>
      </c>
      <c r="AR22" s="51">
        <f t="shared" si="0"/>
        <v>45364</v>
      </c>
      <c r="AS22" s="18">
        <f>IFERROR(RANK(F22,F:F,0)+COUNTIF($F$1:F21,F22),"")</f>
        <v>1</v>
      </c>
    </row>
    <row r="23" spans="1:45">
      <c r="A23" s="4">
        <v>1.767158538839659E+18</v>
      </c>
      <c r="B23" s="4" t="s">
        <v>1082</v>
      </c>
      <c r="C23" s="4" t="s">
        <v>1083</v>
      </c>
      <c r="D23" s="4">
        <v>45362.875</v>
      </c>
      <c r="E23" s="4">
        <v>505</v>
      </c>
      <c r="F23" s="4">
        <v>16</v>
      </c>
      <c r="G23" s="4">
        <v>3.1683168316831684E-2</v>
      </c>
      <c r="H23" s="4">
        <v>0</v>
      </c>
      <c r="I23" s="4">
        <v>0</v>
      </c>
      <c r="J23" s="4">
        <v>5</v>
      </c>
      <c r="K23" s="4">
        <v>2</v>
      </c>
      <c r="L23" s="4">
        <v>0</v>
      </c>
      <c r="M23" s="4">
        <v>0</v>
      </c>
      <c r="N23" s="4">
        <v>2</v>
      </c>
      <c r="O23" s="4">
        <v>0</v>
      </c>
      <c r="P23" s="4">
        <v>0</v>
      </c>
      <c r="Q23" s="4">
        <v>0</v>
      </c>
      <c r="R23" s="4">
        <v>0</v>
      </c>
      <c r="S23" s="4">
        <v>0</v>
      </c>
      <c r="T23" s="4">
        <v>0</v>
      </c>
      <c r="U23" s="4">
        <v>7</v>
      </c>
      <c r="V23" s="4">
        <v>7</v>
      </c>
      <c r="W23" s="4" t="s">
        <v>1030</v>
      </c>
      <c r="X23" s="4" t="s">
        <v>1030</v>
      </c>
      <c r="Y23" s="4" t="s">
        <v>1030</v>
      </c>
      <c r="Z23" s="4" t="s">
        <v>1030</v>
      </c>
      <c r="AA23" s="4" t="s">
        <v>1030</v>
      </c>
      <c r="AB23" s="4" t="s">
        <v>1030</v>
      </c>
      <c r="AC23" s="4" t="s">
        <v>1030</v>
      </c>
      <c r="AD23" s="4" t="s">
        <v>1030</v>
      </c>
      <c r="AE23" s="4" t="s">
        <v>1030</v>
      </c>
      <c r="AF23" s="4" t="s">
        <v>1030</v>
      </c>
      <c r="AG23" s="4" t="s">
        <v>1030</v>
      </c>
      <c r="AH23" s="4" t="s">
        <v>1030</v>
      </c>
      <c r="AI23" s="4" t="s">
        <v>1030</v>
      </c>
      <c r="AJ23" s="4" t="s">
        <v>1030</v>
      </c>
      <c r="AK23" s="4" t="s">
        <v>1030</v>
      </c>
      <c r="AL23" s="4" t="s">
        <v>1030</v>
      </c>
      <c r="AM23" s="4" t="s">
        <v>1030</v>
      </c>
      <c r="AN23" s="4" t="s">
        <v>1030</v>
      </c>
      <c r="AR23" s="51">
        <f t="shared" si="0"/>
        <v>45362</v>
      </c>
      <c r="AS23" s="18">
        <f>IFERROR(RANK(F23,F:F,0)+COUNTIF($F$1:F22,F23),"")</f>
        <v>16</v>
      </c>
    </row>
    <row r="24" spans="1:45">
      <c r="A24" s="4">
        <v>1.7671105410369295E+18</v>
      </c>
      <c r="B24" s="4" t="s">
        <v>1084</v>
      </c>
      <c r="C24" s="4" t="s">
        <v>1085</v>
      </c>
      <c r="D24" s="4">
        <v>45362.742361111108</v>
      </c>
      <c r="E24" s="4">
        <v>714</v>
      </c>
      <c r="F24" s="4">
        <v>20</v>
      </c>
      <c r="G24" s="4">
        <v>2.8011204481792718E-2</v>
      </c>
      <c r="H24" s="4">
        <v>1</v>
      </c>
      <c r="I24" s="4">
        <v>1</v>
      </c>
      <c r="J24" s="4">
        <v>5</v>
      </c>
      <c r="K24" s="4">
        <v>3</v>
      </c>
      <c r="L24" s="4">
        <v>0</v>
      </c>
      <c r="M24" s="4">
        <v>0</v>
      </c>
      <c r="N24" s="4">
        <v>2</v>
      </c>
      <c r="O24" s="4">
        <v>0</v>
      </c>
      <c r="P24" s="4">
        <v>0</v>
      </c>
      <c r="Q24" s="4">
        <v>0</v>
      </c>
      <c r="R24" s="4">
        <v>0</v>
      </c>
      <c r="S24" s="4">
        <v>0</v>
      </c>
      <c r="T24" s="4">
        <v>0</v>
      </c>
      <c r="U24" s="4">
        <v>106</v>
      </c>
      <c r="V24" s="4">
        <v>8</v>
      </c>
      <c r="W24" s="4" t="s">
        <v>1030</v>
      </c>
      <c r="X24" s="4" t="s">
        <v>1030</v>
      </c>
      <c r="Y24" s="4" t="s">
        <v>1030</v>
      </c>
      <c r="Z24" s="4" t="s">
        <v>1030</v>
      </c>
      <c r="AA24" s="4" t="s">
        <v>1030</v>
      </c>
      <c r="AB24" s="4" t="s">
        <v>1030</v>
      </c>
      <c r="AC24" s="4" t="s">
        <v>1030</v>
      </c>
      <c r="AD24" s="4" t="s">
        <v>1030</v>
      </c>
      <c r="AE24" s="4" t="s">
        <v>1030</v>
      </c>
      <c r="AF24" s="4" t="s">
        <v>1030</v>
      </c>
      <c r="AG24" s="4" t="s">
        <v>1030</v>
      </c>
      <c r="AH24" s="4" t="s">
        <v>1030</v>
      </c>
      <c r="AI24" s="4" t="s">
        <v>1030</v>
      </c>
      <c r="AJ24" s="4" t="s">
        <v>1030</v>
      </c>
      <c r="AK24" s="4" t="s">
        <v>1030</v>
      </c>
      <c r="AL24" s="4" t="s">
        <v>1030</v>
      </c>
      <c r="AM24" s="4" t="s">
        <v>1030</v>
      </c>
      <c r="AN24" s="4" t="s">
        <v>1030</v>
      </c>
      <c r="AR24" s="51">
        <f t="shared" si="0"/>
        <v>45362</v>
      </c>
      <c r="AS24" s="18">
        <f>IFERROR(RANK(F24,F:F,0)+COUNTIF($F$1:F23,F24),"")</f>
        <v>12</v>
      </c>
    </row>
    <row r="25" spans="1:45">
      <c r="A25" s="4">
        <v>1.7660638156517294E+18</v>
      </c>
      <c r="B25" s="4" t="s">
        <v>1086</v>
      </c>
      <c r="C25" s="4" t="s">
        <v>1087</v>
      </c>
      <c r="D25" s="4">
        <v>45359.854166666664</v>
      </c>
      <c r="E25" s="4">
        <v>345</v>
      </c>
      <c r="F25" s="4">
        <v>6</v>
      </c>
      <c r="G25" s="4">
        <v>1.7391304347826087E-2</v>
      </c>
      <c r="H25" s="4">
        <v>0</v>
      </c>
      <c r="I25" s="4">
        <v>0</v>
      </c>
      <c r="J25" s="4">
        <v>4</v>
      </c>
      <c r="K25" s="4">
        <v>0</v>
      </c>
      <c r="L25" s="4">
        <v>2</v>
      </c>
      <c r="M25" s="4">
        <v>0</v>
      </c>
      <c r="N25" s="4">
        <v>0</v>
      </c>
      <c r="O25" s="4">
        <v>0</v>
      </c>
      <c r="P25" s="4">
        <v>0</v>
      </c>
      <c r="Q25" s="4">
        <v>0</v>
      </c>
      <c r="R25" s="4">
        <v>0</v>
      </c>
      <c r="S25" s="4">
        <v>0</v>
      </c>
      <c r="T25" s="4">
        <v>0</v>
      </c>
      <c r="U25" s="4">
        <v>0</v>
      </c>
      <c r="V25" s="4">
        <v>0</v>
      </c>
      <c r="W25" s="4" t="s">
        <v>1030</v>
      </c>
      <c r="X25" s="4" t="s">
        <v>1030</v>
      </c>
      <c r="Y25" s="4" t="s">
        <v>1030</v>
      </c>
      <c r="Z25" s="4" t="s">
        <v>1030</v>
      </c>
      <c r="AA25" s="4" t="s">
        <v>1030</v>
      </c>
      <c r="AB25" s="4" t="s">
        <v>1030</v>
      </c>
      <c r="AC25" s="4" t="s">
        <v>1030</v>
      </c>
      <c r="AD25" s="4" t="s">
        <v>1030</v>
      </c>
      <c r="AE25" s="4" t="s">
        <v>1030</v>
      </c>
      <c r="AF25" s="4" t="s">
        <v>1030</v>
      </c>
      <c r="AG25" s="4" t="s">
        <v>1030</v>
      </c>
      <c r="AH25" s="4" t="s">
        <v>1030</v>
      </c>
      <c r="AI25" s="4" t="s">
        <v>1030</v>
      </c>
      <c r="AJ25" s="4" t="s">
        <v>1030</v>
      </c>
      <c r="AK25" s="4" t="s">
        <v>1030</v>
      </c>
      <c r="AL25" s="4" t="s">
        <v>1030</v>
      </c>
      <c r="AM25" s="4" t="s">
        <v>1030</v>
      </c>
      <c r="AN25" s="4" t="s">
        <v>1030</v>
      </c>
      <c r="AR25" s="51">
        <f t="shared" si="0"/>
        <v>45359</v>
      </c>
      <c r="AS25" s="18">
        <f>IFERROR(RANK(F25,F:F,0)+COUNTIF($F$1:F24,F25),"")</f>
        <v>26</v>
      </c>
    </row>
    <row r="26" spans="1:45">
      <c r="A26" s="4">
        <v>1.7660336205889987E+18</v>
      </c>
      <c r="B26" s="4" t="s">
        <v>1088</v>
      </c>
      <c r="C26" s="4" t="s">
        <v>1089</v>
      </c>
      <c r="D26" s="4">
        <v>45359.770833333336</v>
      </c>
      <c r="E26" s="4">
        <v>456</v>
      </c>
      <c r="F26" s="4">
        <v>17</v>
      </c>
      <c r="G26" s="4">
        <v>3.7280701754385963E-2</v>
      </c>
      <c r="H26" s="4">
        <v>0</v>
      </c>
      <c r="I26" s="4">
        <v>1</v>
      </c>
      <c r="J26" s="4">
        <v>9</v>
      </c>
      <c r="K26" s="4">
        <v>1</v>
      </c>
      <c r="L26" s="4">
        <v>0</v>
      </c>
      <c r="M26" s="4">
        <v>0</v>
      </c>
      <c r="N26" s="4">
        <v>4</v>
      </c>
      <c r="O26" s="4">
        <v>0</v>
      </c>
      <c r="P26" s="4">
        <v>0</v>
      </c>
      <c r="Q26" s="4">
        <v>0</v>
      </c>
      <c r="R26" s="4">
        <v>0</v>
      </c>
      <c r="S26" s="4">
        <v>0</v>
      </c>
      <c r="T26" s="4">
        <v>0</v>
      </c>
      <c r="U26" s="4">
        <v>2</v>
      </c>
      <c r="V26" s="4">
        <v>2</v>
      </c>
      <c r="W26" s="4" t="s">
        <v>1030</v>
      </c>
      <c r="X26" s="4" t="s">
        <v>1030</v>
      </c>
      <c r="Y26" s="4" t="s">
        <v>1030</v>
      </c>
      <c r="Z26" s="4" t="s">
        <v>1030</v>
      </c>
      <c r="AA26" s="4" t="s">
        <v>1030</v>
      </c>
      <c r="AB26" s="4" t="s">
        <v>1030</v>
      </c>
      <c r="AC26" s="4" t="s">
        <v>1030</v>
      </c>
      <c r="AD26" s="4" t="s">
        <v>1030</v>
      </c>
      <c r="AE26" s="4" t="s">
        <v>1030</v>
      </c>
      <c r="AF26" s="4" t="s">
        <v>1030</v>
      </c>
      <c r="AG26" s="4" t="s">
        <v>1030</v>
      </c>
      <c r="AH26" s="4" t="s">
        <v>1030</v>
      </c>
      <c r="AI26" s="4" t="s">
        <v>1030</v>
      </c>
      <c r="AJ26" s="4" t="s">
        <v>1030</v>
      </c>
      <c r="AK26" s="4" t="s">
        <v>1030</v>
      </c>
      <c r="AL26" s="4" t="s">
        <v>1030</v>
      </c>
      <c r="AM26" s="4" t="s">
        <v>1030</v>
      </c>
      <c r="AN26" s="4" t="s">
        <v>1030</v>
      </c>
      <c r="AR26" s="51">
        <f t="shared" si="0"/>
        <v>45359</v>
      </c>
      <c r="AS26" s="18">
        <f>IFERROR(RANK(F26,F:F,0)+COUNTIF($F$1:F25,F26),"")</f>
        <v>15</v>
      </c>
    </row>
    <row r="27" spans="1:45">
      <c r="A27" s="4">
        <v>1.7656712319601091E+18</v>
      </c>
      <c r="B27" s="4" t="s">
        <v>1090</v>
      </c>
      <c r="C27" s="4" t="s">
        <v>1091</v>
      </c>
      <c r="D27" s="4">
        <v>45358.770833333336</v>
      </c>
      <c r="E27" s="4">
        <v>388</v>
      </c>
      <c r="F27" s="4">
        <v>11</v>
      </c>
      <c r="G27" s="4">
        <v>2.8350515463917526E-2</v>
      </c>
      <c r="H27" s="4">
        <v>0</v>
      </c>
      <c r="I27" s="4">
        <v>0</v>
      </c>
      <c r="J27" s="4">
        <v>4</v>
      </c>
      <c r="K27" s="4">
        <v>1</v>
      </c>
      <c r="L27" s="4">
        <v>0</v>
      </c>
      <c r="M27" s="4">
        <v>0</v>
      </c>
      <c r="N27" s="4">
        <v>3</v>
      </c>
      <c r="O27" s="4">
        <v>0</v>
      </c>
      <c r="P27" s="4">
        <v>0</v>
      </c>
      <c r="Q27" s="4">
        <v>0</v>
      </c>
      <c r="R27" s="4">
        <v>0</v>
      </c>
      <c r="S27" s="4">
        <v>0</v>
      </c>
      <c r="T27" s="4">
        <v>0</v>
      </c>
      <c r="U27" s="4">
        <v>3</v>
      </c>
      <c r="V27" s="4">
        <v>3</v>
      </c>
      <c r="W27" s="4" t="s">
        <v>1030</v>
      </c>
      <c r="X27" s="4" t="s">
        <v>1030</v>
      </c>
      <c r="Y27" s="4" t="s">
        <v>1030</v>
      </c>
      <c r="Z27" s="4" t="s">
        <v>1030</v>
      </c>
      <c r="AA27" s="4" t="s">
        <v>1030</v>
      </c>
      <c r="AB27" s="4" t="s">
        <v>1030</v>
      </c>
      <c r="AC27" s="4" t="s">
        <v>1030</v>
      </c>
      <c r="AD27" s="4" t="s">
        <v>1030</v>
      </c>
      <c r="AE27" s="4" t="s">
        <v>1030</v>
      </c>
      <c r="AF27" s="4" t="s">
        <v>1030</v>
      </c>
      <c r="AG27" s="4" t="s">
        <v>1030</v>
      </c>
      <c r="AH27" s="4" t="s">
        <v>1030</v>
      </c>
      <c r="AI27" s="4" t="s">
        <v>1030</v>
      </c>
      <c r="AJ27" s="4" t="s">
        <v>1030</v>
      </c>
      <c r="AK27" s="4" t="s">
        <v>1030</v>
      </c>
      <c r="AL27" s="4" t="s">
        <v>1030</v>
      </c>
      <c r="AM27" s="4" t="s">
        <v>1030</v>
      </c>
      <c r="AN27" s="4" t="s">
        <v>1030</v>
      </c>
      <c r="AR27" s="51">
        <f t="shared" si="0"/>
        <v>45358</v>
      </c>
      <c r="AS27" s="18">
        <f>IFERROR(RANK(F27,F:F,0)+COUNTIF($F$1:F26,F27),"")</f>
        <v>22</v>
      </c>
    </row>
    <row r="28" spans="1:45">
      <c r="A28" s="4">
        <v>1.7649464551886482E+18</v>
      </c>
      <c r="B28" s="4" t="s">
        <v>1092</v>
      </c>
      <c r="C28" s="4" t="s">
        <v>1093</v>
      </c>
      <c r="D28" s="4">
        <v>45356.770833333336</v>
      </c>
      <c r="E28" s="4">
        <v>16899</v>
      </c>
      <c r="F28" s="4">
        <v>106</v>
      </c>
      <c r="G28" s="4">
        <v>6.2725605065388481E-3</v>
      </c>
      <c r="H28" s="4">
        <v>4</v>
      </c>
      <c r="I28" s="4">
        <v>0</v>
      </c>
      <c r="J28" s="4">
        <v>10</v>
      </c>
      <c r="K28" s="4">
        <v>11</v>
      </c>
      <c r="L28" s="4">
        <v>0</v>
      </c>
      <c r="M28" s="4">
        <v>1</v>
      </c>
      <c r="N28" s="4">
        <v>52</v>
      </c>
      <c r="O28" s="4">
        <v>0</v>
      </c>
      <c r="P28" s="4">
        <v>0</v>
      </c>
      <c r="Q28" s="4">
        <v>0</v>
      </c>
      <c r="R28" s="4">
        <v>2</v>
      </c>
      <c r="S28" s="4">
        <v>0</v>
      </c>
      <c r="T28" s="4">
        <v>0</v>
      </c>
      <c r="U28" s="4">
        <v>26</v>
      </c>
      <c r="V28" s="4">
        <v>26</v>
      </c>
      <c r="W28" s="4" t="s">
        <v>1030</v>
      </c>
      <c r="X28" s="4" t="s">
        <v>1030</v>
      </c>
      <c r="Y28" s="4" t="s">
        <v>1030</v>
      </c>
      <c r="Z28" s="4" t="s">
        <v>1030</v>
      </c>
      <c r="AA28" s="4" t="s">
        <v>1030</v>
      </c>
      <c r="AB28" s="4" t="s">
        <v>1030</v>
      </c>
      <c r="AC28" s="4" t="s">
        <v>1030</v>
      </c>
      <c r="AD28" s="4" t="s">
        <v>1030</v>
      </c>
      <c r="AE28" s="4" t="s">
        <v>1030</v>
      </c>
      <c r="AF28" s="4" t="s">
        <v>1030</v>
      </c>
      <c r="AG28" s="4" t="s">
        <v>1030</v>
      </c>
      <c r="AH28" s="4" t="s">
        <v>1030</v>
      </c>
      <c r="AI28" s="4" t="s">
        <v>1030</v>
      </c>
      <c r="AJ28" s="4" t="s">
        <v>1030</v>
      </c>
      <c r="AK28" s="4" t="s">
        <v>1030</v>
      </c>
      <c r="AL28" s="4" t="s">
        <v>1030</v>
      </c>
      <c r="AM28" s="4" t="s">
        <v>1030</v>
      </c>
      <c r="AN28" s="4" t="s">
        <v>1030</v>
      </c>
      <c r="AR28" s="51">
        <f t="shared" si="0"/>
        <v>45356</v>
      </c>
      <c r="AS28" s="18">
        <f>IFERROR(RANK(F28,F:F,0)+COUNTIF($F$1:F27,F28),"")</f>
        <v>4</v>
      </c>
    </row>
    <row r="29" spans="1:45">
      <c r="A29" s="4">
        <v>1.7645840671636608E+18</v>
      </c>
      <c r="B29" s="4" t="s">
        <v>1094</v>
      </c>
      <c r="C29" s="4" t="s">
        <v>1095</v>
      </c>
      <c r="D29" s="4">
        <v>45355.770833333336</v>
      </c>
      <c r="E29" s="4">
        <v>14151</v>
      </c>
      <c r="F29" s="4">
        <v>139</v>
      </c>
      <c r="G29" s="4">
        <v>9.8226273761571614E-3</v>
      </c>
      <c r="H29" s="4">
        <v>2</v>
      </c>
      <c r="I29" s="4">
        <v>1</v>
      </c>
      <c r="J29" s="4">
        <v>0</v>
      </c>
      <c r="K29" s="4">
        <v>30</v>
      </c>
      <c r="L29" s="4">
        <v>10</v>
      </c>
      <c r="M29" s="4">
        <v>11</v>
      </c>
      <c r="N29" s="4">
        <v>49</v>
      </c>
      <c r="O29" s="4">
        <v>0</v>
      </c>
      <c r="P29" s="4">
        <v>0</v>
      </c>
      <c r="Q29" s="4">
        <v>0</v>
      </c>
      <c r="R29" s="4">
        <v>1</v>
      </c>
      <c r="S29" s="4">
        <v>0</v>
      </c>
      <c r="T29" s="4">
        <v>0</v>
      </c>
      <c r="U29" s="4">
        <v>2503</v>
      </c>
      <c r="V29" s="4">
        <v>35</v>
      </c>
      <c r="W29" s="4" t="s">
        <v>1096</v>
      </c>
      <c r="X29" s="4" t="s">
        <v>1097</v>
      </c>
      <c r="Y29" s="4" t="s">
        <v>1098</v>
      </c>
      <c r="Z29" s="4" t="s">
        <v>1099</v>
      </c>
      <c r="AA29" s="4" t="s">
        <v>1038</v>
      </c>
      <c r="AB29" s="4" t="s">
        <v>1100</v>
      </c>
      <c r="AC29" s="4" t="s">
        <v>1101</v>
      </c>
      <c r="AD29" s="4" t="s">
        <v>1100</v>
      </c>
      <c r="AE29" s="4" t="s">
        <v>1102</v>
      </c>
      <c r="AF29" s="4" t="s">
        <v>1103</v>
      </c>
      <c r="AG29" s="4" t="s">
        <v>1038</v>
      </c>
      <c r="AH29" s="4" t="s">
        <v>1043</v>
      </c>
      <c r="AI29" s="4" t="s">
        <v>1043</v>
      </c>
      <c r="AJ29" s="4" t="s">
        <v>1104</v>
      </c>
      <c r="AK29" s="4" t="s">
        <v>1043</v>
      </c>
      <c r="AL29" s="4" t="s">
        <v>1043</v>
      </c>
      <c r="AM29" s="4" t="s">
        <v>1105</v>
      </c>
      <c r="AN29" s="4" t="s">
        <v>1106</v>
      </c>
      <c r="AR29" s="51">
        <f t="shared" si="0"/>
        <v>45355</v>
      </c>
      <c r="AS29" s="18">
        <f>IFERROR(RANK(F29,F:F,0)+COUNTIF($F$1:F28,F29),"")</f>
        <v>3</v>
      </c>
    </row>
    <row r="30" spans="1:45">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R30" s="51" t="str">
        <f t="shared" si="0"/>
        <v/>
      </c>
      <c r="AS30" s="18" t="str">
        <f>IFERROR(RANK(F30,F:F,0)+COUNTIF($F$1:F29,F30),"")</f>
        <v/>
      </c>
    </row>
    <row r="31" spans="1:45">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R31" s="51" t="str">
        <f t="shared" si="0"/>
        <v/>
      </c>
      <c r="AS31" s="18" t="str">
        <f>IFERROR(RANK(F31,F:F,0)+COUNTIF($F$1:F30,F31),"")</f>
        <v/>
      </c>
    </row>
    <row r="32" spans="1:45">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R32" s="51" t="str">
        <f t="shared" si="0"/>
        <v/>
      </c>
      <c r="AS32" s="18" t="str">
        <f>IFERROR(RANK(F32,F:F,0)+COUNTIF($F$1:F31,F32),"")</f>
        <v/>
      </c>
    </row>
    <row r="33" spans="1:45">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R33" s="51" t="str">
        <f t="shared" si="0"/>
        <v/>
      </c>
      <c r="AS33" s="18" t="str">
        <f>IFERROR(RANK(F33,F:F,0)+COUNTIF($F$1:F32,F33),"")</f>
        <v/>
      </c>
    </row>
    <row r="34" spans="1:45">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R34" s="51" t="str">
        <f t="shared" si="0"/>
        <v/>
      </c>
      <c r="AS34" s="18" t="str">
        <f>IFERROR(RANK(F34,F:F,0)+COUNTIF($F$1:F33,F34),"")</f>
        <v/>
      </c>
    </row>
  </sheetData>
  <phoneticPr fontId="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EEF5C-8278-4BB2-81B0-BFECA9263068}">
  <sheetPr>
    <tabColor rgb="FFFFFF00"/>
  </sheetPr>
  <dimension ref="A1:H50"/>
  <sheetViews>
    <sheetView workbookViewId="0">
      <selection activeCell="E13" sqref="E13"/>
    </sheetView>
  </sheetViews>
  <sheetFormatPr defaultRowHeight="16.5"/>
  <cols>
    <col min="2" max="2" width="63.875" customWidth="1"/>
    <col min="3" max="3" width="13.625" customWidth="1"/>
    <col min="4" max="4" width="19.375" customWidth="1"/>
    <col min="5" max="5" width="51.375" customWidth="1"/>
    <col min="6" max="6" width="13.625" customWidth="1"/>
    <col min="8" max="8" width="11.125" bestFit="1" customWidth="1"/>
  </cols>
  <sheetData>
    <row r="1" spans="1:8">
      <c r="A1" s="326" t="s">
        <v>1109</v>
      </c>
      <c r="B1" s="327" t="s">
        <v>1110</v>
      </c>
      <c r="C1" s="327" t="s">
        <v>336</v>
      </c>
      <c r="D1" s="327" t="s">
        <v>1115</v>
      </c>
      <c r="E1" s="327" t="s">
        <v>1111</v>
      </c>
      <c r="F1" s="328" t="s">
        <v>1112</v>
      </c>
      <c r="H1" s="256" t="s">
        <v>144</v>
      </c>
    </row>
    <row r="2" spans="1:8">
      <c r="A2" s="8">
        <v>1</v>
      </c>
      <c r="B2" s="214" t="str">
        <f>IFERROR(LEFT(INDEX('X contents'!C:C,MATCH('X contents 추가정보'!A2,'X contents'!AS:AS,0)),200),"")</f>
        <v>The countdown to #GTC2024 has begun! 
At GTC 2024, @SKhynix, a leader in the HBM market, will showcase its expertise through a session conducted by SK hynix's expert Seoyeong Jeong on innovative HBM t</v>
      </c>
      <c r="C2" s="86" t="s">
        <v>606</v>
      </c>
      <c r="D2" s="86" t="s">
        <v>1119</v>
      </c>
      <c r="E2" s="86" t="s">
        <v>727</v>
      </c>
      <c r="F2" s="182" t="s">
        <v>610</v>
      </c>
      <c r="H2" s="51">
        <f>IFERROR(INDEX('X contents'!AR:AR,MATCH('X contents 추가정보'!A2,'X contents'!AS:AS,0)),"")</f>
        <v>45364</v>
      </c>
    </row>
    <row r="3" spans="1:8">
      <c r="A3" s="8">
        <v>2</v>
      </c>
      <c r="B3" s="214" t="str">
        <f>IFERROR(LEFT(INDEX('X contents'!C:C,MATCH('X contents 추가정보'!A3,'X contents'!AS:AS,0)),200),"")</f>
        <v>Pay close attention to @SKhynix’s booth #1029 at #GTC24, which will be a turning point in #AI.
Come experience the future of AI created by SK hynix.
#SKhynix #GTC24 https://t.co/dSanPPJ86N</v>
      </c>
      <c r="C3" s="86" t="s">
        <v>606</v>
      </c>
      <c r="D3" s="86" t="s">
        <v>1120</v>
      </c>
      <c r="E3" s="86" t="s">
        <v>726</v>
      </c>
      <c r="F3" s="182" t="s">
        <v>610</v>
      </c>
      <c r="H3" s="51">
        <f>IFERROR(INDEX('X contents'!AR:AR,MATCH('X contents 추가정보'!A3,'X contents'!AS:AS,0)),"")</f>
        <v>45369</v>
      </c>
    </row>
    <row r="4" spans="1:8">
      <c r="A4" s="8">
        <v>3</v>
      </c>
      <c r="B4" s="214" t="str">
        <f>IFERROR(LEFT(INDEX('X contents'!C:C,MATCH('X contents 추가정보'!A4,'X contents'!AS:AS,0)),200),"")</f>
        <v>New Standard in AI Memory? @SK hynix's HBM3E.
Memory, the Power of #AI
https://t.co/x8meAdvjOS
#SKhynix #HBM3E https://t.co/yN8KE61Mkh</v>
      </c>
      <c r="C4" s="86" t="s">
        <v>609</v>
      </c>
      <c r="D4" s="86" t="s">
        <v>1121</v>
      </c>
      <c r="E4" s="86" t="s">
        <v>1122</v>
      </c>
      <c r="F4" s="182" t="s">
        <v>607</v>
      </c>
      <c r="H4" s="51">
        <f>IFERROR(INDEX('X contents'!AR:AR,MATCH('X contents 추가정보'!A4,'X contents'!AS:AS,0)),"")</f>
        <v>45355</v>
      </c>
    </row>
    <row r="5" spans="1:8">
      <c r="A5" s="8">
        <v>4</v>
      </c>
      <c r="B5" s="214" t="str">
        <f>IFERROR(LEFT(INDEX('X contents'!C:C,MATCH('X contents 추가정보'!A5,'X contents'!AS:AS,0)),200),"")</f>
        <v>SK hynix's MCRDIMM breaks away from the traditional DDR5 concept by adding a customized module to individual #DRAM units to boost speed.
Meet MCRDIMM, the high-capacity server module, ready for the e</v>
      </c>
      <c r="C5" s="86" t="s">
        <v>606</v>
      </c>
      <c r="D5" s="86" t="s">
        <v>1123</v>
      </c>
      <c r="E5" s="86" t="s">
        <v>737</v>
      </c>
      <c r="F5" s="182" t="s">
        <v>607</v>
      </c>
      <c r="H5" s="51">
        <f>IFERROR(INDEX('X contents'!AR:AR,MATCH('X contents 추가정보'!A5,'X contents'!AS:AS,0)),"")</f>
        <v>45356</v>
      </c>
    </row>
    <row r="6" spans="1:8">
      <c r="A6" s="8">
        <v>5</v>
      </c>
      <c r="B6" s="214" t="str">
        <f>IFERROR(LEFT(INDEX('X contents'!C:C,MATCH('X contents 추가정보'!A6,'X contents'!AS:AS,0)),200),"")</f>
        <v>Don't say you SHOULD HAVE followed!
You CAN still follow @SKhynix NOW.👀
#SKhynix https://t.co/BFhzzE2bGf</v>
      </c>
      <c r="C6" s="86" t="s">
        <v>606</v>
      </c>
      <c r="D6" s="86" t="s">
        <v>1119</v>
      </c>
      <c r="E6" s="86" t="s">
        <v>1124</v>
      </c>
      <c r="F6" s="182" t="s">
        <v>611</v>
      </c>
      <c r="H6" s="51">
        <f>IFERROR(INDEX('X contents'!AR:AR,MATCH('X contents 추가정보'!A6,'X contents'!AS:AS,0)),"")</f>
        <v>45380</v>
      </c>
    </row>
    <row r="7" spans="1:8">
      <c r="A7" s="8">
        <v>6</v>
      </c>
      <c r="B7" s="214" t="str">
        <f>IFERROR(LEFT(INDEX('X contents'!C:C,MATCH('X contents 추가정보'!A7,'X contents'!AS:AS,0)),200),"")</f>
        <v>Just seven months after the announcement of HBM3E development, @SKhynix has become the world’s first to mass-produce the newest #AI memory product, HBM3E, with ultra-high performance, and will start p</v>
      </c>
      <c r="C7" s="86" t="s">
        <v>609</v>
      </c>
      <c r="D7" s="86" t="s">
        <v>1125</v>
      </c>
      <c r="E7" s="86" t="s">
        <v>731</v>
      </c>
      <c r="F7" s="182" t="s">
        <v>608</v>
      </c>
      <c r="H7" s="51">
        <f>IFERROR(INDEX('X contents'!AR:AR,MATCH('X contents 추가정보'!A7,'X contents'!AS:AS,0)),"")</f>
        <v>45370</v>
      </c>
    </row>
    <row r="8" spans="1:8">
      <c r="A8" s="8">
        <v>7</v>
      </c>
      <c r="B8" s="214" t="str">
        <f>IFERROR(LEFT(INDEX('X contents'!C:C,MATCH('X contents 추가정보'!A8,'X contents'!AS:AS,0)),200),"")</f>
        <v>Have you ever heard of #HBM3E?
Check out @SKhynix’s diverse portfolio filled with technologies that welcome you.
#SKhynix #GTC24 #HBM https://t.co/nTR10mdtzA</v>
      </c>
      <c r="C8" s="86" t="s">
        <v>609</v>
      </c>
      <c r="D8" s="86" t="s">
        <v>1126</v>
      </c>
      <c r="E8" s="86" t="s">
        <v>722</v>
      </c>
      <c r="F8" s="182" t="s">
        <v>607</v>
      </c>
      <c r="H8" s="51">
        <f>IFERROR(INDEX('X contents'!AR:AR,MATCH('X contents 추가정보'!A8,'X contents'!AS:AS,0)),"")</f>
        <v>45366</v>
      </c>
    </row>
    <row r="9" spans="1:8">
      <c r="A9" s="8">
        <v>8</v>
      </c>
      <c r="B9" s="214" t="str">
        <f>IFERROR(LEFT(INDEX('X contents'!C:C,MATCH('X contents 추가정보'!A9,'X contents'!AS:AS,0)),200),"")</f>
        <v>Ready to witness the revolution of #AI era with memory packaging technology?🌟
@SKhynix's cutting-edge #HBM3E shines at the center of the technological competition.
Curious about how we've dominated t</v>
      </c>
      <c r="C9" s="86" t="s">
        <v>606</v>
      </c>
      <c r="D9" s="86" t="s">
        <v>1126</v>
      </c>
      <c r="E9" s="86" t="s">
        <v>717</v>
      </c>
      <c r="F9" s="182" t="s">
        <v>607</v>
      </c>
      <c r="H9" s="51">
        <f>IFERROR(INDEX('X contents'!AR:AR,MATCH('X contents 추가정보'!A9,'X contents'!AS:AS,0)),"")</f>
        <v>45376</v>
      </c>
    </row>
    <row r="10" spans="1:8">
      <c r="A10" s="8">
        <v>9</v>
      </c>
      <c r="B10" s="214" t="str">
        <f>IFERROR(LEFT(INDEX('X contents'!C:C,MATCH('X contents 추가정보'!A10,'X contents'!AS:AS,0)),200),"")</f>
        <v>Curious about DRAM in the era of #AI?
GDDR7 is by your side anytime, anywhere, with improved performance than before.
#SKhynix #GTC24 #DRAM https://t.co/99jq1txBMc</v>
      </c>
      <c r="C10" s="86" t="s">
        <v>609</v>
      </c>
      <c r="D10" s="86" t="s">
        <v>1126</v>
      </c>
      <c r="E10" s="86" t="s">
        <v>721</v>
      </c>
      <c r="F10" s="182" t="s">
        <v>607</v>
      </c>
      <c r="H10" s="51">
        <f>IFERROR(INDEX('X contents'!AR:AR,MATCH('X contents 추가정보'!A10,'X contents'!AS:AS,0)),"")</f>
        <v>45364</v>
      </c>
    </row>
    <row r="11" spans="1:8">
      <c r="A11" s="8">
        <v>10</v>
      </c>
      <c r="B11" s="214" t="str">
        <f>IFERROR(LEFT(INDEX('X contents'!C:C,MATCH('X contents 추가정보'!A11,'X contents'!AS:AS,0)),200),"")</f>
        <v>What are you most looking forward to at #GTC24 this year? Cast your vote now and let us know the most exciting item for you!
#SKhynix #GTC #GTC24 #AI
Q. What are you most looking forward to at GTC th</v>
      </c>
      <c r="C11" s="86" t="s">
        <v>744</v>
      </c>
      <c r="D11" s="86" t="s">
        <v>744</v>
      </c>
      <c r="E11" s="86" t="s">
        <v>743</v>
      </c>
      <c r="F11" s="182" t="s">
        <v>610</v>
      </c>
      <c r="H11" s="51">
        <f>IFERROR(INDEX('X contents'!AR:AR,MATCH('X contents 추가정보'!A11,'X contents'!AS:AS,0)),"")</f>
        <v>45369</v>
      </c>
    </row>
    <row r="12" spans="1:8">
      <c r="A12" s="8">
        <v>11</v>
      </c>
      <c r="B12" s="214" t="str">
        <f>IFERROR(LEFT(INDEX('X contents'!C:C,MATCH('X contents 추가정보'!A12,'X contents'!AS:AS,0)),200),"")</f>
        <v>Just successfully showcased our cutting-edge #AI memory tech at #GTC2024! From the 12-layer #HBM3E to #CXL and the future of graphics with #GDDR7, we're pushing AI boundaries.
To infinity, and beyond</v>
      </c>
      <c r="C12" s="86" t="s">
        <v>609</v>
      </c>
      <c r="D12" s="86" t="s">
        <v>1125</v>
      </c>
      <c r="E12" s="86" t="s">
        <v>730</v>
      </c>
      <c r="F12" s="182" t="s">
        <v>610</v>
      </c>
      <c r="H12" s="51">
        <f>IFERROR(INDEX('X contents'!AR:AR,MATCH('X contents 추가정보'!A12,'X contents'!AS:AS,0)),"")</f>
        <v>45372</v>
      </c>
    </row>
    <row r="13" spans="1:8">
      <c r="A13" s="8">
        <v>12</v>
      </c>
      <c r="B13" s="214" t="str">
        <f>IFERROR(LEFT(INDEX('X contents'!C:C,MATCH('X contents 추가정보'!A13,'X contents'!AS:AS,0)),200),"")</f>
        <v>Explore @SKhynix’s diverse automotive product lineup at #GTC24 and envision the new future of automobiles in the era of AI!
#SKhynix #GTC24 #Automotive https://t.co/l3BgObVrp4</v>
      </c>
      <c r="C13" s="86" t="s">
        <v>609</v>
      </c>
      <c r="D13" s="86" t="s">
        <v>1121</v>
      </c>
      <c r="E13" s="86" t="s">
        <v>741</v>
      </c>
      <c r="F13" s="182" t="s">
        <v>607</v>
      </c>
      <c r="H13" s="51">
        <f>IFERROR(INDEX('X contents'!AR:AR,MATCH('X contents 추가정보'!A13,'X contents'!AS:AS,0)),"")</f>
        <v>45362</v>
      </c>
    </row>
    <row r="14" spans="1:8">
      <c r="A14" s="8">
        <v>13</v>
      </c>
      <c r="B14" s="214" t="str">
        <f>IFERROR(LEFT(INDEX('X contents'!C:C,MATCH('X contents 추가정보'!A14,'X contents'!AS:AS,0)),200),"")</f>
        <v>AI just leveled up at #GTC2024!
@SKhynix wows again with groundbreaking #AI tech.
Curious about their latest innovations? Dive in now!
#SKhynix #GTC24 #NVIDIA https://t.co/5MYzDhwMp8</v>
      </c>
      <c r="C14" s="86" t="s">
        <v>606</v>
      </c>
      <c r="D14" s="86" t="s">
        <v>1126</v>
      </c>
      <c r="E14" s="86" t="s">
        <v>720</v>
      </c>
      <c r="F14" s="182" t="s">
        <v>607</v>
      </c>
      <c r="H14" s="51">
        <f>IFERROR(INDEX('X contents'!AR:AR,MATCH('X contents 추가정보'!A14,'X contents'!AS:AS,0)),"")</f>
        <v>45377</v>
      </c>
    </row>
    <row r="15" spans="1:8">
      <c r="A15" s="8">
        <v>14</v>
      </c>
      <c r="B15" s="214" t="str">
        <f>IFERROR(LEFT(INDEX('X contents'!C:C,MATCH('X contents 추가정보'!A15,'X contents'!AS:AS,0)),200),"")</f>
        <v>#GTC2024 is underway! 🌟
World-class AI experts and @SKhynix's tech geniuses are waiting for you.
Drop by our booth #1029 and dive into the incredible world of memory that will change the future of #AI</v>
      </c>
      <c r="C15" s="86" t="s">
        <v>606</v>
      </c>
      <c r="D15" s="86" t="s">
        <v>1127</v>
      </c>
      <c r="E15" s="86" t="s">
        <v>716</v>
      </c>
      <c r="F15" s="182" t="s">
        <v>610</v>
      </c>
      <c r="H15" s="51">
        <f>IFERROR(INDEX('X contents'!AR:AR,MATCH('X contents 추가정보'!A15,'X contents'!AS:AS,0)),"")</f>
        <v>45370</v>
      </c>
    </row>
    <row r="16" spans="1:8">
      <c r="A16" s="8">
        <v>15</v>
      </c>
      <c r="B16" s="214" t="str">
        <f>IFERROR(LEFT(INDEX('X contents'!C:C,MATCH('X contents 추가정보'!A16,'X contents'!AS:AS,0)),200),"")</f>
        <v>Get ready for GTC, the biggest AI conference, to start soon! Don't miss out on booth #1029 at GTC 2024 from March 18-21. SK hynix, a leader in #AI memory, will reveal mind-blowing tech at #GTC2024. Ex</v>
      </c>
      <c r="C16" s="86" t="s">
        <v>606</v>
      </c>
      <c r="D16" s="86" t="s">
        <v>1123</v>
      </c>
      <c r="E16" s="86" t="s">
        <v>733</v>
      </c>
      <c r="F16" s="182" t="s">
        <v>610</v>
      </c>
      <c r="H16" s="51">
        <f>IFERROR(INDEX('X contents'!AR:AR,MATCH('X contents 추가정보'!A16,'X contents'!AS:AS,0)),"")</f>
        <v>45359</v>
      </c>
    </row>
    <row r="17" spans="1:8">
      <c r="A17" s="8">
        <v>16</v>
      </c>
      <c r="B17" s="214" t="str">
        <f>IFERROR(LEFT(INDEX('X contents'!C:C,MATCH('X contents 추가정보'!A17,'X contents'!AS:AS,0)),200),"")</f>
        <v>Get ready for @SKhynix’s automotive product lineup that leads the future of auto experiences!
Check out @SKhynix’s diverse portfolio filled with technologies.🚗
#SKhynix #GTC24 #Automotive https://t.</v>
      </c>
      <c r="C17" s="86" t="s">
        <v>609</v>
      </c>
      <c r="D17" s="86" t="s">
        <v>1128</v>
      </c>
      <c r="E17" s="86" t="s">
        <v>724</v>
      </c>
      <c r="F17" s="182" t="s">
        <v>607</v>
      </c>
      <c r="H17" s="51">
        <f>IFERROR(INDEX('X contents'!AR:AR,MATCH('X contents 추가정보'!A17,'X contents'!AS:AS,0)),"")</f>
        <v>45362</v>
      </c>
    </row>
    <row r="18" spans="1:8">
      <c r="A18" s="8">
        <v>17</v>
      </c>
      <c r="B18" s="214" t="str">
        <f>IFERROR(LEFT(INDEX('X contents'!C:C,MATCH('X contents 추가정보'!A18,'X contents'!AS:AS,0)),200),"")</f>
        <v>#GTC2024 spotlights on #AI memory market leader @SKhynix, focusing on the future of HBM! Listen to the hot insights from HBM expert Seoyeong Jeong.
Find out now how the future of HBM memory unfolds a</v>
      </c>
      <c r="C18" s="86" t="s">
        <v>606</v>
      </c>
      <c r="D18" s="86" t="s">
        <v>1120</v>
      </c>
      <c r="E18" s="86" t="s">
        <v>723</v>
      </c>
      <c r="F18" s="182" t="s">
        <v>610</v>
      </c>
      <c r="H18" s="51">
        <f>IFERROR(INDEX('X contents'!AR:AR,MATCH('X contents 추가정보'!A18,'X contents'!AS:AS,0)),"")</f>
        <v>45371</v>
      </c>
    </row>
    <row r="19" spans="1:8">
      <c r="A19" s="8">
        <v>18</v>
      </c>
      <c r="B19" s="214" t="str">
        <f>IFERROR(LEFT(INDEX('X contents'!C:C,MATCH('X contents 추가정보'!A19,'X contents'!AS:AS,0)),200),"")</f>
        <v>@SKhynix unveiled '#PCB01', a PCIe 5th generation SSD, at #GTC2024, reinforcing its lead as the top AI memory provider for on-device AI PCs.
For more details, check out the news below!
https://t.co/p</v>
      </c>
      <c r="C19" s="86" t="s">
        <v>609</v>
      </c>
      <c r="D19" s="86" t="s">
        <v>1125</v>
      </c>
      <c r="E19" s="86" t="s">
        <v>729</v>
      </c>
      <c r="F19" s="182" t="s">
        <v>608</v>
      </c>
      <c r="H19" s="51">
        <f>IFERROR(INDEX('X contents'!AR:AR,MATCH('X contents 추가정보'!A19,'X contents'!AS:AS,0)),"")</f>
        <v>45371</v>
      </c>
    </row>
    <row r="20" spans="1:8">
      <c r="A20" s="8">
        <v>19</v>
      </c>
      <c r="B20" s="214" t="str">
        <f>IFERROR(LEFT(INDEX('X contents'!C:C,MATCH('X contents 추가정보'!A20,'X contents'!AS:AS,0)),200),"")</f>
        <v>At this year’s @NVIDIA #GTC24, the booth will be number #1029.
We look forward to meeting you!
#SKhynix #GTC24 #HBM3E https://t.co/PJEogSPzfx</v>
      </c>
      <c r="C20" s="86" t="s">
        <v>606</v>
      </c>
      <c r="D20" s="86" t="s">
        <v>1123</v>
      </c>
      <c r="E20" s="86" t="s">
        <v>733</v>
      </c>
      <c r="F20" s="182" t="s">
        <v>610</v>
      </c>
      <c r="H20" s="51">
        <f>IFERROR(INDEX('X contents'!AR:AR,MATCH('X contents 추가정보'!A20,'X contents'!AS:AS,0)),"")</f>
        <v>45365</v>
      </c>
    </row>
    <row r="21" spans="1:8">
      <c r="A21" s="8">
        <v>20</v>
      </c>
      <c r="B21" s="214" t="str">
        <f>IFERROR(LEFT(INDEX('X contents'!C:C,MATCH('X contents 추가정보'!A21,'X contents'!AS:AS,0)),200),"")</f>
        <v>Celebrate World Water Day and take a moment to reflect on the importance of water.💧
And explore @SKhynix's sustainable water usage for better water management!
#SKhynix #WorldWaterDay #ESG #Water ht</v>
      </c>
      <c r="C21" s="86" t="s">
        <v>606</v>
      </c>
      <c r="D21" s="86" t="s">
        <v>1123</v>
      </c>
      <c r="E21" s="86" t="s">
        <v>735</v>
      </c>
      <c r="F21" s="182" t="s">
        <v>613</v>
      </c>
      <c r="H21" s="51">
        <f>IFERROR(INDEX('X contents'!AR:AR,MATCH('X contents 추가정보'!A21,'X contents'!AS:AS,0)),"")</f>
        <v>45373</v>
      </c>
    </row>
    <row r="22" spans="1:8">
      <c r="A22" s="8">
        <v>21</v>
      </c>
      <c r="B22" s="214" t="str">
        <f>IFERROR(LEFT(INDEX('X contents'!C:C,MATCH('X contents 추가정보'!A22,'X contents'!AS:AS,0)),200),"")</f>
        <v>Introducing @SKhynix 3D booth graphics that will present innovative memory technology to everyone at #GTC24!
#SKhynix #NVIDIA #GTC2024 https://t.co/Osfav8Gp4Z</v>
      </c>
      <c r="C22" s="86" t="s">
        <v>609</v>
      </c>
      <c r="D22" s="86" t="s">
        <v>1123</v>
      </c>
      <c r="E22" s="86" t="s">
        <v>1129</v>
      </c>
      <c r="F22" s="182" t="s">
        <v>1130</v>
      </c>
      <c r="H22" s="51">
        <f>IFERROR(INDEX('X contents'!AR:AR,MATCH('X contents 추가정보'!A22,'X contents'!AS:AS,0)),"")</f>
        <v>45365</v>
      </c>
    </row>
    <row r="23" spans="1:8">
      <c r="A23" s="8">
        <v>22</v>
      </c>
      <c r="B23" s="214" t="str">
        <f>IFERROR(LEFT(INDEX('X contents'!C:C,MATCH('X contents 추가정보'!A23,'X contents'!AS:AS,0)),200),"")</f>
        <v xml:space="preserve">SK hynix commemorates International Women's Day by introducing 'Grace Murray Hopper'.
She entered programming at a late age but was more talented than anyone else and was instrumental in creating the </v>
      </c>
      <c r="C23" s="86" t="s">
        <v>606</v>
      </c>
      <c r="D23" s="86" t="s">
        <v>1126</v>
      </c>
      <c r="E23" s="86" t="s">
        <v>718</v>
      </c>
      <c r="F23" s="182" t="s">
        <v>613</v>
      </c>
      <c r="H23" s="51">
        <f>IFERROR(INDEX('X contents'!AR:AR,MATCH('X contents 추가정보'!A23,'X contents'!AS:AS,0)),"")</f>
        <v>45358</v>
      </c>
    </row>
    <row r="24" spans="1:8">
      <c r="A24" s="8">
        <v>23</v>
      </c>
      <c r="B24" s="214" t="str">
        <f>IFERROR(LEFT(INDEX('X contents'!C:C,MATCH('X contents 추가정보'!A24,'X contents'!AS:AS,0)),200),"")</f>
        <v>You need someone to safeguard your valuable data even in unforeseen circumstances!
@SKhynix stands with you as your shield, protecting your data.🛡️
#SKhynix #data #backup #PC https://t.co/E3XPrKMfCM</v>
      </c>
      <c r="C24" s="86" t="s">
        <v>606</v>
      </c>
      <c r="D24" s="86" t="s">
        <v>1121</v>
      </c>
      <c r="E24" s="86" t="s">
        <v>742</v>
      </c>
      <c r="F24" s="182" t="s">
        <v>613</v>
      </c>
      <c r="H24" s="51">
        <f>IFERROR(INDEX('X contents'!AR:AR,MATCH('X contents 추가정보'!A24,'X contents'!AS:AS,0)),"")</f>
        <v>45381</v>
      </c>
    </row>
    <row r="25" spans="1:8">
      <c r="A25" s="8">
        <v>24</v>
      </c>
      <c r="B25" s="214" t="str">
        <f>IFERROR(LEFT(INDEX('X contents'!C:C,MATCH('X contents 추가정보'!A25,'X contents'!AS:AS,0)),200),"")</f>
        <v>@SKhynix solidifies its position as a forefront leader in the #HBM industry with HBM3E.
Explore #HBM3E by 'Total AI Memory Provider,’ @SKhynix!
#SKhynix #AI https://t.co/8L8I71Enp2</v>
      </c>
      <c r="C25" s="86" t="s">
        <v>606</v>
      </c>
      <c r="D25" s="86" t="s">
        <v>1120</v>
      </c>
      <c r="E25" s="86" t="s">
        <v>725</v>
      </c>
      <c r="F25" s="182" t="s">
        <v>607</v>
      </c>
      <c r="H25" s="51">
        <f>IFERROR(INDEX('X contents'!AR:AR,MATCH('X contents 추가정보'!A25,'X contents'!AS:AS,0)),"")</f>
        <v>45378</v>
      </c>
    </row>
    <row r="26" spans="1:8">
      <c r="A26" s="8">
        <v>25</v>
      </c>
      <c r="B26" s="214" t="str">
        <f>IFERROR(LEFT(INDEX('X contents'!C:C,MATCH('X contents 추가정보'!A26,'X contents'!AS:AS,0)),200),"")</f>
        <v xml:space="preserve">@SKhynix is proud to introduce our new #VicePresident Unoh Kwon, who will complete the technology roadmap of HBM.
Check out his vision for next-generation #HBM technology development and his strategy </v>
      </c>
      <c r="C26" s="86" t="s">
        <v>606</v>
      </c>
      <c r="D26" s="86" t="s">
        <v>1125</v>
      </c>
      <c r="E26" s="86" t="s">
        <v>728</v>
      </c>
      <c r="F26" s="182" t="s">
        <v>611</v>
      </c>
      <c r="H26" s="51">
        <f>IFERROR(INDEX('X contents'!AR:AR,MATCH('X contents 추가정보'!A26,'X contents'!AS:AS,0)),"")</f>
        <v>45379</v>
      </c>
    </row>
    <row r="27" spans="1:8">
      <c r="A27" s="8">
        <v>26</v>
      </c>
      <c r="B27" s="214" t="str">
        <f>IFERROR(LEFT(INDEX('X contents'!C:C,MATCH('X contents 추가정보'!A27,'X contents'!AS:AS,0)),200),"")</f>
        <v>In a special interview to mark IWD 2024 on March 8, @SKhynix asked six women from striving for the highest standards to spreading positive energy, discover the beliefs that have taken the interviewees</v>
      </c>
      <c r="C27" s="86" t="s">
        <v>609</v>
      </c>
      <c r="D27" s="86" t="s">
        <v>1125</v>
      </c>
      <c r="E27" s="86" t="s">
        <v>736</v>
      </c>
      <c r="F27" s="182" t="s">
        <v>613</v>
      </c>
      <c r="H27" s="51">
        <f>IFERROR(INDEX('X contents'!AR:AR,MATCH('X contents 추가정보'!A27,'X contents'!AS:AS,0)),"")</f>
        <v>45359</v>
      </c>
    </row>
    <row r="28" spans="1:8">
      <c r="A28" s="8">
        <v>27</v>
      </c>
      <c r="B28" s="214" t="str">
        <f>IFERROR(LEFT(INDEX('X contents'!C:C,MATCH('X contents 추가정보'!A28,'X contents'!AS:AS,0)),200),"")</f>
        <v>Discover the latest advancements in #CXL 3.1, which offers significant improvements in memory performance and server architecture.
For in-depth insights, hear from Thomas Won Ha Choi, a leading expert</v>
      </c>
      <c r="C28" s="86" t="s">
        <v>609</v>
      </c>
      <c r="D28" s="86" t="s">
        <v>1131</v>
      </c>
      <c r="E28" s="86" t="s">
        <v>734</v>
      </c>
      <c r="F28" s="182" t="s">
        <v>607</v>
      </c>
      <c r="H28" s="51">
        <f>IFERROR(INDEX('X contents'!AR:AR,MATCH('X contents 추가정보'!A28,'X contents'!AS:AS,0)),"")</f>
        <v>45380</v>
      </c>
    </row>
    <row r="29" spans="1:8">
      <c r="A29" s="8">
        <v>28</v>
      </c>
      <c r="B29" s="214" t="str">
        <f>IFERROR(LEFT(INDEX('X contents'!C:C,MATCH('X contents 추가정보'!A29,'X contents'!AS:AS,0)),200),"")</f>
        <v>Meet @SKhynix's Head of Material Development Deokshin Kil, a leading expert in #material innovation.
Ready to discover his journey? Learn about his leadership in domesticating EUV PR at @SKhynix in 2</v>
      </c>
      <c r="C29" s="86" t="s">
        <v>609</v>
      </c>
      <c r="D29" s="86" t="s">
        <v>1125</v>
      </c>
      <c r="E29" s="86" t="s">
        <v>732</v>
      </c>
      <c r="F29" s="182" t="s">
        <v>611</v>
      </c>
      <c r="H29" s="51">
        <f>IFERROR(INDEX('X contents'!AR:AR,MATCH('X contents 추가정보'!A29,'X contents'!AS:AS,0)),"")</f>
        <v>45364</v>
      </c>
    </row>
    <row r="30" spans="1:8">
      <c r="A30" s="8">
        <v>29</v>
      </c>
      <c r="B30" s="214" t="str">
        <f>IFERROR(LEFT(INDEX('X contents'!C:C,MATCH('X contents 추가정보'!A30,'X contents'!AS:AS,0)),200),"")</f>
        <v/>
      </c>
      <c r="C30" s="86"/>
      <c r="D30" s="86"/>
      <c r="E30" s="86"/>
      <c r="F30" s="182"/>
      <c r="H30" s="51" t="str">
        <f>IFERROR(INDEX('X contents'!AR:AR,MATCH('X contents 추가정보'!A30,'X contents'!AS:AS,0)),"")</f>
        <v/>
      </c>
    </row>
    <row r="31" spans="1:8">
      <c r="A31" s="8">
        <v>30</v>
      </c>
      <c r="B31" s="214" t="str">
        <f>IFERROR(LEFT(INDEX('X contents'!C:C,MATCH('X contents 추가정보'!A31,'X contents'!AS:AS,0)),200),"")</f>
        <v/>
      </c>
      <c r="C31" s="86"/>
      <c r="D31" s="86"/>
      <c r="E31" s="86"/>
      <c r="F31" s="182"/>
      <c r="H31" s="51" t="str">
        <f>IFERROR(INDEX('X contents'!AR:AR,MATCH('X contents 추가정보'!A31,'X contents'!AS:AS,0)),"")</f>
        <v/>
      </c>
    </row>
    <row r="32" spans="1:8">
      <c r="A32" s="8">
        <v>31</v>
      </c>
      <c r="B32" s="214" t="str">
        <f>IFERROR(LEFT(INDEX('X contents'!C:C,MATCH('X contents 추가정보'!A32,'X contents'!AS:AS,0)),200),"")</f>
        <v/>
      </c>
      <c r="C32" s="86"/>
      <c r="D32" s="86"/>
      <c r="E32" s="86"/>
      <c r="F32" s="182"/>
      <c r="H32" s="51" t="str">
        <f>IFERROR(INDEX('X contents'!AR:AR,MATCH('X contents 추가정보'!A32,'X contents'!AS:AS,0)),"")</f>
        <v/>
      </c>
    </row>
    <row r="33" spans="1:8">
      <c r="A33" s="8">
        <v>32</v>
      </c>
      <c r="B33" s="214" t="str">
        <f>IFERROR(LEFT(INDEX('X contents'!C:C,MATCH('X contents 추가정보'!A33,'X contents'!AS:AS,0)),200),"")</f>
        <v/>
      </c>
      <c r="C33" s="86"/>
      <c r="D33" s="86"/>
      <c r="E33" s="86"/>
      <c r="F33" s="182"/>
      <c r="H33" s="51" t="str">
        <f>IFERROR(INDEX('X contents'!AR:AR,MATCH('X contents 추가정보'!A33,'X contents'!AS:AS,0)),"")</f>
        <v/>
      </c>
    </row>
    <row r="34" spans="1:8">
      <c r="A34" s="8">
        <v>33</v>
      </c>
      <c r="B34" s="214" t="str">
        <f>IFERROR(LEFT(INDEX('X contents'!C:C,MATCH('X contents 추가정보'!A34,'X contents'!AS:AS,0)),200),"")</f>
        <v/>
      </c>
      <c r="C34" s="86"/>
      <c r="D34" s="86"/>
      <c r="E34" s="86"/>
      <c r="F34" s="182"/>
      <c r="H34" s="51" t="str">
        <f>IFERROR(INDEX('X contents'!AR:AR,MATCH('X contents 추가정보'!A34,'X contents'!AS:AS,0)),"")</f>
        <v/>
      </c>
    </row>
    <row r="35" spans="1:8">
      <c r="A35" s="8">
        <v>34</v>
      </c>
      <c r="B35" s="214" t="str">
        <f>IFERROR(LEFT(INDEX('X contents'!C:C,MATCH('X contents 추가정보'!A35,'X contents'!AS:AS,0)),200),"")</f>
        <v/>
      </c>
      <c r="C35" s="86"/>
      <c r="D35" s="86"/>
      <c r="E35" s="86"/>
      <c r="F35" s="182"/>
      <c r="H35" s="51" t="str">
        <f>IFERROR(INDEX('X contents'!AR:AR,MATCH('X contents 추가정보'!A35,'X contents'!AS:AS,0)),"")</f>
        <v/>
      </c>
    </row>
    <row r="36" spans="1:8">
      <c r="A36" s="8">
        <v>35</v>
      </c>
      <c r="B36" s="214" t="str">
        <f>IFERROR(LEFT(INDEX('X contents'!C:C,MATCH('X contents 추가정보'!A36,'X contents'!AS:AS,0)),200),"")</f>
        <v/>
      </c>
      <c r="C36" s="86"/>
      <c r="D36" s="86"/>
      <c r="E36" s="86"/>
      <c r="F36" s="182"/>
      <c r="H36" s="51" t="str">
        <f>IFERROR(INDEX('X contents'!AR:AR,MATCH('X contents 추가정보'!A36,'X contents'!AS:AS,0)),"")</f>
        <v/>
      </c>
    </row>
    <row r="37" spans="1:8">
      <c r="A37" s="8">
        <v>36</v>
      </c>
      <c r="B37" s="214" t="str">
        <f>IFERROR(LEFT(INDEX('X contents'!C:C,MATCH('X contents 추가정보'!A37,'X contents'!AS:AS,0)),200),"")</f>
        <v/>
      </c>
      <c r="C37" s="86"/>
      <c r="D37" s="86"/>
      <c r="E37" s="86"/>
      <c r="F37" s="182"/>
      <c r="H37" s="51" t="str">
        <f>IFERROR(INDEX('X contents'!AR:AR,MATCH('X contents 추가정보'!A37,'X contents'!AS:AS,0)),"")</f>
        <v/>
      </c>
    </row>
    <row r="38" spans="1:8">
      <c r="A38" s="8">
        <v>37</v>
      </c>
      <c r="B38" s="214" t="str">
        <f>IFERROR(LEFT(INDEX('X contents'!C:C,MATCH('X contents 추가정보'!A38,'X contents'!AS:AS,0)),200),"")</f>
        <v/>
      </c>
      <c r="C38" s="86"/>
      <c r="D38" s="86"/>
      <c r="E38" s="86"/>
      <c r="F38" s="182"/>
      <c r="H38" s="51" t="str">
        <f>IFERROR(INDEX('X contents'!AR:AR,MATCH('X contents 추가정보'!A38,'X contents'!AS:AS,0)),"")</f>
        <v/>
      </c>
    </row>
    <row r="39" spans="1:8">
      <c r="A39" s="8">
        <v>38</v>
      </c>
      <c r="B39" s="214" t="str">
        <f>IFERROR(LEFT(INDEX('X contents'!C:C,MATCH('X contents 추가정보'!A39,'X contents'!AS:AS,0)),200),"")</f>
        <v/>
      </c>
      <c r="C39" s="86"/>
      <c r="D39" s="86"/>
      <c r="E39" s="86"/>
      <c r="F39" s="182"/>
      <c r="H39" s="51" t="str">
        <f>IFERROR(INDEX('X contents'!AR:AR,MATCH('X contents 추가정보'!A39,'X contents'!AS:AS,0)),"")</f>
        <v/>
      </c>
    </row>
    <row r="40" spans="1:8">
      <c r="A40" s="8">
        <v>39</v>
      </c>
      <c r="B40" s="214" t="str">
        <f>IFERROR(LEFT(INDEX('X contents'!C:C,MATCH('X contents 추가정보'!A40,'X contents'!AS:AS,0)),200),"")</f>
        <v/>
      </c>
      <c r="C40" s="86"/>
      <c r="D40" s="86"/>
      <c r="E40" s="86"/>
      <c r="F40" s="182"/>
      <c r="H40" s="51" t="str">
        <f>IFERROR(INDEX('X contents'!AR:AR,MATCH('X contents 추가정보'!A40,'X contents'!AS:AS,0)),"")</f>
        <v/>
      </c>
    </row>
    <row r="41" spans="1:8">
      <c r="A41" s="8">
        <v>40</v>
      </c>
      <c r="B41" s="214" t="str">
        <f>IFERROR(LEFT(INDEX('X contents'!C:C,MATCH('X contents 추가정보'!A41,'X contents'!AS:AS,0)),200),"")</f>
        <v/>
      </c>
      <c r="C41" s="86"/>
      <c r="D41" s="86"/>
      <c r="E41" s="86"/>
      <c r="F41" s="182"/>
      <c r="H41" s="51" t="str">
        <f>IFERROR(INDEX('X contents'!AR:AR,MATCH('X contents 추가정보'!A41,'X contents'!AS:AS,0)),"")</f>
        <v/>
      </c>
    </row>
    <row r="42" spans="1:8">
      <c r="A42" s="8">
        <v>41</v>
      </c>
      <c r="B42" s="214" t="str">
        <f>IFERROR(LEFT(INDEX('X contents'!C:C,MATCH('X contents 추가정보'!A42,'X contents'!AS:AS,0)),200),"")</f>
        <v/>
      </c>
      <c r="C42" s="86"/>
      <c r="D42" s="86"/>
      <c r="E42" s="86"/>
      <c r="F42" s="182"/>
      <c r="H42" s="51" t="str">
        <f>IFERROR(INDEX('X contents'!AR:AR,MATCH('X contents 추가정보'!A42,'X contents'!AS:AS,0)),"")</f>
        <v/>
      </c>
    </row>
    <row r="43" spans="1:8">
      <c r="A43" s="8">
        <v>42</v>
      </c>
      <c r="B43" s="214" t="str">
        <f>IFERROR(LEFT(INDEX('X contents'!C:C,MATCH('X contents 추가정보'!A43,'X contents'!AS:AS,0)),200),"")</f>
        <v/>
      </c>
      <c r="C43" s="86"/>
      <c r="D43" s="86"/>
      <c r="E43" s="86"/>
      <c r="F43" s="182"/>
      <c r="H43" s="51" t="str">
        <f>IFERROR(INDEX('X contents'!AR:AR,MATCH('X contents 추가정보'!A43,'X contents'!AS:AS,0)),"")</f>
        <v/>
      </c>
    </row>
    <row r="44" spans="1:8">
      <c r="A44" s="8">
        <v>43</v>
      </c>
      <c r="B44" s="214" t="str">
        <f>IFERROR(LEFT(INDEX('X contents'!C:C,MATCH('X contents 추가정보'!A44,'X contents'!AS:AS,0)),200),"")</f>
        <v/>
      </c>
      <c r="C44" s="86"/>
      <c r="D44" s="86"/>
      <c r="E44" s="86"/>
      <c r="F44" s="182"/>
      <c r="H44" s="51" t="str">
        <f>IFERROR(INDEX('X contents'!AR:AR,MATCH('X contents 추가정보'!A44,'X contents'!AS:AS,0)),"")</f>
        <v/>
      </c>
    </row>
    <row r="45" spans="1:8">
      <c r="A45" s="8">
        <v>44</v>
      </c>
      <c r="B45" s="214" t="str">
        <f>IFERROR(LEFT(INDEX('X contents'!C:C,MATCH('X contents 추가정보'!A45,'X contents'!AS:AS,0)),200),"")</f>
        <v/>
      </c>
      <c r="C45" s="86"/>
      <c r="D45" s="86"/>
      <c r="E45" s="86"/>
      <c r="F45" s="182"/>
      <c r="H45" s="51" t="str">
        <f>IFERROR(INDEX('X contents'!AR:AR,MATCH('X contents 추가정보'!A45,'X contents'!AS:AS,0)),"")</f>
        <v/>
      </c>
    </row>
    <row r="46" spans="1:8">
      <c r="A46" s="8">
        <v>45</v>
      </c>
      <c r="B46" s="214" t="str">
        <f>IFERROR(LEFT(INDEX('X contents'!C:C,MATCH('X contents 추가정보'!A46,'X contents'!AS:AS,0)),200),"")</f>
        <v/>
      </c>
      <c r="C46" s="86"/>
      <c r="D46" s="86"/>
      <c r="E46" s="86"/>
      <c r="F46" s="182"/>
      <c r="H46" s="51" t="str">
        <f>IFERROR(INDEX('X contents'!AR:AR,MATCH('X contents 추가정보'!A46,'X contents'!AS:AS,0)),"")</f>
        <v/>
      </c>
    </row>
    <row r="47" spans="1:8">
      <c r="A47" s="8">
        <v>46</v>
      </c>
      <c r="B47" s="214" t="str">
        <f>IFERROR(LEFT(INDEX('X contents'!C:C,MATCH('X contents 추가정보'!A47,'X contents'!AS:AS,0)),200),"")</f>
        <v/>
      </c>
      <c r="C47" s="86"/>
      <c r="D47" s="86"/>
      <c r="E47" s="86"/>
      <c r="F47" s="182"/>
      <c r="H47" s="51" t="str">
        <f>IFERROR(INDEX('X contents'!AR:AR,MATCH('X contents 추가정보'!A47,'X contents'!AS:AS,0)),"")</f>
        <v/>
      </c>
    </row>
    <row r="48" spans="1:8">
      <c r="A48" s="8">
        <v>47</v>
      </c>
      <c r="B48" s="214" t="str">
        <f>IFERROR(LEFT(INDEX('X contents'!C:C,MATCH('X contents 추가정보'!A48,'X contents'!AS:AS,0)),200),"")</f>
        <v/>
      </c>
      <c r="C48" s="86"/>
      <c r="D48" s="86"/>
      <c r="E48" s="86"/>
      <c r="F48" s="182"/>
      <c r="H48" s="51" t="str">
        <f>IFERROR(INDEX('X contents'!AR:AR,MATCH('X contents 추가정보'!A48,'X contents'!AS:AS,0)),"")</f>
        <v/>
      </c>
    </row>
    <row r="49" spans="1:8">
      <c r="A49" s="8">
        <v>48</v>
      </c>
      <c r="B49" s="214" t="str">
        <f>IFERROR(LEFT(INDEX('X contents'!C:C,MATCH('X contents 추가정보'!A49,'X contents'!AS:AS,0)),200),"")</f>
        <v/>
      </c>
      <c r="C49" s="86"/>
      <c r="D49" s="86"/>
      <c r="E49" s="86"/>
      <c r="F49" s="182"/>
      <c r="H49" s="51" t="str">
        <f>IFERROR(INDEX('X contents'!AR:AR,MATCH('X contents 추가정보'!A49,'X contents'!AS:AS,0)),"")</f>
        <v/>
      </c>
    </row>
    <row r="50" spans="1:8" ht="17.25" thickBot="1">
      <c r="A50" s="9">
        <v>49</v>
      </c>
      <c r="B50" s="329" t="str">
        <f>IFERROR(LEFT(INDEX('X contents'!C:C,MATCH('X contents 추가정보'!A50,'X contents'!AS:AS,0)),200),"")</f>
        <v/>
      </c>
      <c r="C50" s="153"/>
      <c r="D50" s="153"/>
      <c r="E50" s="153"/>
      <c r="F50" s="154"/>
      <c r="H50" s="51" t="str">
        <f>IFERROR(INDEX('X contents'!AR:AR,MATCH('X contents 추가정보'!A50,'X contents'!AS:AS,0)),"")</f>
        <v/>
      </c>
    </row>
  </sheetData>
  <phoneticPr fontId="2"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40222-C525-404C-8DBD-BB7F2B18FC57}">
  <sheetPr>
    <tabColor theme="9" tint="0.79998168889431442"/>
  </sheetPr>
  <dimension ref="A1:J50"/>
  <sheetViews>
    <sheetView tabSelected="1" workbookViewId="0">
      <selection activeCell="M14" sqref="M14"/>
    </sheetView>
  </sheetViews>
  <sheetFormatPr defaultRowHeight="16.5"/>
  <cols>
    <col min="6" max="6" width="63.625" customWidth="1"/>
    <col min="7" max="7" width="11" customWidth="1"/>
    <col min="8" max="10" width="11.75" customWidth="1"/>
  </cols>
  <sheetData>
    <row r="1" spans="1:10">
      <c r="A1" s="330" t="s">
        <v>70</v>
      </c>
      <c r="B1" s="386" t="s">
        <v>1113</v>
      </c>
      <c r="C1" s="386"/>
      <c r="D1" s="331" t="s">
        <v>71</v>
      </c>
      <c r="E1" s="385" t="s">
        <v>1114</v>
      </c>
      <c r="F1" s="385"/>
      <c r="G1" s="331" t="s">
        <v>73</v>
      </c>
      <c r="H1" s="331" t="s">
        <v>1116</v>
      </c>
      <c r="I1" s="332" t="s">
        <v>1117</v>
      </c>
      <c r="J1" s="333" t="s">
        <v>1118</v>
      </c>
    </row>
    <row r="2" spans="1:10">
      <c r="A2" s="334">
        <v>1</v>
      </c>
      <c r="B2" s="343">
        <f>IFERROR(INDEX('X contents'!AR:AR,MATCH(A2,'X contents'!AS:AS,0)),"")</f>
        <v>45364</v>
      </c>
      <c r="C2" s="344">
        <f>IFERROR(INDEX('X contents'!AR:AR,MATCH('X contents 추가정보'!A2,'X contents'!AS:AS,0)),"")</f>
        <v>45364</v>
      </c>
      <c r="D2" s="336" t="str">
        <f>IF(B2="","",INDEX('X contents 추가정보'!C:C,MATCH(A2,'X contents 추가정보'!A:A,0),0))</f>
        <v>기획</v>
      </c>
      <c r="E2" s="342" t="str">
        <f>IF(B2="","",INDEX('X contents 추가정보'!D:D,MATCH(A2,'X contents 추가정보'!A:A,0),0))</f>
        <v>싱글이미지</v>
      </c>
      <c r="F2" s="337" t="str">
        <f>IF(B2="","",INDEX('X contents 추가정보'!E:E,MATCH(A2,'X contents 추가정보'!A:A,0),0))</f>
        <v>GTC24 세션 홍보 이미지</v>
      </c>
      <c r="G2" s="338" t="str">
        <f>IF(B2="","",INDEX('X contents 추가정보'!F:F,MATCH(A2,'X contents 추가정보'!A:A,0),0))</f>
        <v>Events</v>
      </c>
      <c r="H2" s="339">
        <f>IFERROR(INDEX('X contents'!$A$1:$AN$50,MATCH('X contents 장표'!A2,'X contents'!AS:AS,0),MATCH('X contents 장표'!$H$1,'X contents'!$1:$1,0)),"")</f>
        <v>23628</v>
      </c>
      <c r="I2" s="340">
        <f>IFERROR(INDEX('X contents'!$A$1:$AN$50,MATCH('X contents 장표'!A2,'X contents'!AS:AS,0),MATCH('X contents 장표'!$I$1,'X contents'!$1:$1,0)),"")</f>
        <v>12</v>
      </c>
      <c r="J2" s="341">
        <f>IFERROR(INDEX('X contents'!$A$1:$AN$50,MATCH('X contents 장표'!A2,'X contents'!AS:AS,0),MATCH('X contents 장표'!$J$1,'X contents'!$1:$1,0)),"")</f>
        <v>173</v>
      </c>
    </row>
    <row r="3" spans="1:10">
      <c r="A3" s="335">
        <v>2</v>
      </c>
      <c r="B3" s="343">
        <f>IFERROR(INDEX('X contents'!AR:AR,MATCH(A3,'X contents'!AS:AS,0)),"")</f>
        <v>45369</v>
      </c>
      <c r="C3" s="344">
        <f>IFERROR(INDEX('X contents'!AR:AR,MATCH('X contents 추가정보'!A3,'X contents'!AS:AS,0)),"")</f>
        <v>45369</v>
      </c>
      <c r="D3" s="336" t="str">
        <f>IF(B3="","",INDEX('X contents 추가정보'!C:C,MATCH(A3,'X contents 추가정보'!A:A,0),0))</f>
        <v>기획</v>
      </c>
      <c r="E3" s="342" t="str">
        <f>IF(B3="","",INDEX('X contents 추가정보'!D:D,MATCH(A3,'X contents 추가정보'!A:A,0),0))</f>
        <v>멀티이미지　</v>
      </c>
      <c r="F3" s="337" t="str">
        <f>IF(B3="","",INDEX('X contents 추가정보'!E:E,MATCH(A3,'X contents 추가정보'!A:A,0),0))</f>
        <v>GTC24 현장 부스 설치 이미지</v>
      </c>
      <c r="G3" s="338" t="str">
        <f>IF(B3="","",INDEX('X contents 추가정보'!F:F,MATCH(A3,'X contents 추가정보'!A:A,0),0))</f>
        <v>Events</v>
      </c>
      <c r="H3" s="339">
        <f>IFERROR(INDEX('X contents'!$A$1:$AN$50,MATCH('X contents 장표'!A3,'X contents'!AS:AS,0),MATCH('X contents 장표'!$H$1,'X contents'!$1:$1,0)),"")</f>
        <v>12028</v>
      </c>
      <c r="I3" s="340">
        <f>IFERROR(INDEX('X contents'!$A$1:$AN$50,MATCH('X contents 장표'!A3,'X contents'!AS:AS,0),MATCH('X contents 장표'!$I$1,'X contents'!$1:$1,0)),"")</f>
        <v>8</v>
      </c>
      <c r="J3" s="341">
        <f>IFERROR(INDEX('X contents'!$A$1:$AN$50,MATCH('X contents 장표'!A3,'X contents'!AS:AS,0),MATCH('X contents 장표'!$J$1,'X contents'!$1:$1,0)),"")</f>
        <v>139</v>
      </c>
    </row>
    <row r="4" spans="1:10">
      <c r="A4" s="335">
        <v>3</v>
      </c>
      <c r="B4" s="343">
        <f>IFERROR(INDEX('X contents'!AR:AR,MATCH(A4,'X contents'!AS:AS,0)),"")</f>
        <v>45355</v>
      </c>
      <c r="C4" s="344">
        <f>IFERROR(INDEX('X contents'!AR:AR,MATCH('X contents 추가정보'!A4,'X contents'!AS:AS,0)),"")</f>
        <v>45355</v>
      </c>
      <c r="D4" s="336" t="str">
        <f>IF(B4="","",INDEX('X contents 추가정보'!C:C,MATCH(A4,'X contents 추가정보'!A:A,0),0))</f>
        <v>미러링</v>
      </c>
      <c r="E4" s="342" t="str">
        <f>IF(B4="","",INDEX('X contents 추가정보'!D:D,MATCH(A4,'X contents 추가정보'!A:A,0),0))</f>
        <v>영상</v>
      </c>
      <c r="F4" s="337" t="str">
        <f>IF(B4="","",INDEX('X contents 추가정보'!E:E,MATCH(A4,'X contents 추가정보'!A:A,0),0))</f>
        <v>HBM3E 신규 영상 게재</v>
      </c>
      <c r="G4" s="338" t="str">
        <f>IF(B4="","",INDEX('X contents 추가정보'!F:F,MATCH(A4,'X contents 추가정보'!A:A,0),0))</f>
        <v>Products</v>
      </c>
      <c r="H4" s="339">
        <f>IFERROR(INDEX('X contents'!$A$1:$AN$50,MATCH('X contents 장표'!A4,'X contents'!AS:AS,0),MATCH('X contents 장표'!$H$1,'X contents'!$1:$1,0)),"")</f>
        <v>14151</v>
      </c>
      <c r="I4" s="340">
        <f>IFERROR(INDEX('X contents'!$A$1:$AN$50,MATCH('X contents 장표'!A4,'X contents'!AS:AS,0),MATCH('X contents 장표'!$I$1,'X contents'!$1:$1,0)),"")</f>
        <v>0</v>
      </c>
      <c r="J4" s="341">
        <f>IFERROR(INDEX('X contents'!$A$1:$AN$50,MATCH('X contents 장표'!A4,'X contents'!AS:AS,0),MATCH('X contents 장표'!$J$1,'X contents'!$1:$1,0)),"")</f>
        <v>139</v>
      </c>
    </row>
    <row r="5" spans="1:10">
      <c r="A5" s="335">
        <v>4</v>
      </c>
      <c r="B5" s="343">
        <f>IFERROR(INDEX('X contents'!AR:AR,MATCH(A5,'X contents'!AS:AS,0)),"")</f>
        <v>45356</v>
      </c>
      <c r="C5" s="344">
        <f>IFERROR(INDEX('X contents'!AR:AR,MATCH('X contents 추가정보'!A5,'X contents'!AS:AS,0)),"")</f>
        <v>45356</v>
      </c>
      <c r="D5" s="336" t="str">
        <f>IF(B5="","",INDEX('X contents 추가정보'!C:C,MATCH(A5,'X contents 추가정보'!A:A,0),0))</f>
        <v>기획</v>
      </c>
      <c r="E5" s="342" t="str">
        <f>IF(B5="","",INDEX('X contents 추가정보'!D:D,MATCH(A5,'X contents 추가정보'!A:A,0),0))</f>
        <v>싱글이미지　</v>
      </c>
      <c r="F5" s="337" t="str">
        <f>IF(B5="","",INDEX('X contents 추가정보'!E:E,MATCH(A5,'X contents 추가정보'!A:A,0),0))</f>
        <v>MCRDIMM 스펙 조명 이미지</v>
      </c>
      <c r="G5" s="338" t="str">
        <f>IF(B5="","",INDEX('X contents 추가정보'!F:F,MATCH(A5,'X contents 추가정보'!A:A,0),0))</f>
        <v>Products</v>
      </c>
      <c r="H5" s="339">
        <f>IFERROR(INDEX('X contents'!$A$1:$AN$50,MATCH('X contents 장표'!A5,'X contents'!AS:AS,0),MATCH('X contents 장표'!$H$1,'X contents'!$1:$1,0)),"")</f>
        <v>16899</v>
      </c>
      <c r="I5" s="340">
        <f>IFERROR(INDEX('X contents'!$A$1:$AN$50,MATCH('X contents 장표'!A5,'X contents'!AS:AS,0),MATCH('X contents 장표'!$I$1,'X contents'!$1:$1,0)),"")</f>
        <v>10</v>
      </c>
      <c r="J5" s="341">
        <f>IFERROR(INDEX('X contents'!$A$1:$AN$50,MATCH('X contents 장표'!A5,'X contents'!AS:AS,0),MATCH('X contents 장표'!$J$1,'X contents'!$1:$1,0)),"")</f>
        <v>106</v>
      </c>
    </row>
    <row r="6" spans="1:10">
      <c r="A6" s="335">
        <v>5</v>
      </c>
      <c r="B6" s="343">
        <f>IFERROR(INDEX('X contents'!AR:AR,MATCH(A6,'X contents'!AS:AS,0)),"")</f>
        <v>45380</v>
      </c>
      <c r="C6" s="344">
        <f>IFERROR(INDEX('X contents'!AR:AR,MATCH('X contents 추가정보'!A6,'X contents'!AS:AS,0)),"")</f>
        <v>45380</v>
      </c>
      <c r="D6" s="336" t="str">
        <f>IF(B6="","",INDEX('X contents 추가정보'!C:C,MATCH(A6,'X contents 추가정보'!A:A,0),0))</f>
        <v>기획</v>
      </c>
      <c r="E6" s="342" t="str">
        <f>IF(B6="","",INDEX('X contents 추가정보'!D:D,MATCH(A6,'X contents 추가정보'!A:A,0),0))</f>
        <v>싱글이미지</v>
      </c>
      <c r="F6" s="337" t="str">
        <f>IF(B6="","",INDEX('X contents 추가정보'!E:E,MATCH(A6,'X contents 추가정보'!A:A,0),0))</f>
        <v>트위터 팔로우 유도 이미지</v>
      </c>
      <c r="G6" s="338" t="str">
        <f>IF(B6="","",INDEX('X contents 추가정보'!F:F,MATCH(A6,'X contents 추가정보'!A:A,0),0))</f>
        <v>Interest</v>
      </c>
      <c r="H6" s="339">
        <f>IFERROR(INDEX('X contents'!$A$1:$AN$50,MATCH('X contents 장표'!A6,'X contents'!AS:AS,0),MATCH('X contents 장표'!$H$1,'X contents'!$1:$1,0)),"")</f>
        <v>7461</v>
      </c>
      <c r="I6" s="340">
        <f>IFERROR(INDEX('X contents'!$A$1:$AN$50,MATCH('X contents 장표'!A6,'X contents'!AS:AS,0),MATCH('X contents 장표'!$I$1,'X contents'!$1:$1,0)),"")</f>
        <v>0</v>
      </c>
      <c r="J6" s="341">
        <f>IFERROR(INDEX('X contents'!$A$1:$AN$50,MATCH('X contents 장표'!A6,'X contents'!AS:AS,0),MATCH('X contents 장표'!$J$1,'X contents'!$1:$1,0)),"")</f>
        <v>92</v>
      </c>
    </row>
    <row r="7" spans="1:10">
      <c r="A7" s="335">
        <v>6</v>
      </c>
      <c r="B7" s="343">
        <f>IFERROR(INDEX('X contents'!AR:AR,MATCH(A7,'X contents'!AS:AS,0)),"")</f>
        <v>45370</v>
      </c>
      <c r="C7" s="344">
        <f>IFERROR(INDEX('X contents'!AR:AR,MATCH('X contents 추가정보'!A7,'X contents'!AS:AS,0)),"")</f>
        <v>45370</v>
      </c>
      <c r="D7" s="336" t="str">
        <f>IF(B7="","",INDEX('X contents 추가정보'!C:C,MATCH(A7,'X contents 추가정보'!A:A,0),0))</f>
        <v>미러링</v>
      </c>
      <c r="E7" s="342" t="str">
        <f>IF(B7="","",INDEX('X contents 추가정보'!D:D,MATCH(A7,'X contents 추가정보'!A:A,0),0))</f>
        <v>뉴스룸</v>
      </c>
      <c r="F7" s="337" t="str">
        <f>IF(B7="","",INDEX('X contents 추가정보'!E:E,MATCH(A7,'X contents 추가정보'!A:A,0),0))</f>
        <v>HBM3E 양산 보도자료</v>
      </c>
      <c r="G7" s="338" t="str">
        <f>IF(B7="","",INDEX('X contents 추가정보'!F:F,MATCH(A7,'X contents 추가정보'!A:A,0),0))</f>
        <v>News</v>
      </c>
      <c r="H7" s="339">
        <f>IFERROR(INDEX('X contents'!$A$1:$AN$50,MATCH('X contents 장표'!A7,'X contents'!AS:AS,0),MATCH('X contents 장표'!$H$1,'X contents'!$1:$1,0)),"")</f>
        <v>3605</v>
      </c>
      <c r="I7" s="340">
        <f>IFERROR(INDEX('X contents'!$A$1:$AN$50,MATCH('X contents 장표'!A7,'X contents'!AS:AS,0),MATCH('X contents 장표'!$I$1,'X contents'!$1:$1,0)),"")</f>
        <v>9</v>
      </c>
      <c r="J7" s="341">
        <f>IFERROR(INDEX('X contents'!$A$1:$AN$50,MATCH('X contents 장표'!A7,'X contents'!AS:AS,0),MATCH('X contents 장표'!$J$1,'X contents'!$1:$1,0)),"")</f>
        <v>84</v>
      </c>
    </row>
    <row r="8" spans="1:10">
      <c r="A8" s="335">
        <v>7</v>
      </c>
      <c r="B8" s="343">
        <f>IFERROR(INDEX('X contents'!AR:AR,MATCH(A8,'X contents'!AS:AS,0)),"")</f>
        <v>45366</v>
      </c>
      <c r="C8" s="344">
        <f>IFERROR(INDEX('X contents'!AR:AR,MATCH('X contents 추가정보'!A8,'X contents'!AS:AS,0)),"")</f>
        <v>45366</v>
      </c>
      <c r="D8" s="336" t="str">
        <f>IF(B8="","",INDEX('X contents 추가정보'!C:C,MATCH(A8,'X contents 추가정보'!A:A,0),0))</f>
        <v>미러링</v>
      </c>
      <c r="E8" s="342" t="str">
        <f>IF(B8="","",INDEX('X contents 추가정보'!D:D,MATCH(A8,'X contents 추가정보'!A:A,0),0))</f>
        <v>카드뉴스</v>
      </c>
      <c r="F8" s="337" t="str">
        <f>IF(B8="","",INDEX('X contents 추가정보'!E:E,MATCH(A8,'X contents 추가정보'!A:A,0),0))</f>
        <v>HBM3E 백서</v>
      </c>
      <c r="G8" s="338" t="str">
        <f>IF(B8="","",INDEX('X contents 추가정보'!F:F,MATCH(A8,'X contents 추가정보'!A:A,0),0))</f>
        <v>Products</v>
      </c>
      <c r="H8" s="339">
        <f>IFERROR(INDEX('X contents'!$A$1:$AN$50,MATCH('X contents 장표'!A8,'X contents'!AS:AS,0),MATCH('X contents 장표'!$H$1,'X contents'!$1:$1,0)),"")</f>
        <v>758</v>
      </c>
      <c r="I8" s="340">
        <f>IFERROR(INDEX('X contents'!$A$1:$AN$50,MATCH('X contents 장표'!A8,'X contents'!AS:AS,0),MATCH('X contents 장표'!$I$1,'X contents'!$1:$1,0)),"")</f>
        <v>4</v>
      </c>
      <c r="J8" s="341">
        <f>IFERROR(INDEX('X contents'!$A$1:$AN$50,MATCH('X contents 장표'!A8,'X contents'!AS:AS,0),MATCH('X contents 장표'!$J$1,'X contents'!$1:$1,0)),"")</f>
        <v>42</v>
      </c>
    </row>
    <row r="9" spans="1:10">
      <c r="A9" s="335">
        <v>8</v>
      </c>
      <c r="B9" s="343">
        <f>IFERROR(INDEX('X contents'!AR:AR,MATCH(A9,'X contents'!AS:AS,0)),"")</f>
        <v>45376</v>
      </c>
      <c r="C9" s="344">
        <f>IFERROR(INDEX('X contents'!AR:AR,MATCH('X contents 추가정보'!A9,'X contents'!AS:AS,0)),"")</f>
        <v>45376</v>
      </c>
      <c r="D9" s="336" t="str">
        <f>IF(B9="","",INDEX('X contents 추가정보'!C:C,MATCH(A9,'X contents 추가정보'!A:A,0),0))</f>
        <v>기획</v>
      </c>
      <c r="E9" s="342" t="str">
        <f>IF(B9="","",INDEX('X contents 추가정보'!D:D,MATCH(A9,'X contents 추가정보'!A:A,0),0))</f>
        <v>카드뉴스</v>
      </c>
      <c r="F9" s="337" t="str">
        <f>IF(B9="","",INDEX('X contents 추가정보'!E:E,MATCH(A9,'X contents 추가정보'!A:A,0),0))</f>
        <v>TSV-HBM 카드뉴스</v>
      </c>
      <c r="G9" s="338" t="str">
        <f>IF(B9="","",INDEX('X contents 추가정보'!F:F,MATCH(A9,'X contents 추가정보'!A:A,0),0))</f>
        <v>Products</v>
      </c>
      <c r="H9" s="339">
        <f>IFERROR(INDEX('X contents'!$A$1:$AN$50,MATCH('X contents 장표'!A9,'X contents'!AS:AS,0),MATCH('X contents 장표'!$H$1,'X contents'!$1:$1,0)),"")</f>
        <v>593</v>
      </c>
      <c r="I9" s="340">
        <f>IFERROR(INDEX('X contents'!$A$1:$AN$50,MATCH('X contents 장표'!A9,'X contents'!AS:AS,0),MATCH('X contents 장표'!$I$1,'X contents'!$1:$1,0)),"")</f>
        <v>4</v>
      </c>
      <c r="J9" s="341">
        <f>IFERROR(INDEX('X contents'!$A$1:$AN$50,MATCH('X contents 장표'!A9,'X contents'!AS:AS,0),MATCH('X contents 장표'!$J$1,'X contents'!$1:$1,0)),"")</f>
        <v>33</v>
      </c>
    </row>
    <row r="10" spans="1:10">
      <c r="A10" s="335">
        <v>9</v>
      </c>
      <c r="B10" s="343">
        <f>IFERROR(INDEX('X contents'!AR:AR,MATCH(A10,'X contents'!AS:AS,0)),"")</f>
        <v>45364</v>
      </c>
      <c r="C10" s="344">
        <f>IFERROR(INDEX('X contents'!AR:AR,MATCH('X contents 추가정보'!A10,'X contents'!AS:AS,0)),"")</f>
        <v>45364</v>
      </c>
      <c r="D10" s="336" t="str">
        <f>IF(B10="","",INDEX('X contents 추가정보'!C:C,MATCH(A10,'X contents 추가정보'!A:A,0),0))</f>
        <v>미러링</v>
      </c>
      <c r="E10" s="342" t="str">
        <f>IF(B10="","",INDEX('X contents 추가정보'!D:D,MATCH(A10,'X contents 추가정보'!A:A,0),0))</f>
        <v>카드뉴스</v>
      </c>
      <c r="F10" s="337" t="str">
        <f>IF(B10="","",INDEX('X contents 추가정보'!E:E,MATCH(A10,'X contents 추가정보'!A:A,0),0))</f>
        <v>GDDR7 백서</v>
      </c>
      <c r="G10" s="338" t="str">
        <f>IF(B10="","",INDEX('X contents 추가정보'!F:F,MATCH(A10,'X contents 추가정보'!A:A,0),0))</f>
        <v>Products</v>
      </c>
      <c r="H10" s="339">
        <f>IFERROR(INDEX('X contents'!$A$1:$AN$50,MATCH('X contents 장표'!A10,'X contents'!AS:AS,0),MATCH('X contents 장표'!$H$1,'X contents'!$1:$1,0)),"")</f>
        <v>456</v>
      </c>
      <c r="I10" s="340">
        <f>IFERROR(INDEX('X contents'!$A$1:$AN$50,MATCH('X contents 장표'!A10,'X contents'!AS:AS,0),MATCH('X contents 장표'!$I$1,'X contents'!$1:$1,0)),"")</f>
        <v>4</v>
      </c>
      <c r="J10" s="341">
        <f>IFERROR(INDEX('X contents'!$A$1:$AN$50,MATCH('X contents 장표'!A10,'X contents'!AS:AS,0),MATCH('X contents 장표'!$J$1,'X contents'!$1:$1,0)),"")</f>
        <v>30</v>
      </c>
    </row>
    <row r="11" spans="1:10">
      <c r="A11" s="335">
        <v>10</v>
      </c>
      <c r="B11" s="343">
        <f>IFERROR(INDEX('X contents'!AR:AR,MATCH(A11,'X contents'!AS:AS,0)),"")</f>
        <v>45369</v>
      </c>
      <c r="C11" s="344">
        <f>IFERROR(INDEX('X contents'!AR:AR,MATCH('X contents 추가정보'!A11,'X contents'!AS:AS,0)),"")</f>
        <v>45369</v>
      </c>
      <c r="D11" s="336" t="str">
        <f>IF(B11="","",INDEX('X contents 추가정보'!C:C,MATCH(A11,'X contents 추가정보'!A:A,0),0))</f>
        <v>POLL</v>
      </c>
      <c r="E11" s="342" t="str">
        <f>IF(B11="","",INDEX('X contents 추가정보'!D:D,MATCH(A11,'X contents 추가정보'!A:A,0),0))</f>
        <v>POLL</v>
      </c>
      <c r="F11" s="337" t="str">
        <f>IF(B11="","",INDEX('X contents 추가정보'!E:E,MATCH(A11,'X contents 추가정보'!A:A,0),0))</f>
        <v>GTC24 관련 Poll</v>
      </c>
      <c r="G11" s="338" t="str">
        <f>IF(B11="","",INDEX('X contents 추가정보'!F:F,MATCH(A11,'X contents 추가정보'!A:A,0),0))</f>
        <v>Events</v>
      </c>
      <c r="H11" s="339">
        <f>IFERROR(INDEX('X contents'!$A$1:$AN$50,MATCH('X contents 장표'!A11,'X contents'!AS:AS,0),MATCH('X contents 장표'!$H$1,'X contents'!$1:$1,0)),"")</f>
        <v>537</v>
      </c>
      <c r="I11" s="340">
        <f>IFERROR(INDEX('X contents'!$A$1:$AN$50,MATCH('X contents 장표'!A11,'X contents'!AS:AS,0),MATCH('X contents 장표'!$I$1,'X contents'!$1:$1,0)),"")</f>
        <v>2</v>
      </c>
      <c r="J11" s="341">
        <f>IFERROR(INDEX('X contents'!$A$1:$AN$50,MATCH('X contents 장표'!A11,'X contents'!AS:AS,0),MATCH('X contents 장표'!$J$1,'X contents'!$1:$1,0)),"")</f>
        <v>28</v>
      </c>
    </row>
    <row r="12" spans="1:10">
      <c r="A12" s="335">
        <v>11</v>
      </c>
      <c r="B12" s="343">
        <f>IFERROR(INDEX('X contents'!AR:AR,MATCH(A12,'X contents'!AS:AS,0)),"")</f>
        <v>45372</v>
      </c>
      <c r="C12" s="344">
        <f>IFERROR(INDEX('X contents'!AR:AR,MATCH('X contents 추가정보'!A12,'X contents'!AS:AS,0)),"")</f>
        <v>45372</v>
      </c>
      <c r="D12" s="336" t="str">
        <f>IF(B12="","",INDEX('X contents 추가정보'!C:C,MATCH(A12,'X contents 추가정보'!A:A,0),0))</f>
        <v>미러링</v>
      </c>
      <c r="E12" s="342" t="str">
        <f>IF(B12="","",INDEX('X contents 추가정보'!D:D,MATCH(A12,'X contents 추가정보'!A:A,0),0))</f>
        <v>뉴스룸</v>
      </c>
      <c r="F12" s="337" t="str">
        <f>IF(B12="","",INDEX('X contents 추가정보'!E:E,MATCH(A12,'X contents 추가정보'!A:A,0),0))</f>
        <v>GTC24 스케치 뉴스룸</v>
      </c>
      <c r="G12" s="338" t="str">
        <f>IF(B12="","",INDEX('X contents 추가정보'!F:F,MATCH(A12,'X contents 추가정보'!A:A,0),0))</f>
        <v>Events</v>
      </c>
      <c r="H12" s="339">
        <f>IFERROR(INDEX('X contents'!$A$1:$AN$50,MATCH('X contents 장표'!A12,'X contents'!AS:AS,0),MATCH('X contents 장표'!$H$1,'X contents'!$1:$1,0)),"")</f>
        <v>647</v>
      </c>
      <c r="I12" s="340">
        <f>IFERROR(INDEX('X contents'!$A$1:$AN$50,MATCH('X contents 장표'!A12,'X contents'!AS:AS,0),MATCH('X contents 장표'!$I$1,'X contents'!$1:$1,0)),"")</f>
        <v>7</v>
      </c>
      <c r="J12" s="341">
        <f>IFERROR(INDEX('X contents'!$A$1:$AN$50,MATCH('X contents 장표'!A12,'X contents'!AS:AS,0),MATCH('X contents 장표'!$J$1,'X contents'!$1:$1,0)),"")</f>
        <v>25</v>
      </c>
    </row>
    <row r="13" spans="1:10">
      <c r="A13" s="335">
        <v>12</v>
      </c>
      <c r="B13" s="343">
        <f>IFERROR(INDEX('X contents'!AR:AR,MATCH(A13,'X contents'!AS:AS,0)),"")</f>
        <v>45362</v>
      </c>
      <c r="C13" s="344">
        <f>IFERROR(INDEX('X contents'!AR:AR,MATCH('X contents 추가정보'!A13,'X contents'!AS:AS,0)),"")</f>
        <v>45362</v>
      </c>
      <c r="D13" s="336" t="str">
        <f>IF(B13="","",INDEX('X contents 추가정보'!C:C,MATCH(A13,'X contents 추가정보'!A:A,0),0))</f>
        <v>미러링</v>
      </c>
      <c r="E13" s="342" t="str">
        <f>IF(B13="","",INDEX('X contents 추가정보'!D:D,MATCH(A13,'X contents 추가정보'!A:A,0),0))</f>
        <v>영상</v>
      </c>
      <c r="F13" s="337" t="str">
        <f>IF(B13="","",INDEX('X contents 추가정보'!E:E,MATCH(A13,'X contents 추가정보'!A:A,0),0))</f>
        <v>Automotive memory solutions 영상 재게재</v>
      </c>
      <c r="G13" s="338" t="str">
        <f>IF(B13="","",INDEX('X contents 추가정보'!F:F,MATCH(A13,'X contents 추가정보'!A:A,0),0))</f>
        <v>Products</v>
      </c>
      <c r="H13" s="339">
        <f>IFERROR(INDEX('X contents'!$A$1:$AN$50,MATCH('X contents 장표'!A13,'X contents'!AS:AS,0),MATCH('X contents 장표'!$H$1,'X contents'!$1:$1,0)),"")</f>
        <v>714</v>
      </c>
      <c r="I13" s="340">
        <f>IFERROR(INDEX('X contents'!$A$1:$AN$50,MATCH('X contents 장표'!A13,'X contents'!AS:AS,0),MATCH('X contents 장표'!$I$1,'X contents'!$1:$1,0)),"")</f>
        <v>5</v>
      </c>
      <c r="J13" s="341">
        <f>IFERROR(INDEX('X contents'!$A$1:$AN$50,MATCH('X contents 장표'!A13,'X contents'!AS:AS,0),MATCH('X contents 장표'!$J$1,'X contents'!$1:$1,0)),"")</f>
        <v>20</v>
      </c>
    </row>
    <row r="14" spans="1:10">
      <c r="A14" s="335">
        <v>13</v>
      </c>
      <c r="B14" s="343">
        <f>IFERROR(INDEX('X contents'!AR:AR,MATCH(A14,'X contents'!AS:AS,0)),"")</f>
        <v>45377</v>
      </c>
      <c r="C14" s="344">
        <f>IFERROR(INDEX('X contents'!AR:AR,MATCH('X contents 추가정보'!A14,'X contents'!AS:AS,0)),"")</f>
        <v>45377</v>
      </c>
      <c r="D14" s="336" t="str">
        <f>IF(B14="","",INDEX('X contents 추가정보'!C:C,MATCH(A14,'X contents 추가정보'!A:A,0),0))</f>
        <v>기획</v>
      </c>
      <c r="E14" s="342" t="str">
        <f>IF(B14="","",INDEX('X contents 추가정보'!D:D,MATCH(A14,'X contents 추가정보'!A:A,0),0))</f>
        <v>카드뉴스</v>
      </c>
      <c r="F14" s="337" t="str">
        <f>IF(B14="","",INDEX('X contents 추가정보'!E:E,MATCH(A14,'X contents 추가정보'!A:A,0),0))</f>
        <v>GTC24 전시제품 소개 카드뉴스</v>
      </c>
      <c r="G14" s="338" t="str">
        <f>IF(B14="","",INDEX('X contents 추가정보'!F:F,MATCH(A14,'X contents 추가정보'!A:A,0),0))</f>
        <v>Products</v>
      </c>
      <c r="H14" s="339">
        <f>IFERROR(INDEX('X contents'!$A$1:$AN$50,MATCH('X contents 장표'!A14,'X contents'!AS:AS,0),MATCH('X contents 장표'!$H$1,'X contents'!$1:$1,0)),"")</f>
        <v>515</v>
      </c>
      <c r="I14" s="340">
        <f>IFERROR(INDEX('X contents'!$A$1:$AN$50,MATCH('X contents 장표'!A14,'X contents'!AS:AS,0),MATCH('X contents 장표'!$I$1,'X contents'!$1:$1,0)),"")</f>
        <v>3</v>
      </c>
      <c r="J14" s="341">
        <f>IFERROR(INDEX('X contents'!$A$1:$AN$50,MATCH('X contents 장표'!A14,'X contents'!AS:AS,0),MATCH('X contents 장표'!$J$1,'X contents'!$1:$1,0)),"")</f>
        <v>18</v>
      </c>
    </row>
    <row r="15" spans="1:10">
      <c r="A15" s="335">
        <v>14</v>
      </c>
      <c r="B15" s="343">
        <f>IFERROR(INDEX('X contents'!AR:AR,MATCH(A15,'X contents'!AS:AS,0)),"")</f>
        <v>45370</v>
      </c>
      <c r="C15" s="344">
        <f>IFERROR(INDEX('X contents'!AR:AR,MATCH('X contents 추가정보'!A15,'X contents'!AS:AS,0)),"")</f>
        <v>45370</v>
      </c>
      <c r="D15" s="336" t="str">
        <f>IF(B15="","",INDEX('X contents 추가정보'!C:C,MATCH(A15,'X contents 추가정보'!A:A,0),0))</f>
        <v>기획</v>
      </c>
      <c r="E15" s="342" t="str">
        <f>IF(B15="","",INDEX('X contents 추가정보'!D:D,MATCH(A15,'X contents 추가정보'!A:A,0),0))</f>
        <v>멀티이미지</v>
      </c>
      <c r="F15" s="337" t="str">
        <f>IF(B15="","",INDEX('X contents 추가정보'!E:E,MATCH(A15,'X contents 추가정보'!A:A,0),0))</f>
        <v>GTC24 현장 직원 이미지</v>
      </c>
      <c r="G15" s="338" t="str">
        <f>IF(B15="","",INDEX('X contents 추가정보'!F:F,MATCH(A15,'X contents 추가정보'!A:A,0),0))</f>
        <v>Events</v>
      </c>
      <c r="H15" s="339">
        <f>IFERROR(INDEX('X contents'!$A$1:$AN$50,MATCH('X contents 장표'!A15,'X contents'!AS:AS,0),MATCH('X contents 장표'!$H$1,'X contents'!$1:$1,0)),"")</f>
        <v>583</v>
      </c>
      <c r="I15" s="340">
        <f>IFERROR(INDEX('X contents'!$A$1:$AN$50,MATCH('X contents 장표'!A15,'X contents'!AS:AS,0),MATCH('X contents 장표'!$I$1,'X contents'!$1:$1,0)),"")</f>
        <v>4</v>
      </c>
      <c r="J15" s="341">
        <f>IFERROR(INDEX('X contents'!$A$1:$AN$50,MATCH('X contents 장표'!A15,'X contents'!AS:AS,0),MATCH('X contents 장표'!$J$1,'X contents'!$1:$1,0)),"")</f>
        <v>17</v>
      </c>
    </row>
    <row r="16" spans="1:10">
      <c r="A16" s="335">
        <v>15</v>
      </c>
      <c r="B16" s="343">
        <f>IFERROR(INDEX('X contents'!AR:AR,MATCH(A16,'X contents'!AS:AS,0)),"")</f>
        <v>45359</v>
      </c>
      <c r="C16" s="344">
        <f>IFERROR(INDEX('X contents'!AR:AR,MATCH('X contents 추가정보'!A16,'X contents'!AS:AS,0)),"")</f>
        <v>45359</v>
      </c>
      <c r="D16" s="336" t="str">
        <f>IF(B16="","",INDEX('X contents 추가정보'!C:C,MATCH(A16,'X contents 추가정보'!A:A,0),0))</f>
        <v>기획</v>
      </c>
      <c r="E16" s="342" t="str">
        <f>IF(B16="","",INDEX('X contents 추가정보'!D:D,MATCH(A16,'X contents 추가정보'!A:A,0),0))</f>
        <v>싱글이미지　</v>
      </c>
      <c r="F16" s="337" t="str">
        <f>IF(B16="","",INDEX('X contents 추가정보'!E:E,MATCH(A16,'X contents 추가정보'!A:A,0),0))</f>
        <v>GTC24 부스 안내 이미지</v>
      </c>
      <c r="G16" s="338" t="str">
        <f>IF(B16="","",INDEX('X contents 추가정보'!F:F,MATCH(A16,'X contents 추가정보'!A:A,0),0))</f>
        <v>Events</v>
      </c>
      <c r="H16" s="339">
        <f>IFERROR(INDEX('X contents'!$A$1:$AN$50,MATCH('X contents 장표'!A16,'X contents'!AS:AS,0),MATCH('X contents 장표'!$H$1,'X contents'!$1:$1,0)),"")</f>
        <v>456</v>
      </c>
      <c r="I16" s="340">
        <f>IFERROR(INDEX('X contents'!$A$1:$AN$50,MATCH('X contents 장표'!A16,'X contents'!AS:AS,0),MATCH('X contents 장표'!$I$1,'X contents'!$1:$1,0)),"")</f>
        <v>9</v>
      </c>
      <c r="J16" s="341">
        <f>IFERROR(INDEX('X contents'!$A$1:$AN$50,MATCH('X contents 장표'!A16,'X contents'!AS:AS,0),MATCH('X contents 장표'!$J$1,'X contents'!$1:$1,0)),"")</f>
        <v>17</v>
      </c>
    </row>
    <row r="17" spans="1:10">
      <c r="A17" s="335">
        <v>16</v>
      </c>
      <c r="B17" s="343">
        <f>IFERROR(INDEX('X contents'!AR:AR,MATCH(A17,'X contents'!AS:AS,0)),"")</f>
        <v>45362</v>
      </c>
      <c r="C17" s="344">
        <f>IFERROR(INDEX('X contents'!AR:AR,MATCH('X contents 추가정보'!A17,'X contents'!AS:AS,0)),"")</f>
        <v>45362</v>
      </c>
      <c r="D17" s="336" t="str">
        <f>IF(B17="","",INDEX('X contents 추가정보'!C:C,MATCH(A17,'X contents 추가정보'!A:A,0),0))</f>
        <v>미러링</v>
      </c>
      <c r="E17" s="342" t="str">
        <f>IF(B17="","",INDEX('X contents 추가정보'!D:D,MATCH(A17,'X contents 추가정보'!A:A,0),0))</f>
        <v>카드뉴스　</v>
      </c>
      <c r="F17" s="337" t="str">
        <f>IF(B17="","",INDEX('X contents 추가정보'!E:E,MATCH(A17,'X contents 추가정보'!A:A,0),0))</f>
        <v>Automotive 백서</v>
      </c>
      <c r="G17" s="338" t="str">
        <f>IF(B17="","",INDEX('X contents 추가정보'!F:F,MATCH(A17,'X contents 추가정보'!A:A,0),0))</f>
        <v>Products</v>
      </c>
      <c r="H17" s="339">
        <f>IFERROR(INDEX('X contents'!$A$1:$AN$50,MATCH('X contents 장표'!A17,'X contents'!AS:AS,0),MATCH('X contents 장표'!$H$1,'X contents'!$1:$1,0)),"")</f>
        <v>505</v>
      </c>
      <c r="I17" s="340">
        <f>IFERROR(INDEX('X contents'!$A$1:$AN$50,MATCH('X contents 장표'!A17,'X contents'!AS:AS,0),MATCH('X contents 장표'!$I$1,'X contents'!$1:$1,0)),"")</f>
        <v>5</v>
      </c>
      <c r="J17" s="341">
        <f>IFERROR(INDEX('X contents'!$A$1:$AN$50,MATCH('X contents 장표'!A17,'X contents'!AS:AS,0),MATCH('X contents 장표'!$J$1,'X contents'!$1:$1,0)),"")</f>
        <v>16</v>
      </c>
    </row>
    <row r="18" spans="1:10">
      <c r="A18" s="335">
        <v>17</v>
      </c>
      <c r="B18" s="343">
        <f>IFERROR(INDEX('X contents'!AR:AR,MATCH(A18,'X contents'!AS:AS,0)),"")</f>
        <v>45371</v>
      </c>
      <c r="C18" s="344">
        <f>IFERROR(INDEX('X contents'!AR:AR,MATCH('X contents 추가정보'!A18,'X contents'!AS:AS,0)),"")</f>
        <v>45371</v>
      </c>
      <c r="D18" s="336" t="str">
        <f>IF(B18="","",INDEX('X contents 추가정보'!C:C,MATCH(A18,'X contents 추가정보'!A:A,0),0))</f>
        <v>기획</v>
      </c>
      <c r="E18" s="342" t="str">
        <f>IF(B18="","",INDEX('X contents 추가정보'!D:D,MATCH(A18,'X contents 추가정보'!A:A,0),0))</f>
        <v>멀티이미지　</v>
      </c>
      <c r="F18" s="337" t="str">
        <f>IF(B18="","",INDEX('X contents 추가정보'!E:E,MATCH(A18,'X contents 추가정보'!A:A,0),0))</f>
        <v>GTC24 현장 세션 이미지</v>
      </c>
      <c r="G18" s="338" t="str">
        <f>IF(B18="","",INDEX('X contents 추가정보'!F:F,MATCH(A18,'X contents 추가정보'!A:A,0),0))</f>
        <v>Events</v>
      </c>
      <c r="H18" s="339">
        <f>IFERROR(INDEX('X contents'!$A$1:$AN$50,MATCH('X contents 장표'!A18,'X contents'!AS:AS,0),MATCH('X contents 장표'!$H$1,'X contents'!$1:$1,0)),"")</f>
        <v>542</v>
      </c>
      <c r="I18" s="340">
        <f>IFERROR(INDEX('X contents'!$A$1:$AN$50,MATCH('X contents 장표'!A18,'X contents'!AS:AS,0),MATCH('X contents 장표'!$I$1,'X contents'!$1:$1,0)),"")</f>
        <v>6</v>
      </c>
      <c r="J18" s="341">
        <f>IFERROR(INDEX('X contents'!$A$1:$AN$50,MATCH('X contents 장표'!A18,'X contents'!AS:AS,0),MATCH('X contents 장표'!$J$1,'X contents'!$1:$1,0)),"")</f>
        <v>15</v>
      </c>
    </row>
    <row r="19" spans="1:10">
      <c r="A19" s="335">
        <v>18</v>
      </c>
      <c r="B19" s="343">
        <f>IFERROR(INDEX('X contents'!AR:AR,MATCH(A19,'X contents'!AS:AS,0)),"")</f>
        <v>45371</v>
      </c>
      <c r="C19" s="344">
        <f>IFERROR(INDEX('X contents'!AR:AR,MATCH('X contents 추가정보'!A19,'X contents'!AS:AS,0)),"")</f>
        <v>45371</v>
      </c>
      <c r="D19" s="336" t="str">
        <f>IF(B19="","",INDEX('X contents 추가정보'!C:C,MATCH(A19,'X contents 추가정보'!A:A,0),0))</f>
        <v>미러링</v>
      </c>
      <c r="E19" s="342" t="str">
        <f>IF(B19="","",INDEX('X contents 추가정보'!D:D,MATCH(A19,'X contents 추가정보'!A:A,0),0))</f>
        <v>뉴스룸</v>
      </c>
      <c r="F19" s="337" t="str">
        <f>IF(B19="","",INDEX('X contents 추가정보'!E:E,MATCH(A19,'X contents 추가정보'!A:A,0),0))</f>
        <v>PCB01 공개 보도자료</v>
      </c>
      <c r="G19" s="338" t="str">
        <f>IF(B19="","",INDEX('X contents 추가정보'!F:F,MATCH(A19,'X contents 추가정보'!A:A,0),0))</f>
        <v>News</v>
      </c>
      <c r="H19" s="339">
        <f>IFERROR(INDEX('X contents'!$A$1:$AN$50,MATCH('X contents 장표'!A19,'X contents'!AS:AS,0),MATCH('X contents 장표'!$H$1,'X contents'!$1:$1,0)),"")</f>
        <v>525</v>
      </c>
      <c r="I19" s="340">
        <f>IFERROR(INDEX('X contents'!$A$1:$AN$50,MATCH('X contents 장표'!A19,'X contents'!AS:AS,0),MATCH('X contents 장표'!$I$1,'X contents'!$1:$1,0)),"")</f>
        <v>7</v>
      </c>
      <c r="J19" s="341">
        <f>IFERROR(INDEX('X contents'!$A$1:$AN$50,MATCH('X contents 장표'!A19,'X contents'!AS:AS,0),MATCH('X contents 장표'!$J$1,'X contents'!$1:$1,0)),"")</f>
        <v>13</v>
      </c>
    </row>
    <row r="20" spans="1:10">
      <c r="A20" s="335">
        <v>19</v>
      </c>
      <c r="B20" s="343">
        <f>IFERROR(INDEX('X contents'!AR:AR,MATCH(A20,'X contents'!AS:AS,0)),"")</f>
        <v>45365</v>
      </c>
      <c r="C20" s="344">
        <f>IFERROR(INDEX('X contents'!AR:AR,MATCH('X contents 추가정보'!A20,'X contents'!AS:AS,0)),"")</f>
        <v>45365</v>
      </c>
      <c r="D20" s="336" t="str">
        <f>IF(B20="","",INDEX('X contents 추가정보'!C:C,MATCH(A20,'X contents 추가정보'!A:A,0),0))</f>
        <v>기획</v>
      </c>
      <c r="E20" s="342" t="str">
        <f>IF(B20="","",INDEX('X contents 추가정보'!D:D,MATCH(A20,'X contents 추가정보'!A:A,0),0))</f>
        <v>싱글이미지　</v>
      </c>
      <c r="F20" s="337" t="str">
        <f>IF(B20="","",INDEX('X contents 추가정보'!E:E,MATCH(A20,'X contents 추가정보'!A:A,0),0))</f>
        <v>GTC24 부스 안내 이미지</v>
      </c>
      <c r="G20" s="338" t="str">
        <f>IF(B20="","",INDEX('X contents 추가정보'!F:F,MATCH(A20,'X contents 추가정보'!A:A,0),0))</f>
        <v>Events</v>
      </c>
      <c r="H20" s="339">
        <f>IFERROR(INDEX('X contents'!$A$1:$AN$50,MATCH('X contents 장표'!A20,'X contents'!AS:AS,0),MATCH('X contents 장표'!$H$1,'X contents'!$1:$1,0)),"")</f>
        <v>454</v>
      </c>
      <c r="I20" s="340">
        <f>IFERROR(INDEX('X contents'!$A$1:$AN$50,MATCH('X contents 장표'!A20,'X contents'!AS:AS,0),MATCH('X contents 장표'!$I$1,'X contents'!$1:$1,0)),"")</f>
        <v>3</v>
      </c>
      <c r="J20" s="341">
        <f>IFERROR(INDEX('X contents'!$A$1:$AN$50,MATCH('X contents 장표'!A20,'X contents'!AS:AS,0),MATCH('X contents 장표'!$J$1,'X contents'!$1:$1,0)),"")</f>
        <v>13</v>
      </c>
    </row>
    <row r="21" spans="1:10">
      <c r="A21" s="335">
        <v>20</v>
      </c>
      <c r="B21" s="343">
        <f>IFERROR(INDEX('X contents'!AR:AR,MATCH(A21,'X contents'!AS:AS,0)),"")</f>
        <v>45373</v>
      </c>
      <c r="C21" s="344">
        <f>IFERROR(INDEX('X contents'!AR:AR,MATCH('X contents 추가정보'!A21,'X contents'!AS:AS,0)),"")</f>
        <v>45373</v>
      </c>
      <c r="D21" s="336" t="str">
        <f>IF(B21="","",INDEX('X contents 추가정보'!C:C,MATCH(A21,'X contents 추가정보'!A:A,0),0))</f>
        <v>기획</v>
      </c>
      <c r="E21" s="342" t="str">
        <f>IF(B21="","",INDEX('X contents 추가정보'!D:D,MATCH(A21,'X contents 추가정보'!A:A,0),0))</f>
        <v>싱글이미지　</v>
      </c>
      <c r="F21" s="337" t="str">
        <f>IF(B21="","",INDEX('X contents 추가정보'!E:E,MATCH(A21,'X contents 추가정보'!A:A,0),0))</f>
        <v>세계 물의 날</v>
      </c>
      <c r="G21" s="338" t="str">
        <f>IF(B21="","",INDEX('X contents 추가정보'!F:F,MATCH(A21,'X contents 추가정보'!A:A,0),0))</f>
        <v>Seasonal</v>
      </c>
      <c r="H21" s="339">
        <f>IFERROR(INDEX('X contents'!$A$1:$AN$50,MATCH('X contents 장표'!A21,'X contents'!AS:AS,0),MATCH('X contents 장표'!$H$1,'X contents'!$1:$1,0)),"")</f>
        <v>523</v>
      </c>
      <c r="I21" s="340">
        <f>IFERROR(INDEX('X contents'!$A$1:$AN$50,MATCH('X contents 장표'!A21,'X contents'!AS:AS,0),MATCH('X contents 장표'!$I$1,'X contents'!$1:$1,0)),"")</f>
        <v>6</v>
      </c>
      <c r="J21" s="341">
        <f>IFERROR(INDEX('X contents'!$A$1:$AN$50,MATCH('X contents 장표'!A21,'X contents'!AS:AS,0),MATCH('X contents 장표'!$J$1,'X contents'!$1:$1,0)),"")</f>
        <v>11</v>
      </c>
    </row>
    <row r="22" spans="1:10">
      <c r="A22" s="335">
        <v>21</v>
      </c>
      <c r="B22" s="343">
        <f>IFERROR(INDEX('X contents'!AR:AR,MATCH(A22,'X contents'!AS:AS,0)),"")</f>
        <v>45365</v>
      </c>
      <c r="C22" s="344">
        <f>IFERROR(INDEX('X contents'!AR:AR,MATCH('X contents 추가정보'!A22,'X contents'!AS:AS,0)),"")</f>
        <v>45365</v>
      </c>
      <c r="D22" s="336" t="str">
        <f>IF(B22="","",INDEX('X contents 추가정보'!C:C,MATCH(A22,'X contents 추가정보'!A:A,0),0))</f>
        <v>미러링</v>
      </c>
      <c r="E22" s="342" t="str">
        <f>IF(B22="","",INDEX('X contents 추가정보'!D:D,MATCH(A22,'X contents 추가정보'!A:A,0),0))</f>
        <v>싱글이미지　</v>
      </c>
      <c r="F22" s="337" t="str">
        <f>IF(B22="","",INDEX('X contents 추가정보'!E:E,MATCH(A22,'X contents 추가정보'!A:A,0),0))</f>
        <v xml:space="preserve">GTC24 3D 부스 이미지 </v>
      </c>
      <c r="G22" s="338" t="str">
        <f>IF(B22="","",INDEX('X contents 추가정보'!F:F,MATCH(A22,'X contents 추가정보'!A:A,0),0))</f>
        <v xml:space="preserve">Events </v>
      </c>
      <c r="H22" s="339">
        <f>IFERROR(INDEX('X contents'!$A$1:$AN$50,MATCH('X contents 장표'!A22,'X contents'!AS:AS,0),MATCH('X contents 장표'!$H$1,'X contents'!$1:$1,0)),"")</f>
        <v>557</v>
      </c>
      <c r="I22" s="340">
        <f>IFERROR(INDEX('X contents'!$A$1:$AN$50,MATCH('X contents 장표'!A22,'X contents'!AS:AS,0),MATCH('X contents 장표'!$I$1,'X contents'!$1:$1,0)),"")</f>
        <v>4</v>
      </c>
      <c r="J22" s="341">
        <f>IFERROR(INDEX('X contents'!$A$1:$AN$50,MATCH('X contents 장표'!A22,'X contents'!AS:AS,0),MATCH('X contents 장표'!$J$1,'X contents'!$1:$1,0)),"")</f>
        <v>11</v>
      </c>
    </row>
    <row r="23" spans="1:10">
      <c r="A23" s="335">
        <v>22</v>
      </c>
      <c r="B23" s="343">
        <f>IFERROR(INDEX('X contents'!AR:AR,MATCH(A23,'X contents'!AS:AS,0)),"")</f>
        <v>45358</v>
      </c>
      <c r="C23" s="344">
        <f>IFERROR(INDEX('X contents'!AR:AR,MATCH('X contents 추가정보'!A23,'X contents'!AS:AS,0)),"")</f>
        <v>45358</v>
      </c>
      <c r="D23" s="336" t="str">
        <f>IF(B23="","",INDEX('X contents 추가정보'!C:C,MATCH(A23,'X contents 추가정보'!A:A,0),0))</f>
        <v>기획</v>
      </c>
      <c r="E23" s="342" t="str">
        <f>IF(B23="","",INDEX('X contents 추가정보'!D:D,MATCH(A23,'X contents 추가정보'!A:A,0),0))</f>
        <v>카드뉴스</v>
      </c>
      <c r="F23" s="337" t="str">
        <f>IF(B23="","",INDEX('X contents 추가정보'!E:E,MATCH(A23,'X contents 추가정보'!A:A,0),0))</f>
        <v>세계 여성의 달_그레이스 호퍼 카드뉴스</v>
      </c>
      <c r="G23" s="338" t="str">
        <f>IF(B23="","",INDEX('X contents 추가정보'!F:F,MATCH(A23,'X contents 추가정보'!A:A,0),0))</f>
        <v>Seasonal</v>
      </c>
      <c r="H23" s="339">
        <f>IFERROR(INDEX('X contents'!$A$1:$AN$50,MATCH('X contents 장표'!A23,'X contents'!AS:AS,0),MATCH('X contents 장표'!$H$1,'X contents'!$1:$1,0)),"")</f>
        <v>388</v>
      </c>
      <c r="I23" s="340">
        <f>IFERROR(INDEX('X contents'!$A$1:$AN$50,MATCH('X contents 장표'!A23,'X contents'!AS:AS,0),MATCH('X contents 장표'!$I$1,'X contents'!$1:$1,0)),"")</f>
        <v>4</v>
      </c>
      <c r="J23" s="341">
        <f>IFERROR(INDEX('X contents'!$A$1:$AN$50,MATCH('X contents 장표'!A23,'X contents'!AS:AS,0),MATCH('X contents 장표'!$J$1,'X contents'!$1:$1,0)),"")</f>
        <v>11</v>
      </c>
    </row>
    <row r="24" spans="1:10">
      <c r="A24" s="335">
        <v>23</v>
      </c>
      <c r="B24" s="343">
        <f>IFERROR(INDEX('X contents'!AR:AR,MATCH(A24,'X contents'!AS:AS,0)),"")</f>
        <v>45381</v>
      </c>
      <c r="C24" s="344">
        <f>IFERROR(INDEX('X contents'!AR:AR,MATCH('X contents 추가정보'!A24,'X contents'!AS:AS,0)),"")</f>
        <v>45381</v>
      </c>
      <c r="D24" s="336" t="str">
        <f>IF(B24="","",INDEX('X contents 추가정보'!C:C,MATCH(A24,'X contents 추가정보'!A:A,0),0))</f>
        <v>기획</v>
      </c>
      <c r="E24" s="342" t="str">
        <f>IF(B24="","",INDEX('X contents 추가정보'!D:D,MATCH(A24,'X contents 추가정보'!A:A,0),0))</f>
        <v>영상</v>
      </c>
      <c r="F24" s="337" t="str">
        <f>IF(B24="","",INDEX('X contents 추가정보'!E:E,MATCH(A24,'X contents 추가정보'!A:A,0),0))</f>
        <v xml:space="preserve">데이터 백업의 날 </v>
      </c>
      <c r="G24" s="338" t="str">
        <f>IF(B24="","",INDEX('X contents 추가정보'!F:F,MATCH(A24,'X contents 추가정보'!A:A,0),0))</f>
        <v>Seasonal</v>
      </c>
      <c r="H24" s="339">
        <f>IFERROR(INDEX('X contents'!$A$1:$AN$50,MATCH('X contents 장표'!A24,'X contents'!AS:AS,0),MATCH('X contents 장표'!$H$1,'X contents'!$1:$1,0)),"")</f>
        <v>491</v>
      </c>
      <c r="I24" s="340">
        <f>IFERROR(INDEX('X contents'!$A$1:$AN$50,MATCH('X contents 장표'!A24,'X contents'!AS:AS,0),MATCH('X contents 장표'!$I$1,'X contents'!$1:$1,0)),"")</f>
        <v>4</v>
      </c>
      <c r="J24" s="341">
        <f>IFERROR(INDEX('X contents'!$A$1:$AN$50,MATCH('X contents 장표'!A24,'X contents'!AS:AS,0),MATCH('X contents 장표'!$J$1,'X contents'!$1:$1,0)),"")</f>
        <v>10</v>
      </c>
    </row>
    <row r="25" spans="1:10">
      <c r="A25" s="335">
        <v>24</v>
      </c>
      <c r="B25" s="343">
        <f>IFERROR(INDEX('X contents'!AR:AR,MATCH(A25,'X contents'!AS:AS,0)),"")</f>
        <v>45378</v>
      </c>
      <c r="C25" s="344">
        <f>IFERROR(INDEX('X contents'!AR:AR,MATCH('X contents 추가정보'!A25,'X contents'!AS:AS,0)),"")</f>
        <v>45378</v>
      </c>
      <c r="D25" s="336" t="str">
        <f>IF(B25="","",INDEX('X contents 추가정보'!C:C,MATCH(A25,'X contents 추가정보'!A:A,0),0))</f>
        <v>기획</v>
      </c>
      <c r="E25" s="342" t="str">
        <f>IF(B25="","",INDEX('X contents 추가정보'!D:D,MATCH(A25,'X contents 추가정보'!A:A,0),0))</f>
        <v>멀티이미지　</v>
      </c>
      <c r="F25" s="337" t="str">
        <f>IF(B25="","",INDEX('X contents 추가정보'!E:E,MATCH(A25,'X contents 추가정보'!A:A,0),0))</f>
        <v>HBM3E 스펙 조명 캐러셀</v>
      </c>
      <c r="G25" s="338" t="str">
        <f>IF(B25="","",INDEX('X contents 추가정보'!F:F,MATCH(A25,'X contents 추가정보'!A:A,0),0))</f>
        <v>Products</v>
      </c>
      <c r="H25" s="339">
        <f>IFERROR(INDEX('X contents'!$A$1:$AN$50,MATCH('X contents 장표'!A25,'X contents'!AS:AS,0),MATCH('X contents 장표'!$H$1,'X contents'!$1:$1,0)),"")</f>
        <v>438</v>
      </c>
      <c r="I25" s="340">
        <f>IFERROR(INDEX('X contents'!$A$1:$AN$50,MATCH('X contents 장표'!A25,'X contents'!AS:AS,0),MATCH('X contents 장표'!$I$1,'X contents'!$1:$1,0)),"")</f>
        <v>4</v>
      </c>
      <c r="J25" s="341">
        <f>IFERROR(INDEX('X contents'!$A$1:$AN$50,MATCH('X contents 장표'!A25,'X contents'!AS:AS,0),MATCH('X contents 장표'!$J$1,'X contents'!$1:$1,0)),"")</f>
        <v>8</v>
      </c>
    </row>
    <row r="26" spans="1:10">
      <c r="A26" s="335">
        <v>25</v>
      </c>
      <c r="B26" s="343">
        <f>IFERROR(INDEX('X contents'!AR:AR,MATCH(A26,'X contents'!AS:AS,0)),"")</f>
        <v>45379</v>
      </c>
      <c r="C26" s="344">
        <f>IFERROR(INDEX('X contents'!AR:AR,MATCH('X contents 추가정보'!A26,'X contents'!AS:AS,0)),"")</f>
        <v>45379</v>
      </c>
      <c r="D26" s="336" t="str">
        <f>IF(B26="","",INDEX('X contents 추가정보'!C:C,MATCH(A26,'X contents 추가정보'!A:A,0),0))</f>
        <v>기획</v>
      </c>
      <c r="E26" s="342" t="str">
        <f>IF(B26="","",INDEX('X contents 추가정보'!D:D,MATCH(A26,'X contents 추가정보'!A:A,0),0))</f>
        <v>뉴스룸</v>
      </c>
      <c r="F26" s="337" t="str">
        <f>IF(B26="","",INDEX('X contents 추가정보'!E:E,MATCH(A26,'X contents 추가정보'!A:A,0),0))</f>
        <v>AI 인프라_권운오 부상장님 인터뷰</v>
      </c>
      <c r="G26" s="338" t="str">
        <f>IF(B26="","",INDEX('X contents 추가정보'!F:F,MATCH(A26,'X contents 추가정보'!A:A,0),0))</f>
        <v>Interest</v>
      </c>
      <c r="H26" s="339">
        <f>IFERROR(INDEX('X contents'!$A$1:$AN$50,MATCH('X contents 장표'!A26,'X contents'!AS:AS,0),MATCH('X contents 장표'!$H$1,'X contents'!$1:$1,0)),"")</f>
        <v>399</v>
      </c>
      <c r="I26" s="340">
        <f>IFERROR(INDEX('X contents'!$A$1:$AN$50,MATCH('X contents 장표'!A26,'X contents'!AS:AS,0),MATCH('X contents 장표'!$I$1,'X contents'!$1:$1,0)),"")</f>
        <v>4</v>
      </c>
      <c r="J26" s="341">
        <f>IFERROR(INDEX('X contents'!$A$1:$AN$50,MATCH('X contents 장표'!A26,'X contents'!AS:AS,0),MATCH('X contents 장표'!$J$1,'X contents'!$1:$1,0)),"")</f>
        <v>7</v>
      </c>
    </row>
    <row r="27" spans="1:10">
      <c r="A27" s="335">
        <v>26</v>
      </c>
      <c r="B27" s="343">
        <f>IFERROR(INDEX('X contents'!AR:AR,MATCH(A27,'X contents'!AS:AS,0)),"")</f>
        <v>45359</v>
      </c>
      <c r="C27" s="344">
        <f>IFERROR(INDEX('X contents'!AR:AR,MATCH('X contents 추가정보'!A27,'X contents'!AS:AS,0)),"")</f>
        <v>45359</v>
      </c>
      <c r="D27" s="336" t="str">
        <f>IF(B27="","",INDEX('X contents 추가정보'!C:C,MATCH(A27,'X contents 추가정보'!A:A,0),0))</f>
        <v>미러링</v>
      </c>
      <c r="E27" s="342" t="str">
        <f>IF(B27="","",INDEX('X contents 추가정보'!D:D,MATCH(A27,'X contents 추가정보'!A:A,0),0))</f>
        <v>뉴스룸</v>
      </c>
      <c r="F27" s="337" t="str">
        <f>IF(B27="","",INDEX('X contents 추가정보'!E:E,MATCH(A27,'X contents 추가정보'!A:A,0),0))</f>
        <v>세계 여성의 날 (뉴스룸)</v>
      </c>
      <c r="G27" s="338" t="str">
        <f>IF(B27="","",INDEX('X contents 추가정보'!F:F,MATCH(A27,'X contents 추가정보'!A:A,0),0))</f>
        <v>Seasonal</v>
      </c>
      <c r="H27" s="339">
        <f>IFERROR(INDEX('X contents'!$A$1:$AN$50,MATCH('X contents 장표'!A27,'X contents'!AS:AS,0),MATCH('X contents 장표'!$H$1,'X contents'!$1:$1,0)),"")</f>
        <v>345</v>
      </c>
      <c r="I27" s="340">
        <f>IFERROR(INDEX('X contents'!$A$1:$AN$50,MATCH('X contents 장표'!A27,'X contents'!AS:AS,0),MATCH('X contents 장표'!$I$1,'X contents'!$1:$1,0)),"")</f>
        <v>4</v>
      </c>
      <c r="J27" s="341">
        <f>IFERROR(INDEX('X contents'!$A$1:$AN$50,MATCH('X contents 장표'!A27,'X contents'!AS:AS,0),MATCH('X contents 장표'!$J$1,'X contents'!$1:$1,0)),"")</f>
        <v>6</v>
      </c>
    </row>
    <row r="28" spans="1:10">
      <c r="A28" s="335">
        <v>27</v>
      </c>
      <c r="B28" s="343">
        <f>IFERROR(INDEX('X contents'!AR:AR,MATCH(A28,'X contents'!AS:AS,0)),"")</f>
        <v>45380</v>
      </c>
      <c r="C28" s="344">
        <f>IFERROR(INDEX('X contents'!AR:AR,MATCH('X contents 추가정보'!A28,'X contents'!AS:AS,0)),"")</f>
        <v>45380</v>
      </c>
      <c r="D28" s="336" t="str">
        <f>IF(B28="","",INDEX('X contents 추가정보'!C:C,MATCH(A28,'X contents 추가정보'!A:A,0),0))</f>
        <v>미러링</v>
      </c>
      <c r="E28" s="342" t="str">
        <f>IF(B28="","",INDEX('X contents 추가정보'!D:D,MATCH(A28,'X contents 추가정보'!A:A,0),0))</f>
        <v>미러링(링크)　</v>
      </c>
      <c r="F28" s="337" t="str">
        <f>IF(B28="","",INDEX('X contents 추가정보'!E:E,MATCH(A28,'X contents 추가정보'!A:A,0),0))</f>
        <v>DevCon CXL 블로그</v>
      </c>
      <c r="G28" s="338" t="str">
        <f>IF(B28="","",INDEX('X contents 추가정보'!F:F,MATCH(A28,'X contents 추가정보'!A:A,0),0))</f>
        <v>Products</v>
      </c>
      <c r="H28" s="339">
        <f>IFERROR(INDEX('X contents'!$A$1:$AN$50,MATCH('X contents 장표'!A28,'X contents'!AS:AS,0),MATCH('X contents 장표'!$H$1,'X contents'!$1:$1,0)),"")</f>
        <v>420</v>
      </c>
      <c r="I28" s="340">
        <f>IFERROR(INDEX('X contents'!$A$1:$AN$50,MATCH('X contents 장표'!A28,'X contents'!AS:AS,0),MATCH('X contents 장표'!$I$1,'X contents'!$1:$1,0)),"")</f>
        <v>4</v>
      </c>
      <c r="J28" s="341">
        <f>IFERROR(INDEX('X contents'!$A$1:$AN$50,MATCH('X contents 장표'!A28,'X contents'!AS:AS,0),MATCH('X contents 장표'!$J$1,'X contents'!$1:$1,0)),"")</f>
        <v>5</v>
      </c>
    </row>
    <row r="29" spans="1:10">
      <c r="A29" s="335">
        <v>28</v>
      </c>
      <c r="B29" s="343">
        <f>IFERROR(INDEX('X contents'!AR:AR,MATCH(A29,'X contents'!AS:AS,0)),"")</f>
        <v>45364</v>
      </c>
      <c r="C29" s="344">
        <f>IFERROR(INDEX('X contents'!AR:AR,MATCH('X contents 추가정보'!A29,'X contents'!AS:AS,0)),"")</f>
        <v>45364</v>
      </c>
      <c r="D29" s="336" t="str">
        <f>IF(B29="","",INDEX('X contents 추가정보'!C:C,MATCH(A29,'X contents 추가정보'!A:A,0),0))</f>
        <v>미러링</v>
      </c>
      <c r="E29" s="342" t="str">
        <f>IF(B29="","",INDEX('X contents 추가정보'!D:D,MATCH(A29,'X contents 추가정보'!A:A,0),0))</f>
        <v>뉴스룸</v>
      </c>
      <c r="F29" s="337" t="str">
        <f>IF(B29="","",INDEX('X contents 추가정보'!E:E,MATCH(A29,'X contents 추가정보'!A:A,0),0))</f>
        <v>신임임원 인터뷰_길덕신 담당님</v>
      </c>
      <c r="G29" s="338" t="str">
        <f>IF(B29="","",INDEX('X contents 추가정보'!F:F,MATCH(A29,'X contents 추가정보'!A:A,0),0))</f>
        <v>Interest</v>
      </c>
      <c r="H29" s="339">
        <f>IFERROR(INDEX('X contents'!$A$1:$AN$50,MATCH('X contents 장표'!A29,'X contents'!AS:AS,0),MATCH('X contents 장표'!$H$1,'X contents'!$1:$1,0)),"")</f>
        <v>331</v>
      </c>
      <c r="I29" s="340">
        <f>IFERROR(INDEX('X contents'!$A$1:$AN$50,MATCH('X contents 장표'!A29,'X contents'!AS:AS,0),MATCH('X contents 장표'!$I$1,'X contents'!$1:$1,0)),"")</f>
        <v>4</v>
      </c>
      <c r="J29" s="341">
        <f>IFERROR(INDEX('X contents'!$A$1:$AN$50,MATCH('X contents 장표'!A29,'X contents'!AS:AS,0),MATCH('X contents 장표'!$J$1,'X contents'!$1:$1,0)),"")</f>
        <v>4</v>
      </c>
    </row>
    <row r="30" spans="1:10">
      <c r="A30" s="335">
        <v>29</v>
      </c>
      <c r="B30" s="343" t="str">
        <f>IFERROR(INDEX('X contents'!AR:AR,MATCH(A30,'X contents'!AS:AS,0)),"")</f>
        <v/>
      </c>
      <c r="C30" s="344" t="str">
        <f>IFERROR(INDEX('X contents'!AR:AR,MATCH('X contents 추가정보'!A30,'X contents'!AS:AS,0)),"")</f>
        <v/>
      </c>
      <c r="D30" s="336" t="str">
        <f>IF(B30="","",INDEX('X contents 추가정보'!C:C,MATCH(A30,'X contents 추가정보'!A:A,0),0))</f>
        <v/>
      </c>
      <c r="E30" s="342" t="str">
        <f>IF(B30="","",INDEX('X contents 추가정보'!D:D,MATCH(A30,'X contents 추가정보'!A:A,0),0))</f>
        <v/>
      </c>
      <c r="F30" s="337" t="str">
        <f>IF(B30="","",INDEX('X contents 추가정보'!E:E,MATCH(A30,'X contents 추가정보'!A:A,0),0))</f>
        <v/>
      </c>
      <c r="G30" s="338" t="str">
        <f>IF(B30="","",INDEX('X contents 추가정보'!F:F,MATCH(A30,'X contents 추가정보'!A:A,0),0))</f>
        <v/>
      </c>
      <c r="H30" s="339" t="str">
        <f>IFERROR(INDEX('X contents'!$A$1:$AN$50,MATCH('X contents 장표'!A30,'X contents'!AS:AS,0),MATCH('X contents 장표'!$H$1,'X contents'!$1:$1,0)),"")</f>
        <v/>
      </c>
      <c r="I30" s="340" t="str">
        <f>IFERROR(INDEX('X contents'!$A$1:$AN$50,MATCH('X contents 장표'!A30,'X contents'!AS:AS,0),MATCH('X contents 장표'!$I$1,'X contents'!$1:$1,0)),"")</f>
        <v/>
      </c>
      <c r="J30" s="341" t="str">
        <f>IFERROR(INDEX('X contents'!$A$1:$AN$50,MATCH('X contents 장표'!A30,'X contents'!AS:AS,0),MATCH('X contents 장표'!$J$1,'X contents'!$1:$1,0)),"")</f>
        <v/>
      </c>
    </row>
    <row r="31" spans="1:10">
      <c r="A31" s="335">
        <v>30</v>
      </c>
      <c r="B31" s="343" t="str">
        <f>IFERROR(INDEX('X contents'!AR:AR,MATCH(A31,'X contents'!AS:AS,0)),"")</f>
        <v/>
      </c>
      <c r="C31" s="344" t="str">
        <f>IFERROR(INDEX('X contents'!AR:AR,MATCH('X contents 추가정보'!A31,'X contents'!AS:AS,0)),"")</f>
        <v/>
      </c>
      <c r="D31" s="336" t="str">
        <f>IF(B31="","",INDEX('X contents 추가정보'!C:C,MATCH(A31,'X contents 추가정보'!A:A,0),0))</f>
        <v/>
      </c>
      <c r="E31" s="342" t="str">
        <f>IF(B31="","",INDEX('X contents 추가정보'!D:D,MATCH(A31,'X contents 추가정보'!A:A,0),0))</f>
        <v/>
      </c>
      <c r="F31" s="337" t="str">
        <f>IF(B31="","",INDEX('X contents 추가정보'!E:E,MATCH(A31,'X contents 추가정보'!A:A,0),0))</f>
        <v/>
      </c>
      <c r="G31" s="338" t="str">
        <f>IF(B31="","",INDEX('X contents 추가정보'!F:F,MATCH(A31,'X contents 추가정보'!A:A,0),0))</f>
        <v/>
      </c>
      <c r="H31" s="339" t="str">
        <f>IFERROR(INDEX('X contents'!$A$1:$AN$50,MATCH('X contents 장표'!A31,'X contents'!AS:AS,0),MATCH('X contents 장표'!$H$1,'X contents'!$1:$1,0)),"")</f>
        <v/>
      </c>
      <c r="I31" s="340" t="str">
        <f>IFERROR(INDEX('X contents'!$A$1:$AN$50,MATCH('X contents 장표'!A31,'X contents'!AS:AS,0),MATCH('X contents 장표'!$I$1,'X contents'!$1:$1,0)),"")</f>
        <v/>
      </c>
      <c r="J31" s="341" t="str">
        <f>IFERROR(INDEX('X contents'!$A$1:$AN$50,MATCH('X contents 장표'!A31,'X contents'!AS:AS,0),MATCH('X contents 장표'!$J$1,'X contents'!$1:$1,0)),"")</f>
        <v/>
      </c>
    </row>
    <row r="32" spans="1:10">
      <c r="A32" s="335">
        <v>31</v>
      </c>
      <c r="B32" s="343" t="str">
        <f>IFERROR(INDEX('X contents'!AR:AR,MATCH(A32,'X contents'!AS:AS,0)),"")</f>
        <v/>
      </c>
      <c r="C32" s="344" t="str">
        <f>IFERROR(INDEX('X contents'!AR:AR,MATCH('X contents 추가정보'!A32,'X contents'!AS:AS,0)),"")</f>
        <v/>
      </c>
      <c r="D32" s="336" t="str">
        <f>IF(B32="","",INDEX('X contents 추가정보'!C:C,MATCH(A32,'X contents 추가정보'!A:A,0),0))</f>
        <v/>
      </c>
      <c r="E32" s="342" t="str">
        <f>IF(B32="","",INDEX('X contents 추가정보'!D:D,MATCH(A32,'X contents 추가정보'!A:A,0),0))</f>
        <v/>
      </c>
      <c r="F32" s="337" t="str">
        <f>IF(B32="","",INDEX('X contents 추가정보'!E:E,MATCH(A32,'X contents 추가정보'!A:A,0),0))</f>
        <v/>
      </c>
      <c r="G32" s="338" t="str">
        <f>IF(B32="","",INDEX('X contents 추가정보'!F:F,MATCH(A32,'X contents 추가정보'!A:A,0),0))</f>
        <v/>
      </c>
      <c r="H32" s="339" t="str">
        <f>IFERROR(INDEX('X contents'!$A$1:$AN$50,MATCH('X contents 장표'!A32,'X contents'!AS:AS,0),MATCH('X contents 장표'!$H$1,'X contents'!$1:$1,0)),"")</f>
        <v/>
      </c>
      <c r="I32" s="340" t="str">
        <f>IFERROR(INDEX('X contents'!$A$1:$AN$50,MATCH('X contents 장표'!A32,'X contents'!AS:AS,0),MATCH('X contents 장표'!$I$1,'X contents'!$1:$1,0)),"")</f>
        <v/>
      </c>
      <c r="J32" s="341" t="str">
        <f>IFERROR(INDEX('X contents'!$A$1:$AN$50,MATCH('X contents 장표'!A32,'X contents'!AS:AS,0),MATCH('X contents 장표'!$J$1,'X contents'!$1:$1,0)),"")</f>
        <v/>
      </c>
    </row>
    <row r="33" spans="1:10">
      <c r="A33" s="335">
        <v>32</v>
      </c>
      <c r="B33" s="343" t="str">
        <f>IFERROR(INDEX('X contents'!AR:AR,MATCH(A33,'X contents'!AS:AS,0)),"")</f>
        <v/>
      </c>
      <c r="C33" s="344" t="str">
        <f>IFERROR(INDEX('X contents'!AR:AR,MATCH('X contents 추가정보'!A33,'X contents'!AS:AS,0)),"")</f>
        <v/>
      </c>
      <c r="D33" s="336" t="str">
        <f>IF(B33="","",INDEX('X contents 추가정보'!C:C,MATCH(A33,'X contents 추가정보'!A:A,0),0))</f>
        <v/>
      </c>
      <c r="E33" s="342" t="str">
        <f>IF(B33="","",INDEX('X contents 추가정보'!D:D,MATCH(A33,'X contents 추가정보'!A:A,0),0))</f>
        <v/>
      </c>
      <c r="F33" s="337" t="str">
        <f>IF(B33="","",INDEX('X contents 추가정보'!E:E,MATCH(A33,'X contents 추가정보'!A:A,0),0))</f>
        <v/>
      </c>
      <c r="G33" s="338" t="str">
        <f>IF(B33="","",INDEX('X contents 추가정보'!F:F,MATCH(A33,'X contents 추가정보'!A:A,0),0))</f>
        <v/>
      </c>
      <c r="H33" s="339" t="str">
        <f>IFERROR(INDEX('X contents'!$A$1:$AN$50,MATCH('X contents 장표'!A33,'X contents'!AS:AS,0),MATCH('X contents 장표'!$H$1,'X contents'!$1:$1,0)),"")</f>
        <v/>
      </c>
      <c r="I33" s="340" t="str">
        <f>IFERROR(INDEX('X contents'!$A$1:$AN$50,MATCH('X contents 장표'!A33,'X contents'!AS:AS,0),MATCH('X contents 장표'!$I$1,'X contents'!$1:$1,0)),"")</f>
        <v/>
      </c>
      <c r="J33" s="341" t="str">
        <f>IFERROR(INDEX('X contents'!$A$1:$AN$50,MATCH('X contents 장표'!A33,'X contents'!AS:AS,0),MATCH('X contents 장표'!$J$1,'X contents'!$1:$1,0)),"")</f>
        <v/>
      </c>
    </row>
    <row r="34" spans="1:10">
      <c r="A34" s="335">
        <v>33</v>
      </c>
      <c r="B34" s="343" t="str">
        <f>IFERROR(INDEX('X contents'!AR:AR,MATCH(A34,'X contents'!AS:AS,0)),"")</f>
        <v/>
      </c>
      <c r="C34" s="344" t="str">
        <f>IFERROR(INDEX('X contents'!AR:AR,MATCH('X contents 추가정보'!A34,'X contents'!AS:AS,0)),"")</f>
        <v/>
      </c>
      <c r="D34" s="336" t="str">
        <f>IF(B34="","",INDEX('X contents 추가정보'!C:C,MATCH(A34,'X contents 추가정보'!A:A,0),0))</f>
        <v/>
      </c>
      <c r="E34" s="342" t="str">
        <f>IF(B34="","",INDEX('X contents 추가정보'!D:D,MATCH(A34,'X contents 추가정보'!A:A,0),0))</f>
        <v/>
      </c>
      <c r="F34" s="337" t="str">
        <f>IF(B34="","",INDEX('X contents 추가정보'!E:E,MATCH(A34,'X contents 추가정보'!A:A,0),0))</f>
        <v/>
      </c>
      <c r="G34" s="338" t="str">
        <f>IF(B34="","",INDEX('X contents 추가정보'!F:F,MATCH(A34,'X contents 추가정보'!A:A,0),0))</f>
        <v/>
      </c>
      <c r="H34" s="339" t="str">
        <f>IFERROR(INDEX('X contents'!$A$1:$AN$50,MATCH('X contents 장표'!A34,'X contents'!AS:AS,0),MATCH('X contents 장표'!$H$1,'X contents'!$1:$1,0)),"")</f>
        <v/>
      </c>
      <c r="I34" s="340" t="str">
        <f>IFERROR(INDEX('X contents'!$A$1:$AN$50,MATCH('X contents 장표'!A34,'X contents'!AS:AS,0),MATCH('X contents 장표'!$I$1,'X contents'!$1:$1,0)),"")</f>
        <v/>
      </c>
      <c r="J34" s="341" t="str">
        <f>IFERROR(INDEX('X contents'!$A$1:$AN$50,MATCH('X contents 장표'!A34,'X contents'!AS:AS,0),MATCH('X contents 장표'!$J$1,'X contents'!$1:$1,0)),"")</f>
        <v/>
      </c>
    </row>
    <row r="35" spans="1:10">
      <c r="A35" s="335">
        <v>34</v>
      </c>
      <c r="B35" s="343" t="str">
        <f>IFERROR(INDEX('X contents'!AR:AR,MATCH(A35,'X contents'!AS:AS,0)),"")</f>
        <v/>
      </c>
      <c r="C35" s="344" t="str">
        <f>IFERROR(INDEX('X contents'!AR:AR,MATCH('X contents 추가정보'!A35,'X contents'!AS:AS,0)),"")</f>
        <v/>
      </c>
      <c r="D35" s="336" t="str">
        <f>IF(B35="","",INDEX('X contents 추가정보'!C:C,MATCH(A35,'X contents 추가정보'!A:A,0),0))</f>
        <v/>
      </c>
      <c r="E35" s="342" t="str">
        <f>IF(B35="","",INDEX('X contents 추가정보'!D:D,MATCH(A35,'X contents 추가정보'!A:A,0),0))</f>
        <v/>
      </c>
      <c r="F35" s="337" t="str">
        <f>IF(B35="","",INDEX('X contents 추가정보'!E:E,MATCH(A35,'X contents 추가정보'!A:A,0),0))</f>
        <v/>
      </c>
      <c r="G35" s="338" t="str">
        <f>IF(B35="","",INDEX('X contents 추가정보'!F:F,MATCH(A35,'X contents 추가정보'!A:A,0),0))</f>
        <v/>
      </c>
      <c r="H35" s="339" t="str">
        <f>IFERROR(INDEX('X contents'!$A$1:$AN$50,MATCH('X contents 장표'!A35,'X contents'!AS:AS,0),MATCH('X contents 장표'!$H$1,'X contents'!$1:$1,0)),"")</f>
        <v/>
      </c>
      <c r="I35" s="340" t="str">
        <f>IFERROR(INDEX('X contents'!$A$1:$AN$50,MATCH('X contents 장표'!A35,'X contents'!AS:AS,0),MATCH('X contents 장표'!$I$1,'X contents'!$1:$1,0)),"")</f>
        <v/>
      </c>
      <c r="J35" s="341" t="str">
        <f>IFERROR(INDEX('X contents'!$A$1:$AN$50,MATCH('X contents 장표'!A35,'X contents'!AS:AS,0),MATCH('X contents 장표'!$J$1,'X contents'!$1:$1,0)),"")</f>
        <v/>
      </c>
    </row>
    <row r="36" spans="1:10">
      <c r="A36" s="335">
        <v>35</v>
      </c>
      <c r="B36" s="343" t="str">
        <f>IFERROR(INDEX('X contents'!AR:AR,MATCH(A36,'X contents'!AS:AS,0)),"")</f>
        <v/>
      </c>
      <c r="C36" s="344" t="str">
        <f>IFERROR(INDEX('X contents'!AR:AR,MATCH('X contents 추가정보'!A36,'X contents'!AS:AS,0)),"")</f>
        <v/>
      </c>
      <c r="D36" s="336" t="str">
        <f>IF(B36="","",INDEX('X contents 추가정보'!C:C,MATCH(A36,'X contents 추가정보'!A:A,0),0))</f>
        <v/>
      </c>
      <c r="E36" s="342" t="str">
        <f>IF(B36="","",INDEX('X contents 추가정보'!D:D,MATCH(A36,'X contents 추가정보'!A:A,0),0))</f>
        <v/>
      </c>
      <c r="F36" s="337" t="str">
        <f>IF(B36="","",INDEX('X contents 추가정보'!E:E,MATCH(A36,'X contents 추가정보'!A:A,0),0))</f>
        <v/>
      </c>
      <c r="G36" s="338" t="str">
        <f>IF(B36="","",INDEX('X contents 추가정보'!F:F,MATCH(A36,'X contents 추가정보'!A:A,0),0))</f>
        <v/>
      </c>
      <c r="H36" s="339" t="str">
        <f>IFERROR(INDEX('X contents'!$A$1:$AN$50,MATCH('X contents 장표'!A36,'X contents'!AS:AS,0),MATCH('X contents 장표'!$H$1,'X contents'!$1:$1,0)),"")</f>
        <v/>
      </c>
      <c r="I36" s="340" t="str">
        <f>IFERROR(INDEX('X contents'!$A$1:$AN$50,MATCH('X contents 장표'!A36,'X contents'!AS:AS,0),MATCH('X contents 장표'!$I$1,'X contents'!$1:$1,0)),"")</f>
        <v/>
      </c>
      <c r="J36" s="341" t="str">
        <f>IFERROR(INDEX('X contents'!$A$1:$AN$50,MATCH('X contents 장표'!A36,'X contents'!AS:AS,0),MATCH('X contents 장표'!$J$1,'X contents'!$1:$1,0)),"")</f>
        <v/>
      </c>
    </row>
    <row r="37" spans="1:10">
      <c r="A37" s="335">
        <v>36</v>
      </c>
      <c r="B37" s="343" t="str">
        <f>IFERROR(INDEX('X contents'!AR:AR,MATCH(A37,'X contents'!AS:AS,0)),"")</f>
        <v/>
      </c>
      <c r="C37" s="344" t="str">
        <f>IFERROR(INDEX('X contents'!AR:AR,MATCH('X contents 추가정보'!A37,'X contents'!AS:AS,0)),"")</f>
        <v/>
      </c>
      <c r="D37" s="336" t="str">
        <f>IF(B37="","",INDEX('X contents 추가정보'!C:C,MATCH(A37,'X contents 추가정보'!A:A,0),0))</f>
        <v/>
      </c>
      <c r="E37" s="342" t="str">
        <f>IF(B37="","",INDEX('X contents 추가정보'!D:D,MATCH(A37,'X contents 추가정보'!A:A,0),0))</f>
        <v/>
      </c>
      <c r="F37" s="337" t="str">
        <f>IF(B37="","",INDEX('X contents 추가정보'!E:E,MATCH(A37,'X contents 추가정보'!A:A,0),0))</f>
        <v/>
      </c>
      <c r="G37" s="338" t="str">
        <f>IF(B37="","",INDEX('X contents 추가정보'!F:F,MATCH(A37,'X contents 추가정보'!A:A,0),0))</f>
        <v/>
      </c>
      <c r="H37" s="339" t="str">
        <f>IFERROR(INDEX('X contents'!$A$1:$AN$50,MATCH('X contents 장표'!A37,'X contents'!AS:AS,0),MATCH('X contents 장표'!$H$1,'X contents'!$1:$1,0)),"")</f>
        <v/>
      </c>
      <c r="I37" s="340" t="str">
        <f>IFERROR(INDEX('X contents'!$A$1:$AN$50,MATCH('X contents 장표'!A37,'X contents'!AS:AS,0),MATCH('X contents 장표'!$I$1,'X contents'!$1:$1,0)),"")</f>
        <v/>
      </c>
      <c r="J37" s="341" t="str">
        <f>IFERROR(INDEX('X contents'!$A$1:$AN$50,MATCH('X contents 장표'!A37,'X contents'!AS:AS,0),MATCH('X contents 장표'!$J$1,'X contents'!$1:$1,0)),"")</f>
        <v/>
      </c>
    </row>
    <row r="38" spans="1:10">
      <c r="A38" s="335">
        <v>37</v>
      </c>
      <c r="B38" s="343" t="str">
        <f>IFERROR(INDEX('X contents'!AR:AR,MATCH(A38,'X contents'!AS:AS,0)),"")</f>
        <v/>
      </c>
      <c r="C38" s="344" t="str">
        <f>IFERROR(INDEX('X contents'!AR:AR,MATCH('X contents 추가정보'!A38,'X contents'!AS:AS,0)),"")</f>
        <v/>
      </c>
      <c r="D38" s="336" t="str">
        <f>IF(B38="","",INDEX('X contents 추가정보'!C:C,MATCH(A38,'X contents 추가정보'!A:A,0),0))</f>
        <v/>
      </c>
      <c r="E38" s="342" t="str">
        <f>IF(B38="","",INDEX('X contents 추가정보'!D:D,MATCH(A38,'X contents 추가정보'!A:A,0),0))</f>
        <v/>
      </c>
      <c r="F38" s="337" t="str">
        <f>IF(B38="","",INDEX('X contents 추가정보'!E:E,MATCH(A38,'X contents 추가정보'!A:A,0),0))</f>
        <v/>
      </c>
      <c r="G38" s="338" t="str">
        <f>IF(B38="","",INDEX('X contents 추가정보'!F:F,MATCH(A38,'X contents 추가정보'!A:A,0),0))</f>
        <v/>
      </c>
      <c r="H38" s="339" t="str">
        <f>IFERROR(INDEX('X contents'!$A$1:$AN$50,MATCH('X contents 장표'!A38,'X contents'!AS:AS,0),MATCH('X contents 장표'!$H$1,'X contents'!$1:$1,0)),"")</f>
        <v/>
      </c>
      <c r="I38" s="340" t="str">
        <f>IFERROR(INDEX('X contents'!$A$1:$AN$50,MATCH('X contents 장표'!A38,'X contents'!AS:AS,0),MATCH('X contents 장표'!$I$1,'X contents'!$1:$1,0)),"")</f>
        <v/>
      </c>
      <c r="J38" s="341" t="str">
        <f>IFERROR(INDEX('X contents'!$A$1:$AN$50,MATCH('X contents 장표'!A38,'X contents'!AS:AS,0),MATCH('X contents 장표'!$J$1,'X contents'!$1:$1,0)),"")</f>
        <v/>
      </c>
    </row>
    <row r="39" spans="1:10">
      <c r="A39" s="335">
        <v>38</v>
      </c>
      <c r="B39" s="343" t="str">
        <f>IFERROR(INDEX('X contents'!AR:AR,MATCH(A39,'X contents'!AS:AS,0)),"")</f>
        <v/>
      </c>
      <c r="C39" s="344" t="str">
        <f>IFERROR(INDEX('X contents'!AR:AR,MATCH('X contents 추가정보'!A39,'X contents'!AS:AS,0)),"")</f>
        <v/>
      </c>
      <c r="D39" s="336" t="str">
        <f>IF(B39="","",INDEX('X contents 추가정보'!C:C,MATCH(A39,'X contents 추가정보'!A:A,0),0))</f>
        <v/>
      </c>
      <c r="E39" s="342" t="str">
        <f>IF(B39="","",INDEX('X contents 추가정보'!D:D,MATCH(A39,'X contents 추가정보'!A:A,0),0))</f>
        <v/>
      </c>
      <c r="F39" s="337" t="str">
        <f>IF(B39="","",INDEX('X contents 추가정보'!E:E,MATCH(A39,'X contents 추가정보'!A:A,0),0))</f>
        <v/>
      </c>
      <c r="G39" s="338" t="str">
        <f>IF(B39="","",INDEX('X contents 추가정보'!F:F,MATCH(A39,'X contents 추가정보'!A:A,0),0))</f>
        <v/>
      </c>
      <c r="H39" s="339" t="str">
        <f>IFERROR(INDEX('X contents'!$A$1:$AN$50,MATCH('X contents 장표'!A39,'X contents'!AS:AS,0),MATCH('X contents 장표'!$H$1,'X contents'!$1:$1,0)),"")</f>
        <v/>
      </c>
      <c r="I39" s="340" t="str">
        <f>IFERROR(INDEX('X contents'!$A$1:$AN$50,MATCH('X contents 장표'!A39,'X contents'!AS:AS,0),MATCH('X contents 장표'!$I$1,'X contents'!$1:$1,0)),"")</f>
        <v/>
      </c>
      <c r="J39" s="341" t="str">
        <f>IFERROR(INDEX('X contents'!$A$1:$AN$50,MATCH('X contents 장표'!A39,'X contents'!AS:AS,0),MATCH('X contents 장표'!$J$1,'X contents'!$1:$1,0)),"")</f>
        <v/>
      </c>
    </row>
    <row r="40" spans="1:10">
      <c r="A40" s="335">
        <v>39</v>
      </c>
      <c r="B40" s="343" t="str">
        <f>IFERROR(INDEX('X contents'!AR:AR,MATCH(A40,'X contents'!AS:AS,0)),"")</f>
        <v/>
      </c>
      <c r="C40" s="344" t="str">
        <f>IFERROR(INDEX('X contents'!AR:AR,MATCH('X contents 추가정보'!A40,'X contents'!AS:AS,0)),"")</f>
        <v/>
      </c>
      <c r="D40" s="336" t="str">
        <f>IF(B40="","",INDEX('X contents 추가정보'!C:C,MATCH(A40,'X contents 추가정보'!A:A,0),0))</f>
        <v/>
      </c>
      <c r="E40" s="342" t="str">
        <f>IF(B40="","",INDEX('X contents 추가정보'!D:D,MATCH(A40,'X contents 추가정보'!A:A,0),0))</f>
        <v/>
      </c>
      <c r="F40" s="337" t="str">
        <f>IF(B40="","",INDEX('X contents 추가정보'!E:E,MATCH(A40,'X contents 추가정보'!A:A,0),0))</f>
        <v/>
      </c>
      <c r="G40" s="338" t="str">
        <f>IF(B40="","",INDEX('X contents 추가정보'!F:F,MATCH(A40,'X contents 추가정보'!A:A,0),0))</f>
        <v/>
      </c>
      <c r="H40" s="339" t="str">
        <f>IFERROR(INDEX('X contents'!$A$1:$AN$50,MATCH('X contents 장표'!A40,'X contents'!AS:AS,0),MATCH('X contents 장표'!$H$1,'X contents'!$1:$1,0)),"")</f>
        <v/>
      </c>
      <c r="I40" s="340" t="str">
        <f>IFERROR(INDEX('X contents'!$A$1:$AN$50,MATCH('X contents 장표'!A40,'X contents'!AS:AS,0),MATCH('X contents 장표'!$I$1,'X contents'!$1:$1,0)),"")</f>
        <v/>
      </c>
      <c r="J40" s="341" t="str">
        <f>IFERROR(INDEX('X contents'!$A$1:$AN$50,MATCH('X contents 장표'!A40,'X contents'!AS:AS,0),MATCH('X contents 장표'!$J$1,'X contents'!$1:$1,0)),"")</f>
        <v/>
      </c>
    </row>
    <row r="41" spans="1:10">
      <c r="A41" s="335">
        <v>40</v>
      </c>
      <c r="B41" s="343" t="str">
        <f>IFERROR(INDEX('X contents'!AR:AR,MATCH(A41,'X contents'!AS:AS,0)),"")</f>
        <v/>
      </c>
      <c r="C41" s="344" t="str">
        <f>IFERROR(INDEX('X contents'!AR:AR,MATCH('X contents 추가정보'!A41,'X contents'!AS:AS,0)),"")</f>
        <v/>
      </c>
      <c r="D41" s="336" t="str">
        <f>IF(B41="","",INDEX('X contents 추가정보'!C:C,MATCH(A41,'X contents 추가정보'!A:A,0),0))</f>
        <v/>
      </c>
      <c r="E41" s="342" t="str">
        <f>IF(B41="","",INDEX('X contents 추가정보'!D:D,MATCH(A41,'X contents 추가정보'!A:A,0),0))</f>
        <v/>
      </c>
      <c r="F41" s="337" t="str">
        <f>IF(B41="","",INDEX('X contents 추가정보'!E:E,MATCH(A41,'X contents 추가정보'!A:A,0),0))</f>
        <v/>
      </c>
      <c r="G41" s="338" t="str">
        <f>IF(B41="","",INDEX('X contents 추가정보'!F:F,MATCH(A41,'X contents 추가정보'!A:A,0),0))</f>
        <v/>
      </c>
      <c r="H41" s="339" t="str">
        <f>IFERROR(INDEX('X contents'!$A$1:$AN$50,MATCH('X contents 장표'!A41,'X contents'!AS:AS,0),MATCH('X contents 장표'!$H$1,'X contents'!$1:$1,0)),"")</f>
        <v/>
      </c>
      <c r="I41" s="340" t="str">
        <f>IFERROR(INDEX('X contents'!$A$1:$AN$50,MATCH('X contents 장표'!A41,'X contents'!AS:AS,0),MATCH('X contents 장표'!$I$1,'X contents'!$1:$1,0)),"")</f>
        <v/>
      </c>
      <c r="J41" s="341" t="str">
        <f>IFERROR(INDEX('X contents'!$A$1:$AN$50,MATCH('X contents 장표'!A41,'X contents'!AS:AS,0),MATCH('X contents 장표'!$J$1,'X contents'!$1:$1,0)),"")</f>
        <v/>
      </c>
    </row>
    <row r="42" spans="1:10">
      <c r="A42" s="335">
        <v>41</v>
      </c>
      <c r="B42" s="343" t="str">
        <f>IFERROR(INDEX('X contents'!AR:AR,MATCH(A42,'X contents'!AS:AS,0)),"")</f>
        <v/>
      </c>
      <c r="C42" s="344" t="str">
        <f>IFERROR(INDEX('X contents'!AR:AR,MATCH('X contents 추가정보'!A42,'X contents'!AS:AS,0)),"")</f>
        <v/>
      </c>
      <c r="D42" s="336" t="str">
        <f>IF(B42="","",INDEX('X contents 추가정보'!C:C,MATCH(A42,'X contents 추가정보'!A:A,0),0))</f>
        <v/>
      </c>
      <c r="E42" s="342" t="str">
        <f>IF(B42="","",INDEX('X contents 추가정보'!D:D,MATCH(A42,'X contents 추가정보'!A:A,0),0))</f>
        <v/>
      </c>
      <c r="F42" s="337" t="str">
        <f>IF(B42="","",INDEX('X contents 추가정보'!E:E,MATCH(A42,'X contents 추가정보'!A:A,0),0))</f>
        <v/>
      </c>
      <c r="G42" s="338" t="str">
        <f>IF(B42="","",INDEX('X contents 추가정보'!F:F,MATCH(A42,'X contents 추가정보'!A:A,0),0))</f>
        <v/>
      </c>
      <c r="H42" s="339" t="str">
        <f>IFERROR(INDEX('X contents'!$A$1:$AN$50,MATCH('X contents 장표'!A42,'X contents'!AS:AS,0),MATCH('X contents 장표'!$H$1,'X contents'!$1:$1,0)),"")</f>
        <v/>
      </c>
      <c r="I42" s="340" t="str">
        <f>IFERROR(INDEX('X contents'!$A$1:$AN$50,MATCH('X contents 장표'!A42,'X contents'!AS:AS,0),MATCH('X contents 장표'!$I$1,'X contents'!$1:$1,0)),"")</f>
        <v/>
      </c>
      <c r="J42" s="341" t="str">
        <f>IFERROR(INDEX('X contents'!$A$1:$AN$50,MATCH('X contents 장표'!A42,'X contents'!AS:AS,0),MATCH('X contents 장표'!$J$1,'X contents'!$1:$1,0)),"")</f>
        <v/>
      </c>
    </row>
    <row r="43" spans="1:10">
      <c r="A43" s="335">
        <v>42</v>
      </c>
      <c r="B43" s="343" t="str">
        <f>IFERROR(INDEX('X contents'!AR:AR,MATCH(A43,'X contents'!AS:AS,0)),"")</f>
        <v/>
      </c>
      <c r="C43" s="344" t="str">
        <f>IFERROR(INDEX('X contents'!AR:AR,MATCH('X contents 추가정보'!A43,'X contents'!AS:AS,0)),"")</f>
        <v/>
      </c>
      <c r="D43" s="336" t="str">
        <f>IF(B43="","",INDEX('X contents 추가정보'!C:C,MATCH(A43,'X contents 추가정보'!A:A,0),0))</f>
        <v/>
      </c>
      <c r="E43" s="342" t="str">
        <f>IF(B43="","",INDEX('X contents 추가정보'!D:D,MATCH(A43,'X contents 추가정보'!A:A,0),0))</f>
        <v/>
      </c>
      <c r="F43" s="337" t="str">
        <f>IF(B43="","",INDEX('X contents 추가정보'!E:E,MATCH(A43,'X contents 추가정보'!A:A,0),0))</f>
        <v/>
      </c>
      <c r="G43" s="338" t="str">
        <f>IF(B43="","",INDEX('X contents 추가정보'!F:F,MATCH(A43,'X contents 추가정보'!A:A,0),0))</f>
        <v/>
      </c>
      <c r="H43" s="339" t="str">
        <f>IFERROR(INDEX('X contents'!$A$1:$AN$50,MATCH('X contents 장표'!A43,'X contents'!AS:AS,0),MATCH('X contents 장표'!$H$1,'X contents'!$1:$1,0)),"")</f>
        <v/>
      </c>
      <c r="I43" s="340" t="str">
        <f>IFERROR(INDEX('X contents'!$A$1:$AN$50,MATCH('X contents 장표'!A43,'X contents'!AS:AS,0),MATCH('X contents 장표'!$I$1,'X contents'!$1:$1,0)),"")</f>
        <v/>
      </c>
      <c r="J43" s="341" t="str">
        <f>IFERROR(INDEX('X contents'!$A$1:$AN$50,MATCH('X contents 장표'!A43,'X contents'!AS:AS,0),MATCH('X contents 장표'!$J$1,'X contents'!$1:$1,0)),"")</f>
        <v/>
      </c>
    </row>
    <row r="44" spans="1:10">
      <c r="A44" s="335">
        <v>43</v>
      </c>
      <c r="B44" s="343" t="str">
        <f>IFERROR(INDEX('X contents'!AR:AR,MATCH(A44,'X contents'!AS:AS,0)),"")</f>
        <v/>
      </c>
      <c r="C44" s="344" t="str">
        <f>IFERROR(INDEX('X contents'!AR:AR,MATCH('X contents 추가정보'!A44,'X contents'!AS:AS,0)),"")</f>
        <v/>
      </c>
      <c r="D44" s="336" t="str">
        <f>IF(B44="","",INDEX('X contents 추가정보'!C:C,MATCH(A44,'X contents 추가정보'!A:A,0),0))</f>
        <v/>
      </c>
      <c r="E44" s="342" t="str">
        <f>IF(B44="","",INDEX('X contents 추가정보'!D:D,MATCH(A44,'X contents 추가정보'!A:A,0),0))</f>
        <v/>
      </c>
      <c r="F44" s="337" t="str">
        <f>IF(B44="","",INDEX('X contents 추가정보'!E:E,MATCH(A44,'X contents 추가정보'!A:A,0),0))</f>
        <v/>
      </c>
      <c r="G44" s="338" t="str">
        <f>IF(B44="","",INDEX('X contents 추가정보'!F:F,MATCH(A44,'X contents 추가정보'!A:A,0),0))</f>
        <v/>
      </c>
      <c r="H44" s="339" t="str">
        <f>IFERROR(INDEX('X contents'!$A$1:$AN$50,MATCH('X contents 장표'!A44,'X contents'!AS:AS,0),MATCH('X contents 장표'!$H$1,'X contents'!$1:$1,0)),"")</f>
        <v/>
      </c>
      <c r="I44" s="340" t="str">
        <f>IFERROR(INDEX('X contents'!$A$1:$AN$50,MATCH('X contents 장표'!A44,'X contents'!AS:AS,0),MATCH('X contents 장표'!$I$1,'X contents'!$1:$1,0)),"")</f>
        <v/>
      </c>
      <c r="J44" s="341" t="str">
        <f>IFERROR(INDEX('X contents'!$A$1:$AN$50,MATCH('X contents 장표'!A44,'X contents'!AS:AS,0),MATCH('X contents 장표'!$J$1,'X contents'!$1:$1,0)),"")</f>
        <v/>
      </c>
    </row>
    <row r="45" spans="1:10">
      <c r="A45" s="335">
        <v>44</v>
      </c>
      <c r="B45" s="343" t="str">
        <f>IFERROR(INDEX('X contents'!AR:AR,MATCH(A45,'X contents'!AS:AS,0)),"")</f>
        <v/>
      </c>
      <c r="C45" s="344" t="str">
        <f>IFERROR(INDEX('X contents'!AR:AR,MATCH('X contents 추가정보'!A45,'X contents'!AS:AS,0)),"")</f>
        <v/>
      </c>
      <c r="D45" s="336" t="str">
        <f>IF(B45="","",INDEX('X contents 추가정보'!C:C,MATCH(A45,'X contents 추가정보'!A:A,0),0))</f>
        <v/>
      </c>
      <c r="E45" s="342" t="str">
        <f>IF(B45="","",INDEX('X contents 추가정보'!D:D,MATCH(A45,'X contents 추가정보'!A:A,0),0))</f>
        <v/>
      </c>
      <c r="F45" s="337" t="str">
        <f>IF(B45="","",INDEX('X contents 추가정보'!E:E,MATCH(A45,'X contents 추가정보'!A:A,0),0))</f>
        <v/>
      </c>
      <c r="G45" s="338" t="str">
        <f>IF(B45="","",INDEX('X contents 추가정보'!F:F,MATCH(A45,'X contents 추가정보'!A:A,0),0))</f>
        <v/>
      </c>
      <c r="H45" s="339" t="str">
        <f>IFERROR(INDEX('X contents'!$A$1:$AN$50,MATCH('X contents 장표'!A45,'X contents'!AS:AS,0),MATCH('X contents 장표'!$H$1,'X contents'!$1:$1,0)),"")</f>
        <v/>
      </c>
      <c r="I45" s="340" t="str">
        <f>IFERROR(INDEX('X contents'!$A$1:$AN$50,MATCH('X contents 장표'!A45,'X contents'!AS:AS,0),MATCH('X contents 장표'!$I$1,'X contents'!$1:$1,0)),"")</f>
        <v/>
      </c>
      <c r="J45" s="341" t="str">
        <f>IFERROR(INDEX('X contents'!$A$1:$AN$50,MATCH('X contents 장표'!A45,'X contents'!AS:AS,0),MATCH('X contents 장표'!$J$1,'X contents'!$1:$1,0)),"")</f>
        <v/>
      </c>
    </row>
    <row r="46" spans="1:10">
      <c r="A46" s="335">
        <v>45</v>
      </c>
      <c r="B46" s="343" t="str">
        <f>IFERROR(INDEX('X contents'!AR:AR,MATCH(A46,'X contents'!AS:AS,0)),"")</f>
        <v/>
      </c>
      <c r="C46" s="344" t="str">
        <f>IFERROR(INDEX('X contents'!AR:AR,MATCH('X contents 추가정보'!A46,'X contents'!AS:AS,0)),"")</f>
        <v/>
      </c>
      <c r="D46" s="336" t="str">
        <f>IF(B46="","",INDEX('X contents 추가정보'!C:C,MATCH(A46,'X contents 추가정보'!A:A,0),0))</f>
        <v/>
      </c>
      <c r="E46" s="342" t="str">
        <f>IF(B46="","",INDEX('X contents 추가정보'!D:D,MATCH(A46,'X contents 추가정보'!A:A,0),0))</f>
        <v/>
      </c>
      <c r="F46" s="337" t="str">
        <f>IF(B46="","",INDEX('X contents 추가정보'!E:E,MATCH(A46,'X contents 추가정보'!A:A,0),0))</f>
        <v/>
      </c>
      <c r="G46" s="338" t="str">
        <f>IF(B46="","",INDEX('X contents 추가정보'!F:F,MATCH(A46,'X contents 추가정보'!A:A,0),0))</f>
        <v/>
      </c>
      <c r="H46" s="339" t="str">
        <f>IFERROR(INDEX('X contents'!$A$1:$AN$50,MATCH('X contents 장표'!A46,'X contents'!AS:AS,0),MATCH('X contents 장표'!$H$1,'X contents'!$1:$1,0)),"")</f>
        <v/>
      </c>
      <c r="I46" s="340" t="str">
        <f>IFERROR(INDEX('X contents'!$A$1:$AN$50,MATCH('X contents 장표'!A46,'X contents'!AS:AS,0),MATCH('X contents 장표'!$I$1,'X contents'!$1:$1,0)),"")</f>
        <v/>
      </c>
      <c r="J46" s="341" t="str">
        <f>IFERROR(INDEX('X contents'!$A$1:$AN$50,MATCH('X contents 장표'!A46,'X contents'!AS:AS,0),MATCH('X contents 장표'!$J$1,'X contents'!$1:$1,0)),"")</f>
        <v/>
      </c>
    </row>
    <row r="47" spans="1:10">
      <c r="A47" s="335">
        <v>46</v>
      </c>
      <c r="B47" s="343" t="str">
        <f>IFERROR(INDEX('X contents'!AR:AR,MATCH(A47,'X contents'!AS:AS,0)),"")</f>
        <v/>
      </c>
      <c r="C47" s="344" t="str">
        <f>IFERROR(INDEX('X contents'!AR:AR,MATCH('X contents 추가정보'!A47,'X contents'!AS:AS,0)),"")</f>
        <v/>
      </c>
      <c r="D47" s="336" t="str">
        <f>IF(B47="","",INDEX('X contents 추가정보'!C:C,MATCH(A47,'X contents 추가정보'!A:A,0),0))</f>
        <v/>
      </c>
      <c r="E47" s="342" t="str">
        <f>IF(B47="","",INDEX('X contents 추가정보'!D:D,MATCH(A47,'X contents 추가정보'!A:A,0),0))</f>
        <v/>
      </c>
      <c r="F47" s="337" t="str">
        <f>IF(B47="","",INDEX('X contents 추가정보'!E:E,MATCH(A47,'X contents 추가정보'!A:A,0),0))</f>
        <v/>
      </c>
      <c r="G47" s="338" t="str">
        <f>IF(B47="","",INDEX('X contents 추가정보'!F:F,MATCH(A47,'X contents 추가정보'!A:A,0),0))</f>
        <v/>
      </c>
      <c r="H47" s="339" t="str">
        <f>IFERROR(INDEX('X contents'!$A$1:$AN$50,MATCH('X contents 장표'!A47,'X contents'!AS:AS,0),MATCH('X contents 장표'!$H$1,'X contents'!$1:$1,0)),"")</f>
        <v/>
      </c>
      <c r="I47" s="340" t="str">
        <f>IFERROR(INDEX('X contents'!$A$1:$AN$50,MATCH('X contents 장표'!A47,'X contents'!AS:AS,0),MATCH('X contents 장표'!$I$1,'X contents'!$1:$1,0)),"")</f>
        <v/>
      </c>
      <c r="J47" s="341" t="str">
        <f>IFERROR(INDEX('X contents'!$A$1:$AN$50,MATCH('X contents 장표'!A47,'X contents'!AS:AS,0),MATCH('X contents 장표'!$J$1,'X contents'!$1:$1,0)),"")</f>
        <v/>
      </c>
    </row>
    <row r="48" spans="1:10">
      <c r="A48" s="335">
        <v>47</v>
      </c>
      <c r="B48" s="343" t="str">
        <f>IFERROR(INDEX('X contents'!AR:AR,MATCH(A48,'X contents'!AS:AS,0)),"")</f>
        <v/>
      </c>
      <c r="C48" s="344" t="str">
        <f>IFERROR(INDEX('X contents'!AR:AR,MATCH('X contents 추가정보'!A48,'X contents'!AS:AS,0)),"")</f>
        <v/>
      </c>
      <c r="D48" s="336" t="str">
        <f>IF(B48="","",INDEX('X contents 추가정보'!C:C,MATCH(A48,'X contents 추가정보'!A:A,0),0))</f>
        <v/>
      </c>
      <c r="E48" s="342" t="str">
        <f>IF(B48="","",INDEX('X contents 추가정보'!D:D,MATCH(A48,'X contents 추가정보'!A:A,0),0))</f>
        <v/>
      </c>
      <c r="F48" s="337" t="str">
        <f>IF(B48="","",INDEX('X contents 추가정보'!E:E,MATCH(A48,'X contents 추가정보'!A:A,0),0))</f>
        <v/>
      </c>
      <c r="G48" s="338" t="str">
        <f>IF(B48="","",INDEX('X contents 추가정보'!F:F,MATCH(A48,'X contents 추가정보'!A:A,0),0))</f>
        <v/>
      </c>
      <c r="H48" s="339" t="str">
        <f>IFERROR(INDEX('X contents'!$A$1:$AN$50,MATCH('X contents 장표'!A48,'X contents'!AS:AS,0),MATCH('X contents 장표'!$H$1,'X contents'!$1:$1,0)),"")</f>
        <v/>
      </c>
      <c r="I48" s="340" t="str">
        <f>IFERROR(INDEX('X contents'!$A$1:$AN$50,MATCH('X contents 장표'!A48,'X contents'!AS:AS,0),MATCH('X contents 장표'!$I$1,'X contents'!$1:$1,0)),"")</f>
        <v/>
      </c>
      <c r="J48" s="341" t="str">
        <f>IFERROR(INDEX('X contents'!$A$1:$AN$50,MATCH('X contents 장표'!A48,'X contents'!AS:AS,0),MATCH('X contents 장표'!$J$1,'X contents'!$1:$1,0)),"")</f>
        <v/>
      </c>
    </row>
    <row r="49" spans="1:10">
      <c r="A49" s="335">
        <v>48</v>
      </c>
      <c r="B49" s="343" t="str">
        <f>IFERROR(INDEX('X contents'!AR:AR,MATCH(A49,'X contents'!AS:AS,0)),"")</f>
        <v/>
      </c>
      <c r="C49" s="344" t="str">
        <f>IFERROR(INDEX('X contents'!AR:AR,MATCH('X contents 추가정보'!A49,'X contents'!AS:AS,0)),"")</f>
        <v/>
      </c>
      <c r="D49" s="336" t="str">
        <f>IF(B49="","",INDEX('X contents 추가정보'!C:C,MATCH(A49,'X contents 추가정보'!A:A,0),0))</f>
        <v/>
      </c>
      <c r="E49" s="342" t="str">
        <f>IF(B49="","",INDEX('X contents 추가정보'!D:D,MATCH(A49,'X contents 추가정보'!A:A,0),0))</f>
        <v/>
      </c>
      <c r="F49" s="337" t="str">
        <f>IF(B49="","",INDEX('X contents 추가정보'!E:E,MATCH(A49,'X contents 추가정보'!A:A,0),0))</f>
        <v/>
      </c>
      <c r="G49" s="338" t="str">
        <f>IF(B49="","",INDEX('X contents 추가정보'!F:F,MATCH(A49,'X contents 추가정보'!A:A,0),0))</f>
        <v/>
      </c>
      <c r="H49" s="339" t="str">
        <f>IFERROR(INDEX('X contents'!$A$1:$AN$50,MATCH('X contents 장표'!A49,'X contents'!AS:AS,0),MATCH('X contents 장표'!$H$1,'X contents'!$1:$1,0)),"")</f>
        <v/>
      </c>
      <c r="I49" s="340" t="str">
        <f>IFERROR(INDEX('X contents'!$A$1:$AN$50,MATCH('X contents 장표'!A49,'X contents'!AS:AS,0),MATCH('X contents 장표'!$I$1,'X contents'!$1:$1,0)),"")</f>
        <v/>
      </c>
      <c r="J49" s="341" t="str">
        <f>IFERROR(INDEX('X contents'!$A$1:$AN$50,MATCH('X contents 장표'!A49,'X contents'!AS:AS,0),MATCH('X contents 장표'!$J$1,'X contents'!$1:$1,0)),"")</f>
        <v/>
      </c>
    </row>
    <row r="50" spans="1:10">
      <c r="A50" s="335">
        <v>49</v>
      </c>
      <c r="B50" s="343" t="str">
        <f>IFERROR(INDEX('X contents'!AR:AR,MATCH(A50,'X contents'!AS:AS,0)),"")</f>
        <v/>
      </c>
      <c r="C50" s="344" t="str">
        <f>IFERROR(INDEX('X contents'!AR:AR,MATCH('X contents 추가정보'!A50,'X contents'!AS:AS,0)),"")</f>
        <v/>
      </c>
      <c r="D50" s="336" t="str">
        <f>IF(B50="","",INDEX('X contents 추가정보'!C:C,MATCH(A50,'X contents 추가정보'!A:A,0),0))</f>
        <v/>
      </c>
      <c r="E50" s="342" t="str">
        <f>IF(B50="","",INDEX('X contents 추가정보'!D:D,MATCH(A50,'X contents 추가정보'!A:A,0),0))</f>
        <v/>
      </c>
      <c r="F50" s="337" t="str">
        <f>IF(B50="","",INDEX('X contents 추가정보'!E:E,MATCH(A50,'X contents 추가정보'!A:A,0),0))</f>
        <v/>
      </c>
      <c r="G50" s="338" t="str">
        <f>IF(B50="","",INDEX('X contents 추가정보'!F:F,MATCH(A50,'X contents 추가정보'!A:A,0),0))</f>
        <v/>
      </c>
      <c r="H50" s="339" t="str">
        <f>IFERROR(INDEX('X contents'!$A$1:$AN$50,MATCH('X contents 장표'!A50,'X contents'!AS:AS,0),MATCH('X contents 장표'!$H$1,'X contents'!$1:$1,0)),"")</f>
        <v/>
      </c>
      <c r="I50" s="340" t="str">
        <f>IFERROR(INDEX('X contents'!$A$1:$AN$50,MATCH('X contents 장표'!A50,'X contents'!AS:AS,0),MATCH('X contents 장표'!$I$1,'X contents'!$1:$1,0)),"")</f>
        <v/>
      </c>
      <c r="J50" s="341" t="str">
        <f>IFERROR(INDEX('X contents'!$A$1:$AN$50,MATCH('X contents 장표'!A50,'X contents'!AS:AS,0),MATCH('X contents 장표'!$J$1,'X contents'!$1:$1,0)),"")</f>
        <v/>
      </c>
    </row>
  </sheetData>
  <mergeCells count="2">
    <mergeCell ref="E1:F1"/>
    <mergeCell ref="B1:C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23</vt:i4>
      </vt:variant>
    </vt:vector>
  </HeadingPairs>
  <TitlesOfParts>
    <vt:vector size="23" baseType="lpstr">
      <vt:lpstr>3p</vt:lpstr>
      <vt:lpstr>5p</vt:lpstr>
      <vt:lpstr>followers</vt:lpstr>
      <vt:lpstr>6p</vt:lpstr>
      <vt:lpstr>모바일 PV 월별 비교</vt:lpstr>
      <vt:lpstr>PC PV 월별 비교</vt:lpstr>
      <vt:lpstr>월간비교</vt:lpstr>
      <vt:lpstr>visitors</vt:lpstr>
      <vt:lpstr>지역 data</vt:lpstr>
      <vt:lpstr>Competitors</vt:lpstr>
      <vt:lpstr>contents</vt:lpstr>
      <vt:lpstr>contents 추가정보</vt:lpstr>
      <vt:lpstr>8p</vt:lpstr>
      <vt:lpstr>contents(daily)</vt:lpstr>
      <vt:lpstr>노출,참여 추이</vt:lpstr>
      <vt:lpstr>Visitor Demographic</vt:lpstr>
      <vt:lpstr>영상 콘텐츠 지표</vt:lpstr>
      <vt:lpstr>일일 업로드 현황</vt:lpstr>
      <vt:lpstr>Follower Ad data</vt:lpstr>
      <vt:lpstr>Follower Ad</vt:lpstr>
      <vt:lpstr>X contents</vt:lpstr>
      <vt:lpstr>X contents 추가정보</vt:lpstr>
      <vt:lpstr>X contents 장표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Joon Young Lee</cp:lastModifiedBy>
  <dcterms:created xsi:type="dcterms:W3CDTF">2023-04-11T07:05:47Z</dcterms:created>
  <dcterms:modified xsi:type="dcterms:W3CDTF">2024-04-09T09:49:00Z</dcterms:modified>
</cp:coreProperties>
</file>