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현재_통합_문서"/>
  <mc:AlternateContent xmlns:mc="http://schemas.openxmlformats.org/markup-compatibility/2006">
    <mc:Choice Requires="x15">
      <x15ac:absPath xmlns:x15ac="http://schemas.microsoft.com/office/spreadsheetml/2010/11/ac" url="C:\Users\kyabu\Desktop\Desktop\PrainGlobal\PrainReports\SKhynix\9월\"/>
    </mc:Choice>
  </mc:AlternateContent>
  <xr:revisionPtr revIDLastSave="0" documentId="13_ncr:1_{92516496-36A4-4FD4-99B0-EAD513E593A7}" xr6:coauthVersionLast="47" xr6:coauthVersionMax="47" xr10:uidLastSave="{00000000-0000-0000-0000-000000000000}"/>
  <bookViews>
    <workbookView xWindow="-120" yWindow="-120" windowWidth="57840" windowHeight="15720" tabRatio="836" activeTab="14" xr2:uid="{00000000-000D-0000-FFFF-FFFF00000000}"/>
  </bookViews>
  <sheets>
    <sheet name="월간 HL" sheetId="1" r:id="rId1"/>
    <sheet name="일일 팔로워" sheetId="3" r:id="rId2"/>
    <sheet name="followers" sheetId="2" r:id="rId3"/>
    <sheet name="모바일 PV 월별 비교" sheetId="14" state="hidden" r:id="rId4"/>
    <sheet name="PC PV 월별 비교" sheetId="15" state="hidden" r:id="rId5"/>
    <sheet name="visitors" sheetId="6" r:id="rId6"/>
    <sheet name="지역 data" sheetId="24" r:id="rId7"/>
    <sheet name="Competitors" sheetId="30" r:id="rId8"/>
    <sheet name="Follower Ad data" sheetId="26" r:id="rId9"/>
    <sheet name="Follower Ad" sheetId="25" r:id="rId10"/>
    <sheet name="PC 모바일 비교" sheetId="4" r:id="rId11"/>
    <sheet name="월간비교" sheetId="16" r:id="rId12"/>
    <sheet name="Visitor Demographic" sheetId="18" r:id="rId13"/>
    <sheet name="contents" sheetId="5" r:id="rId14"/>
    <sheet name="contents 추가정보" sheetId="23" r:id="rId15"/>
    <sheet name="contents 장표" sheetId="7" r:id="rId16"/>
    <sheet name="월간 Top 집계" sheetId="32" r:id="rId17"/>
    <sheet name="contents(daily)" sheetId="8" r:id="rId18"/>
    <sheet name="영상 콘텐츠 지표" sheetId="19" state="hidden" r:id="rId19"/>
    <sheet name="노출,참여 추이" sheetId="17" r:id="rId20"/>
    <sheet name="일일 업로드 현황" sheetId="20" r:id="rId21"/>
    <sheet name="X" sheetId="27" state="hidden" r:id="rId22"/>
    <sheet name="X 추가정보" sheetId="28" state="hidden" r:id="rId23"/>
    <sheet name="X 장표" sheetId="29" state="hidden" r:id="rId24"/>
  </sheets>
  <definedNames>
    <definedName name="_xlnm._FilterDatabase" localSheetId="13" hidden="1">contents!$A$1:$Z$48</definedName>
    <definedName name="_xlnm._FilterDatabase" localSheetId="15" hidden="1">'contents 장표'!$B$6:$P$50</definedName>
    <definedName name="_xlnm._FilterDatabase" localSheetId="14" hidden="1">'contents 추가정보'!$A$1:$H$74</definedName>
    <definedName name="contents_raw">contents!$A$1:$BB$80</definedName>
    <definedName name="visitor">visitors!$A$1:$Y$32</definedName>
    <definedName name="Yearly_PV">'PC 모바일 비교'!$B$50:$D$102</definedName>
    <definedName name="장표기준">'월간 Top 집계'!$AG$23:$AG$26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6" i="4" l="1"/>
  <c r="C46" i="4"/>
  <c r="U5" i="4"/>
  <c r="U4" i="4"/>
  <c r="U2" i="4"/>
  <c r="C12" i="4" a="1"/>
  <c r="C12" i="4" s="1"/>
  <c r="C13" i="4" a="1"/>
  <c r="C13" i="4" s="1"/>
  <c r="C14" i="4" a="1"/>
  <c r="C14" i="4" s="1"/>
  <c r="C15" i="4" a="1"/>
  <c r="C15" i="4" s="1"/>
  <c r="C16" i="4" a="1"/>
  <c r="C16" i="4" s="1"/>
  <c r="C17" i="4" a="1"/>
  <c r="C17" i="4" s="1"/>
  <c r="C18" i="4" a="1"/>
  <c r="C18" i="4" s="1"/>
  <c r="C19" i="4" a="1"/>
  <c r="C19" i="4" s="1"/>
  <c r="C20" i="4" a="1"/>
  <c r="C20" i="4" s="1"/>
  <c r="C21" i="4" a="1"/>
  <c r="C21" i="4" s="1"/>
  <c r="C22" i="4" a="1"/>
  <c r="C22" i="4" s="1"/>
  <c r="C23" i="4" a="1"/>
  <c r="C23" i="4" s="1"/>
  <c r="C24" i="4" a="1"/>
  <c r="C24" i="4" s="1"/>
  <c r="C25" i="4" a="1"/>
  <c r="C25" i="4" s="1"/>
  <c r="C26" i="4" a="1"/>
  <c r="C26" i="4" s="1"/>
  <c r="C27" i="4" a="1"/>
  <c r="C27" i="4" s="1"/>
  <c r="C28" i="4" a="1"/>
  <c r="C28" i="4" s="1"/>
  <c r="C29" i="4" a="1"/>
  <c r="C29" i="4" s="1"/>
  <c r="C30" i="4" a="1"/>
  <c r="C30" i="4" s="1"/>
  <c r="C31" i="4" a="1"/>
  <c r="C31" i="4" s="1"/>
  <c r="C32" i="4" a="1"/>
  <c r="C32" i="4" s="1"/>
  <c r="C33" i="4" a="1"/>
  <c r="C33" i="4" s="1"/>
  <c r="C34" i="4" a="1"/>
  <c r="C34" i="4" s="1"/>
  <c r="C35" i="4" a="1"/>
  <c r="C35" i="4" s="1"/>
  <c r="C36" i="4" a="1"/>
  <c r="C36" i="4" s="1"/>
  <c r="C37" i="4" a="1"/>
  <c r="C37" i="4" s="1"/>
  <c r="C38" i="4" a="1"/>
  <c r="C38" i="4" s="1"/>
  <c r="C39" i="4" a="1"/>
  <c r="C39" i="4" s="1"/>
  <c r="C40" i="4" a="1"/>
  <c r="C40" i="4" s="1"/>
  <c r="C41" i="4" a="1"/>
  <c r="C41" i="4" s="1"/>
  <c r="C11" i="4" a="1"/>
  <c r="C11" i="4" s="1"/>
  <c r="A18" i="30"/>
  <c r="A13" i="3"/>
  <c r="A19" i="3" s="1"/>
  <c r="A14" i="3"/>
  <c r="A15" i="3"/>
  <c r="A16" i="3"/>
  <c r="A17" i="3"/>
  <c r="A18" i="3"/>
  <c r="A20" i="3"/>
  <c r="A21" i="3"/>
  <c r="A22" i="3"/>
  <c r="A23" i="3"/>
  <c r="A24" i="3"/>
  <c r="A25" i="3"/>
  <c r="A27" i="3"/>
  <c r="A28" i="3"/>
  <c r="A29" i="3"/>
  <c r="A30" i="3"/>
  <c r="A31" i="3"/>
  <c r="A32" i="3"/>
  <c r="A34" i="3"/>
  <c r="A35" i="3"/>
  <c r="A36" i="3"/>
  <c r="A37" i="3"/>
  <c r="A38" i="3"/>
  <c r="A39" i="3"/>
  <c r="A41" i="3"/>
  <c r="A12" i="3"/>
  <c r="J26" i="17" a="1"/>
  <c r="J26" i="17" s="1"/>
  <c r="K26" i="17" a="1"/>
  <c r="K26" i="17" s="1"/>
  <c r="J27" i="17" a="1"/>
  <c r="J27" i="17" s="1"/>
  <c r="K27" i="17" a="1"/>
  <c r="K27" i="17" s="1"/>
  <c r="J28" i="17" a="1"/>
  <c r="J28" i="17" s="1"/>
  <c r="K28" i="17" a="1"/>
  <c r="K28" i="17" s="1"/>
  <c r="J29" i="17" a="1"/>
  <c r="J29" i="17" s="1"/>
  <c r="K29" i="17" a="1"/>
  <c r="K29" i="17" s="1"/>
  <c r="J30" i="17" a="1"/>
  <c r="J30" i="17" s="1"/>
  <c r="K30" i="17" a="1"/>
  <c r="K30" i="17" s="1"/>
  <c r="J31" i="17" a="1"/>
  <c r="J31" i="17"/>
  <c r="K31" i="17" a="1"/>
  <c r="K31" i="17" s="1"/>
  <c r="J32" i="17" a="1"/>
  <c r="J32" i="17" s="1"/>
  <c r="K32" i="17" a="1"/>
  <c r="K32" i="17" s="1"/>
  <c r="J33" i="17" a="1"/>
  <c r="J33" i="17"/>
  <c r="K33" i="17" a="1"/>
  <c r="K33" i="17" s="1"/>
  <c r="J34" i="17" a="1"/>
  <c r="J34" i="17" s="1"/>
  <c r="K34" i="17" a="1"/>
  <c r="K34" i="17" s="1"/>
  <c r="J35" i="17" a="1"/>
  <c r="J35" i="17" s="1"/>
  <c r="K35" i="17" a="1"/>
  <c r="K35" i="17" s="1"/>
  <c r="J36" i="17" a="1"/>
  <c r="J36" i="17"/>
  <c r="K36" i="17" a="1"/>
  <c r="K36" i="17" s="1"/>
  <c r="J37" i="17" a="1"/>
  <c r="J37" i="17" s="1"/>
  <c r="K37" i="17" a="1"/>
  <c r="K37" i="17" s="1"/>
  <c r="J38" i="17" a="1"/>
  <c r="J38" i="17" s="1"/>
  <c r="K38" i="17" a="1"/>
  <c r="K38" i="17" s="1"/>
  <c r="J39" i="17" a="1"/>
  <c r="J39" i="17" s="1"/>
  <c r="K39" i="17" a="1"/>
  <c r="K39" i="17" s="1"/>
  <c r="J40" i="17" a="1"/>
  <c r="J40" i="17" s="1"/>
  <c r="K40" i="17" a="1"/>
  <c r="K40" i="17" s="1"/>
  <c r="K2" i="17"/>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11" i="3"/>
  <c r="A26" i="3" l="1"/>
  <c r="A40" i="3" s="1"/>
  <c r="A33" i="3"/>
  <c r="AE4" i="5"/>
  <c r="AE5" i="5"/>
  <c r="AE6" i="5"/>
  <c r="AE7" i="5"/>
  <c r="AE8" i="5"/>
  <c r="AE9" i="5"/>
  <c r="AE10" i="5"/>
  <c r="AE11" i="5"/>
  <c r="AE12" i="5"/>
  <c r="AE13" i="5"/>
  <c r="AE14" i="5"/>
  <c r="AE15" i="5"/>
  <c r="AE16" i="5"/>
  <c r="AE17" i="5"/>
  <c r="AE18" i="5"/>
  <c r="AE19" i="5"/>
  <c r="AE20" i="5"/>
  <c r="AE21" i="5"/>
  <c r="AE22" i="5"/>
  <c r="AE23" i="5"/>
  <c r="AE24" i="5"/>
  <c r="AE25" i="5"/>
  <c r="AE26" i="5"/>
  <c r="AE27" i="5"/>
  <c r="AE28" i="5"/>
  <c r="AE29" i="5"/>
  <c r="AE30" i="5"/>
  <c r="AE31" i="5"/>
  <c r="AE32" i="5"/>
  <c r="AE33" i="5"/>
  <c r="AE34" i="5"/>
  <c r="AE35" i="5"/>
  <c r="AE36" i="5"/>
  <c r="AE37" i="5"/>
  <c r="AE38" i="5"/>
  <c r="AE39" i="5"/>
  <c r="AE40" i="5"/>
  <c r="AE41" i="5"/>
  <c r="AE42" i="5"/>
  <c r="AE43" i="5"/>
  <c r="AE44" i="5"/>
  <c r="AE45" i="5"/>
  <c r="AE46" i="5"/>
  <c r="AE47" i="5"/>
  <c r="AE48" i="5"/>
  <c r="AE49" i="5"/>
  <c r="AE50" i="5"/>
  <c r="AE51" i="5"/>
  <c r="AE52" i="5"/>
  <c r="AE53" i="5"/>
  <c r="AE54" i="5"/>
  <c r="AE55" i="5"/>
  <c r="AE56" i="5"/>
  <c r="AE57" i="5"/>
  <c r="AE58" i="5"/>
  <c r="AE59" i="5"/>
  <c r="AE60" i="5"/>
  <c r="AE61" i="5"/>
  <c r="AE62" i="5"/>
  <c r="AE63" i="5"/>
  <c r="AE64" i="5"/>
  <c r="AE65" i="5"/>
  <c r="AE66" i="5"/>
  <c r="AE67" i="5"/>
  <c r="AE68" i="5"/>
  <c r="AE69" i="5"/>
  <c r="AE70" i="5"/>
  <c r="AE71" i="5"/>
  <c r="AE72" i="5"/>
  <c r="AE73" i="5"/>
  <c r="AE74" i="5"/>
  <c r="AE75" i="5"/>
  <c r="AE76" i="5"/>
  <c r="AE77" i="5"/>
  <c r="AE78" i="5"/>
  <c r="AE79" i="5"/>
  <c r="AE80" i="5"/>
  <c r="AE3" i="5"/>
  <c r="AD4" i="5"/>
  <c r="AD5" i="5"/>
  <c r="AD6" i="5"/>
  <c r="AD7" i="5"/>
  <c r="AD8" i="5"/>
  <c r="AD9" i="5"/>
  <c r="AD10" i="5"/>
  <c r="AD11" i="5"/>
  <c r="AD12" i="5"/>
  <c r="AD13" i="5"/>
  <c r="AD14" i="5"/>
  <c r="AD15" i="5"/>
  <c r="AD16" i="5"/>
  <c r="AD17" i="5"/>
  <c r="AD18" i="5"/>
  <c r="AD19" i="5"/>
  <c r="AD20" i="5"/>
  <c r="AD21" i="5"/>
  <c r="AD22" i="5"/>
  <c r="AD23" i="5"/>
  <c r="AD24" i="5"/>
  <c r="AD25" i="5"/>
  <c r="AD26" i="5"/>
  <c r="AD27" i="5"/>
  <c r="AD28" i="5"/>
  <c r="AD29" i="5"/>
  <c r="AD30" i="5"/>
  <c r="AD31" i="5"/>
  <c r="AD32" i="5"/>
  <c r="AD33" i="5"/>
  <c r="AD34" i="5"/>
  <c r="AD35" i="5"/>
  <c r="AD36" i="5"/>
  <c r="AD37" i="5"/>
  <c r="AD38" i="5"/>
  <c r="AD39" i="5"/>
  <c r="AD40" i="5"/>
  <c r="AD41" i="5"/>
  <c r="AD42" i="5"/>
  <c r="AD43" i="5"/>
  <c r="AD44" i="5"/>
  <c r="AD45" i="5"/>
  <c r="AD46" i="5"/>
  <c r="AD47" i="5"/>
  <c r="AD48" i="5"/>
  <c r="AD49" i="5"/>
  <c r="AD50" i="5"/>
  <c r="AD51" i="5"/>
  <c r="AD52" i="5"/>
  <c r="AD53" i="5"/>
  <c r="AD54" i="5"/>
  <c r="AD55" i="5"/>
  <c r="AD56" i="5"/>
  <c r="AD57" i="5"/>
  <c r="AD58" i="5"/>
  <c r="AD59" i="5"/>
  <c r="AD60" i="5"/>
  <c r="AD61" i="5"/>
  <c r="AD62" i="5"/>
  <c r="AD63" i="5"/>
  <c r="AD64" i="5"/>
  <c r="AD65" i="5"/>
  <c r="AD66" i="5"/>
  <c r="AD67" i="5"/>
  <c r="AD68" i="5"/>
  <c r="AD69" i="5"/>
  <c r="AD70" i="5"/>
  <c r="AD71" i="5"/>
  <c r="AD72" i="5"/>
  <c r="AD73" i="5"/>
  <c r="AD74" i="5"/>
  <c r="AD75" i="5"/>
  <c r="AD76" i="5"/>
  <c r="AD77" i="5"/>
  <c r="AD78" i="5"/>
  <c r="AD79" i="5"/>
  <c r="AD80" i="5"/>
  <c r="AD3" i="5"/>
  <c r="M4" i="25"/>
  <c r="AI67" i="5" a="1"/>
  <c r="AI28" i="5" a="1"/>
  <c r="AH6" i="5" a="1"/>
  <c r="AH78" i="5" a="1"/>
  <c r="AI29" i="5" a="1"/>
  <c r="AH16" i="5" a="1"/>
  <c r="AI51" i="5" a="1"/>
  <c r="AH5" i="5" a="1"/>
  <c r="AH63" i="5" a="1"/>
  <c r="AH20" i="5" a="1"/>
  <c r="AH41" i="5" a="1"/>
  <c r="AH79" i="5" a="1"/>
  <c r="AI26" i="5" a="1"/>
  <c r="AH17" i="5" a="1"/>
  <c r="AH26" i="5" a="1"/>
  <c r="AH40" i="5" a="1"/>
  <c r="AI35" i="5" a="1"/>
  <c r="AI65" i="5" a="1"/>
  <c r="AH23" i="5" a="1"/>
  <c r="AI57" i="5" a="1"/>
  <c r="AH46" i="5" a="1"/>
  <c r="AI42" i="5" a="1"/>
  <c r="AI34" i="5" a="1"/>
  <c r="AH62" i="5" a="1"/>
  <c r="AI15" i="5" a="1"/>
  <c r="AI71" i="5" a="1"/>
  <c r="AI54" i="5" a="1"/>
  <c r="AH66" i="5" a="1"/>
  <c r="AH30" i="5" a="1"/>
  <c r="AH39" i="5" a="1"/>
  <c r="AH10" i="5" a="1"/>
  <c r="AI59" i="5" a="1"/>
  <c r="AH61" i="5" a="1"/>
  <c r="AI4" i="5" a="1"/>
  <c r="AH24" i="5" a="1"/>
  <c r="AI23" i="5" a="1"/>
  <c r="AI38" i="5" a="1"/>
  <c r="AH28" i="5" a="1"/>
  <c r="AH13" i="5" a="1"/>
  <c r="AH64" i="5" a="1"/>
  <c r="AH44" i="5" a="1"/>
  <c r="AI5" i="5" a="1"/>
  <c r="AI43" i="5" a="1"/>
  <c r="AH25" i="5" a="1"/>
  <c r="AI55" i="5" a="1"/>
  <c r="AI64" i="5" a="1"/>
  <c r="AH77" i="5" a="1"/>
  <c r="AH35" i="5" a="1"/>
  <c r="AH47" i="5" a="1"/>
  <c r="AI75" i="5" a="1"/>
  <c r="AH54" i="5" a="1"/>
  <c r="AH58" i="5" a="1"/>
  <c r="AI13" i="5" a="1"/>
  <c r="AI78" i="5" a="1"/>
  <c r="AI12" i="5" a="1"/>
  <c r="AI21" i="5" a="1"/>
  <c r="AH76" i="5" a="1"/>
  <c r="AI25" i="5" a="1"/>
  <c r="AI44" i="5" a="1"/>
  <c r="AH22" i="5" a="1"/>
  <c r="AH37" i="5" a="1"/>
  <c r="AH59" i="5" a="1"/>
  <c r="AI62" i="5" a="1"/>
  <c r="AI33" i="5" a="1"/>
  <c r="AI50" i="5" a="1"/>
  <c r="AH60" i="5" a="1"/>
  <c r="AH65" i="5" a="1"/>
  <c r="AH9" i="5" a="1"/>
  <c r="AH52" i="5" a="1"/>
  <c r="AH7" i="5" a="1"/>
  <c r="AI27" i="5" a="1"/>
  <c r="AI39" i="5" a="1"/>
  <c r="AH57" i="5" a="1"/>
  <c r="AH15" i="5" a="1"/>
  <c r="AI45" i="5" a="1"/>
  <c r="AH8" i="5" a="1"/>
  <c r="AH73" i="5" a="1"/>
  <c r="AI30" i="5" a="1"/>
  <c r="AH42" i="5" a="1"/>
  <c r="AH36" i="5" a="1"/>
  <c r="AI22" i="5" a="1"/>
  <c r="AH34" i="5" a="1"/>
  <c r="AI61" i="5" a="1"/>
  <c r="AH55" i="5" a="1"/>
  <c r="AI19" i="5" a="1"/>
  <c r="AI73" i="5" a="1"/>
  <c r="AI32" i="5" a="1"/>
  <c r="AI8" i="5" a="1"/>
  <c r="AI47" i="5" a="1"/>
  <c r="AH49" i="5" a="1"/>
  <c r="AI3" i="5" a="1"/>
  <c r="AI49" i="5" a="1"/>
  <c r="AH74" i="5" a="1"/>
  <c r="AH45" i="5" a="1"/>
  <c r="AI37" i="5" a="1"/>
  <c r="AH21" i="5" a="1"/>
  <c r="AH67" i="5" a="1"/>
  <c r="AH80" i="5" a="1"/>
  <c r="AI36" i="5" a="1"/>
  <c r="AH38" i="5" a="1"/>
  <c r="AH12" i="5" a="1"/>
  <c r="AI76" i="5" a="1"/>
  <c r="AI7" i="5" a="1"/>
  <c r="AH71" i="5" a="1"/>
  <c r="AH19" i="5" a="1"/>
  <c r="AI17" i="5" a="1"/>
  <c r="AH31" i="5" a="1"/>
  <c r="AI52" i="5" a="1"/>
  <c r="AH11" i="5" a="1"/>
  <c r="AI46" i="5" a="1"/>
  <c r="AH56" i="5" a="1"/>
  <c r="AI72" i="5" a="1"/>
  <c r="AH69" i="5" a="1"/>
  <c r="AI58" i="5" a="1"/>
  <c r="AH75" i="5" a="1"/>
  <c r="AI63" i="5" a="1"/>
  <c r="AH3" i="5" a="1"/>
  <c r="AI6" i="5" a="1"/>
  <c r="AH27" i="5" a="1"/>
  <c r="AI31" i="5" a="1"/>
  <c r="AI53" i="5" a="1"/>
  <c r="AH18" i="5" a="1"/>
  <c r="AH29" i="5" a="1"/>
  <c r="AH48" i="5" a="1"/>
  <c r="AI74" i="5" a="1"/>
  <c r="AH72" i="5" a="1"/>
  <c r="AI18" i="5" a="1"/>
  <c r="AI10" i="5" a="1"/>
  <c r="AI9" i="5" a="1"/>
  <c r="AH51" i="5" a="1"/>
  <c r="AI56" i="5" a="1"/>
  <c r="AI24" i="5" a="1"/>
  <c r="AH33" i="5" a="1"/>
  <c r="AI48" i="5" a="1"/>
  <c r="AI68" i="5" a="1"/>
  <c r="AI80" i="5" a="1"/>
  <c r="AH68" i="5" a="1"/>
  <c r="AI66" i="5" a="1"/>
  <c r="AH43" i="5" a="1"/>
  <c r="AI69" i="5" a="1"/>
  <c r="AH50" i="5" a="1"/>
  <c r="AH70" i="5" a="1"/>
  <c r="AH53" i="5" a="1"/>
  <c r="AH14" i="5" a="1"/>
  <c r="AI16" i="5" a="1"/>
  <c r="AI60" i="5" a="1"/>
  <c r="AI77" i="5" a="1"/>
  <c r="AI11" i="5" a="1"/>
  <c r="AI14" i="5" a="1"/>
  <c r="AI40" i="5" a="1"/>
  <c r="AI41" i="5" a="1"/>
  <c r="AH4" i="5" a="1"/>
  <c r="AI20" i="5" a="1"/>
  <c r="AI70" i="5" a="1"/>
  <c r="AI79" i="5" a="1"/>
  <c r="AH32" i="5" a="1"/>
  <c r="AH74" i="5" l="1"/>
  <c r="AI20" i="5"/>
  <c r="AH78" i="5"/>
  <c r="AH76" i="5"/>
  <c r="AH75" i="5"/>
  <c r="AH63" i="5"/>
  <c r="AH51" i="5"/>
  <c r="AH39" i="5"/>
  <c r="AH27" i="5"/>
  <c r="AH15" i="5"/>
  <c r="AI3" i="5"/>
  <c r="AI69" i="5"/>
  <c r="AI57" i="5"/>
  <c r="AI45" i="5"/>
  <c r="AI33" i="5"/>
  <c r="AI21" i="5"/>
  <c r="AI9" i="5"/>
  <c r="AH62" i="5"/>
  <c r="AI32" i="5"/>
  <c r="AH73" i="5"/>
  <c r="AH61" i="5"/>
  <c r="AH49" i="5"/>
  <c r="AH37" i="5"/>
  <c r="AH25" i="5"/>
  <c r="AH13" i="5"/>
  <c r="AI79" i="5"/>
  <c r="AI67" i="5"/>
  <c r="AI55" i="5"/>
  <c r="AI43" i="5"/>
  <c r="AI31" i="5"/>
  <c r="AI19" i="5"/>
  <c r="AI7" i="5"/>
  <c r="AH50" i="5"/>
  <c r="AH72" i="5"/>
  <c r="AH60" i="5"/>
  <c r="AH48" i="5"/>
  <c r="AH36" i="5"/>
  <c r="AH24" i="5"/>
  <c r="AH12" i="5"/>
  <c r="AI78" i="5"/>
  <c r="AI66" i="5"/>
  <c r="AI54" i="5"/>
  <c r="AI42" i="5"/>
  <c r="AI30" i="5"/>
  <c r="AI18" i="5"/>
  <c r="AI6" i="5"/>
  <c r="AH26" i="5"/>
  <c r="AH71" i="5"/>
  <c r="AH59" i="5"/>
  <c r="AH47" i="5"/>
  <c r="AH35" i="5"/>
  <c r="AH23" i="5"/>
  <c r="AH11" i="5"/>
  <c r="AI77" i="5"/>
  <c r="AI65" i="5"/>
  <c r="AI53" i="5"/>
  <c r="AI41" i="5"/>
  <c r="AI29" i="5"/>
  <c r="AI17" i="5"/>
  <c r="AI5" i="5"/>
  <c r="AI56" i="5"/>
  <c r="AH58" i="5"/>
  <c r="AH46" i="5"/>
  <c r="AH34" i="5"/>
  <c r="AH22" i="5"/>
  <c r="AH10" i="5"/>
  <c r="AI76" i="5"/>
  <c r="AI64" i="5"/>
  <c r="AI52" i="5"/>
  <c r="AI40" i="5"/>
  <c r="AI28" i="5"/>
  <c r="AI16" i="5"/>
  <c r="AI4" i="5"/>
  <c r="AH14" i="5"/>
  <c r="AH69" i="5"/>
  <c r="AH57" i="5"/>
  <c r="AH45" i="5"/>
  <c r="AH33" i="5"/>
  <c r="AH21" i="5"/>
  <c r="AH9" i="5"/>
  <c r="AI75" i="5"/>
  <c r="AI63" i="5"/>
  <c r="AI51" i="5"/>
  <c r="AI39" i="5"/>
  <c r="AI27" i="5"/>
  <c r="AI15" i="5"/>
  <c r="AI68" i="5"/>
  <c r="AH80" i="5"/>
  <c r="AH68" i="5"/>
  <c r="AH56" i="5"/>
  <c r="AH44" i="5"/>
  <c r="AH32" i="5"/>
  <c r="AH20" i="5"/>
  <c r="AH8" i="5"/>
  <c r="AI74" i="5"/>
  <c r="AI62" i="5"/>
  <c r="AI50" i="5"/>
  <c r="AI38" i="5"/>
  <c r="AI26" i="5"/>
  <c r="AI14" i="5"/>
  <c r="AI44" i="5"/>
  <c r="AH70" i="5"/>
  <c r="AH3" i="5"/>
  <c r="AH79" i="5"/>
  <c r="AH67" i="5"/>
  <c r="AH55" i="5"/>
  <c r="AH43" i="5"/>
  <c r="AH31" i="5"/>
  <c r="AH19" i="5"/>
  <c r="AH7" i="5"/>
  <c r="AI73" i="5"/>
  <c r="AI61" i="5"/>
  <c r="AI49" i="5"/>
  <c r="AI37" i="5"/>
  <c r="AI25" i="5"/>
  <c r="AI13" i="5"/>
  <c r="AH38" i="5"/>
  <c r="AH66" i="5"/>
  <c r="AH54" i="5"/>
  <c r="AH42" i="5"/>
  <c r="AH30" i="5"/>
  <c r="AH18" i="5"/>
  <c r="AH6" i="5"/>
  <c r="AI72" i="5"/>
  <c r="AI60" i="5"/>
  <c r="AI48" i="5"/>
  <c r="AI36" i="5"/>
  <c r="AI24" i="5"/>
  <c r="AI12" i="5"/>
  <c r="AI8" i="5"/>
  <c r="AH65" i="5"/>
  <c r="AH53" i="5"/>
  <c r="AH41" i="5"/>
  <c r="AH29" i="5"/>
  <c r="AH17" i="5"/>
  <c r="AH5" i="5"/>
  <c r="AI71" i="5"/>
  <c r="AI59" i="5"/>
  <c r="AI47" i="5"/>
  <c r="AI35" i="5"/>
  <c r="AI23" i="5"/>
  <c r="AI11" i="5"/>
  <c r="AI80" i="5"/>
  <c r="AH77" i="5"/>
  <c r="AH64" i="5"/>
  <c r="AH52" i="5"/>
  <c r="AH40" i="5"/>
  <c r="AH28" i="5"/>
  <c r="AH16" i="5"/>
  <c r="AH4" i="5"/>
  <c r="AI70" i="5"/>
  <c r="AI58" i="5"/>
  <c r="AI46" i="5"/>
  <c r="AI34" i="5"/>
  <c r="AI22" i="5"/>
  <c r="AI10" i="5"/>
  <c r="H71" i="4" a="1"/>
  <c r="H71" i="4" s="1"/>
  <c r="I70" i="4" l="1" a="1"/>
  <c r="I70" i="4" s="1"/>
  <c r="J70" i="4" a="1"/>
  <c r="J70" i="4" s="1"/>
  <c r="I71" i="4" a="1"/>
  <c r="I71" i="4" s="1"/>
  <c r="J71" i="4" a="1"/>
  <c r="J71" i="4" s="1"/>
  <c r="I72" i="4" a="1"/>
  <c r="I72" i="4" s="1"/>
  <c r="J72" i="4" a="1"/>
  <c r="J72" i="4" s="1"/>
  <c r="I73" i="4" a="1"/>
  <c r="I73" i="4" s="1"/>
  <c r="J73" i="4" a="1"/>
  <c r="J73" i="4" s="1"/>
  <c r="I74" i="4" a="1"/>
  <c r="I74" i="4" s="1"/>
  <c r="J74" i="4" a="1"/>
  <c r="J74" i="4" s="1"/>
  <c r="I75" i="4" a="1"/>
  <c r="I75" i="4" s="1"/>
  <c r="J75" i="4" a="1"/>
  <c r="J75" i="4" s="1"/>
  <c r="I76" i="4" a="1"/>
  <c r="I76" i="4" s="1"/>
  <c r="J76" i="4" a="1"/>
  <c r="J76" i="4" s="1"/>
  <c r="I77" i="4" a="1"/>
  <c r="I77" i="4" s="1"/>
  <c r="J77" i="4" a="1"/>
  <c r="J77" i="4" s="1"/>
  <c r="I78" i="4" a="1"/>
  <c r="I78" i="4" s="1"/>
  <c r="J78" i="4" a="1"/>
  <c r="J78" i="4" s="1"/>
  <c r="I79" i="4" a="1"/>
  <c r="I79" i="4" s="1"/>
  <c r="J79" i="4" a="1"/>
  <c r="J79" i="4" s="1"/>
  <c r="I80" i="4" a="1"/>
  <c r="I80" i="4" s="1"/>
  <c r="J80" i="4" a="1"/>
  <c r="J80" i="4" s="1"/>
  <c r="I81" i="4" a="1"/>
  <c r="I81" i="4" s="1"/>
  <c r="J81" i="4" a="1"/>
  <c r="J81" i="4" s="1"/>
  <c r="H72" i="4" a="1"/>
  <c r="H72" i="4" s="1"/>
  <c r="H73" i="4" a="1"/>
  <c r="H73" i="4" s="1"/>
  <c r="H74" i="4" a="1"/>
  <c r="H74" i="4" s="1"/>
  <c r="H75" i="4" a="1"/>
  <c r="H75" i="4" s="1"/>
  <c r="H76" i="4" a="1"/>
  <c r="H76" i="4" s="1"/>
  <c r="H77" i="4" a="1"/>
  <c r="H77" i="4" s="1"/>
  <c r="H78" i="4" a="1"/>
  <c r="H78" i="4" s="1"/>
  <c r="H79" i="4" a="1"/>
  <c r="H79" i="4" s="1"/>
  <c r="H80" i="4" a="1"/>
  <c r="H80" i="4" s="1"/>
  <c r="H81" i="4" a="1"/>
  <c r="H81" i="4" s="1"/>
  <c r="H70" i="4" a="1"/>
  <c r="H70" i="4" s="1"/>
  <c r="B4" i="20"/>
  <c r="D11" i="4" a="1"/>
  <c r="D11" i="4" s="1"/>
  <c r="D12" i="4" a="1"/>
  <c r="D12" i="4" s="1"/>
  <c r="D13" i="4" a="1"/>
  <c r="D13" i="4" s="1"/>
  <c r="D14" i="4" a="1"/>
  <c r="D14" i="4" s="1"/>
  <c r="D15" i="4" a="1"/>
  <c r="D15" i="4" s="1"/>
  <c r="D16" i="4" a="1"/>
  <c r="D16" i="4" s="1"/>
  <c r="D17" i="4" a="1"/>
  <c r="D17" i="4" s="1"/>
  <c r="D18" i="4" a="1"/>
  <c r="D18" i="4" s="1"/>
  <c r="D19" i="4" a="1"/>
  <c r="D19" i="4" s="1"/>
  <c r="D20" i="4" a="1"/>
  <c r="D20" i="4" s="1"/>
  <c r="D21" i="4" a="1"/>
  <c r="D21" i="4" s="1"/>
  <c r="D22" i="4" a="1"/>
  <c r="D22" i="4" s="1"/>
  <c r="D23" i="4" a="1"/>
  <c r="D23" i="4" s="1"/>
  <c r="D24" i="4" a="1"/>
  <c r="D24" i="4" s="1"/>
  <c r="D25" i="4" a="1"/>
  <c r="D25" i="4" s="1"/>
  <c r="D26" i="4" a="1"/>
  <c r="D26" i="4" s="1"/>
  <c r="D27" i="4" a="1"/>
  <c r="D27" i="4" s="1"/>
  <c r="D28" i="4" a="1"/>
  <c r="D28" i="4" s="1"/>
  <c r="D29" i="4" a="1"/>
  <c r="D29" i="4" s="1"/>
  <c r="D30" i="4" a="1"/>
  <c r="D30" i="4" s="1"/>
  <c r="D31" i="4" a="1"/>
  <c r="D31" i="4" s="1"/>
  <c r="D32" i="4" a="1"/>
  <c r="D32" i="4" s="1"/>
  <c r="D33" i="4" a="1"/>
  <c r="D33" i="4" s="1"/>
  <c r="D34" i="4" a="1"/>
  <c r="D34" i="4" s="1"/>
  <c r="D35" i="4" a="1"/>
  <c r="D35" i="4" s="1"/>
  <c r="D36" i="4" a="1"/>
  <c r="D36" i="4" s="1"/>
  <c r="D37" i="4" a="1"/>
  <c r="D37" i="4" s="1"/>
  <c r="D38" i="4" a="1"/>
  <c r="D38" i="4" s="1"/>
  <c r="D39" i="4" a="1"/>
  <c r="D39" i="4" s="1"/>
  <c r="D40" i="4" a="1"/>
  <c r="D40" i="4" s="1"/>
  <c r="D41" i="4" a="1"/>
  <c r="D41" i="4" s="1"/>
  <c r="N2" i="20" l="1"/>
  <c r="O2" i="20"/>
  <c r="N3" i="20"/>
  <c r="O3" i="20"/>
  <c r="N4" i="20"/>
  <c r="O4" i="20"/>
  <c r="N5" i="20"/>
  <c r="O5" i="20"/>
  <c r="N6" i="20"/>
  <c r="O6" i="20"/>
  <c r="N7" i="20"/>
  <c r="O7" i="20"/>
  <c r="N8" i="20"/>
  <c r="O8" i="20"/>
  <c r="N9" i="20"/>
  <c r="O9" i="20"/>
  <c r="N10" i="20"/>
  <c r="O10" i="20"/>
  <c r="N11" i="20"/>
  <c r="O11" i="20"/>
  <c r="N12" i="20"/>
  <c r="O12" i="20"/>
  <c r="N13" i="20"/>
  <c r="O13" i="20"/>
  <c r="N14" i="20"/>
  <c r="O14" i="20"/>
  <c r="N15" i="20"/>
  <c r="O15" i="20"/>
  <c r="N16" i="20"/>
  <c r="O16" i="20"/>
  <c r="N17" i="20"/>
  <c r="O17" i="20"/>
  <c r="N18" i="20"/>
  <c r="O18" i="20"/>
  <c r="N19" i="20"/>
  <c r="O19" i="20"/>
  <c r="N20" i="20"/>
  <c r="O20" i="20"/>
  <c r="N21" i="20"/>
  <c r="O21" i="20"/>
  <c r="N22" i="20"/>
  <c r="O22" i="20"/>
  <c r="N23" i="20"/>
  <c r="O23" i="20"/>
  <c r="N24" i="20"/>
  <c r="O24" i="20"/>
  <c r="N25" i="20"/>
  <c r="O25" i="20"/>
  <c r="N26" i="20"/>
  <c r="O26" i="20"/>
  <c r="N27" i="20"/>
  <c r="O27" i="20"/>
  <c r="N28" i="20"/>
  <c r="O28" i="20"/>
  <c r="N29" i="20"/>
  <c r="O29" i="20"/>
  <c r="N30" i="20"/>
  <c r="O30" i="20"/>
  <c r="N31" i="20"/>
  <c r="O31" i="20"/>
  <c r="N1" i="20"/>
  <c r="O1" i="20"/>
  <c r="H8" i="7" l="1"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7" i="7" a="1"/>
  <c r="H7" i="7" s="1"/>
  <c r="AF4" i="5"/>
  <c r="AF5" i="5"/>
  <c r="AF6" i="5"/>
  <c r="AF7" i="5"/>
  <c r="AF8" i="5"/>
  <c r="AF9" i="5"/>
  <c r="AF10" i="5"/>
  <c r="AF11" i="5"/>
  <c r="AF12" i="5"/>
  <c r="AF13" i="5"/>
  <c r="AF14" i="5"/>
  <c r="AF15" i="5"/>
  <c r="AF16" i="5"/>
  <c r="AF17" i="5"/>
  <c r="AF18" i="5"/>
  <c r="AF19" i="5"/>
  <c r="AF20" i="5"/>
  <c r="AF21" i="5"/>
  <c r="AF22" i="5"/>
  <c r="AF23" i="5"/>
  <c r="AF24" i="5"/>
  <c r="AF25" i="5"/>
  <c r="AF26" i="5"/>
  <c r="AF27" i="5"/>
  <c r="AF28" i="5"/>
  <c r="AF29" i="5"/>
  <c r="AF30" i="5"/>
  <c r="AF31" i="5"/>
  <c r="AF32" i="5"/>
  <c r="AF33" i="5"/>
  <c r="AF34" i="5"/>
  <c r="AF35" i="5"/>
  <c r="AF36" i="5"/>
  <c r="AF37" i="5"/>
  <c r="AF38" i="5"/>
  <c r="AF39" i="5"/>
  <c r="AF40" i="5"/>
  <c r="AF41" i="5"/>
  <c r="AF42" i="5"/>
  <c r="AF43" i="5"/>
  <c r="AF44" i="5"/>
  <c r="AF45" i="5"/>
  <c r="AF46" i="5"/>
  <c r="AF47" i="5"/>
  <c r="AF48" i="5"/>
  <c r="AF49" i="5"/>
  <c r="AF50" i="5"/>
  <c r="AF51" i="5"/>
  <c r="AF52" i="5"/>
  <c r="AF53" i="5"/>
  <c r="AF54" i="5"/>
  <c r="AF55" i="5"/>
  <c r="AF56" i="5"/>
  <c r="AF57" i="5"/>
  <c r="AF58" i="5"/>
  <c r="AF59" i="5"/>
  <c r="AF60" i="5"/>
  <c r="AF61" i="5"/>
  <c r="AF62" i="5"/>
  <c r="AF63" i="5"/>
  <c r="AF64" i="5"/>
  <c r="AF65" i="5"/>
  <c r="AF66" i="5"/>
  <c r="AF67" i="5"/>
  <c r="AF68" i="5"/>
  <c r="AF69" i="5"/>
  <c r="AF70" i="5"/>
  <c r="AF71" i="5"/>
  <c r="AF72" i="5"/>
  <c r="AF73" i="5"/>
  <c r="AF74" i="5"/>
  <c r="AF75" i="5"/>
  <c r="AF76" i="5"/>
  <c r="AF77" i="5"/>
  <c r="AF78" i="5"/>
  <c r="AF79" i="5"/>
  <c r="AF80" i="5"/>
  <c r="AF3" i="5"/>
  <c r="AB3" i="5" s="1"/>
  <c r="X4" i="8"/>
  <c r="X2" i="8"/>
  <c r="U3" i="4"/>
  <c r="Q4" i="30" l="1"/>
  <c r="R4" i="30"/>
  <c r="P4" i="30"/>
  <c r="J18" i="30" l="1"/>
  <c r="I18" i="30"/>
  <c r="H18" i="30"/>
  <c r="G18" i="30"/>
  <c r="F18" i="30"/>
  <c r="E18" i="30"/>
  <c r="D18" i="30"/>
  <c r="C18" i="30"/>
  <c r="B18" i="30"/>
  <c r="J12" i="30"/>
  <c r="I12" i="30"/>
  <c r="J11" i="30"/>
  <c r="I11" i="30"/>
  <c r="J10" i="30"/>
  <c r="I10" i="30"/>
  <c r="J9" i="30"/>
  <c r="I9" i="30"/>
  <c r="J8" i="30"/>
  <c r="I8" i="30"/>
  <c r="J7" i="30"/>
  <c r="I7" i="30"/>
  <c r="J6" i="30"/>
  <c r="I6" i="30"/>
  <c r="J5" i="30"/>
  <c r="I5" i="30"/>
  <c r="J4" i="30"/>
  <c r="I4" i="30"/>
  <c r="J3" i="30"/>
  <c r="I3" i="30"/>
  <c r="Q24" i="30" l="1"/>
  <c r="Q25" i="30"/>
  <c r="P28" i="30"/>
  <c r="P24" i="30"/>
  <c r="Q26" i="30"/>
  <c r="P29" i="30"/>
  <c r="Q27" i="30"/>
  <c r="P30" i="30"/>
  <c r="Q28" i="30"/>
  <c r="P31" i="30"/>
  <c r="P27" i="30"/>
  <c r="Q29" i="30"/>
  <c r="Q30" i="30"/>
  <c r="P26" i="30"/>
  <c r="Q31" i="30"/>
  <c r="Q23" i="30"/>
  <c r="P25" i="30"/>
  <c r="O6" i="30"/>
  <c r="O11" i="30"/>
  <c r="O12" i="30"/>
  <c r="O10" i="30"/>
  <c r="O13" i="30"/>
  <c r="O9" i="30"/>
  <c r="O8" i="30"/>
  <c r="O5" i="30"/>
  <c r="P5" i="30" s="1"/>
  <c r="O7" i="30"/>
  <c r="P23" i="30"/>
  <c r="Q9" i="30" l="1"/>
  <c r="R9" i="30"/>
  <c r="P9" i="30"/>
  <c r="Q13" i="30"/>
  <c r="R13" i="30"/>
  <c r="P13" i="30"/>
  <c r="P10" i="30"/>
  <c r="R10" i="30"/>
  <c r="Q10" i="30"/>
  <c r="P12" i="30"/>
  <c r="R12" i="30"/>
  <c r="Q12" i="30"/>
  <c r="P11" i="30"/>
  <c r="Q11" i="30"/>
  <c r="R11" i="30"/>
  <c r="P7" i="30"/>
  <c r="Q7" i="30"/>
  <c r="R7" i="30"/>
  <c r="Q5" i="30"/>
  <c r="R5" i="30"/>
  <c r="P8" i="30"/>
  <c r="Q8" i="30"/>
  <c r="R8" i="30"/>
  <c r="Q6" i="30"/>
  <c r="R6" i="30"/>
  <c r="P6" i="30"/>
  <c r="E51" i="7" l="1" a="1"/>
  <c r="E51" i="7" s="1"/>
  <c r="E52" i="7" a="1"/>
  <c r="E52" i="7" s="1"/>
  <c r="E53" i="7" a="1"/>
  <c r="E53" i="7" s="1"/>
  <c r="E54" i="7" a="1"/>
  <c r="E54" i="7" s="1"/>
  <c r="E55" i="7" a="1"/>
  <c r="E55" i="7" s="1"/>
  <c r="E56" i="7" a="1"/>
  <c r="E56" i="7" s="1"/>
  <c r="E57" i="7" a="1"/>
  <c r="E57" i="7" s="1"/>
  <c r="E58" i="7" a="1"/>
  <c r="E58" i="7" s="1"/>
  <c r="E59" i="7" a="1"/>
  <c r="E59" i="7" s="1"/>
  <c r="E60" i="7" a="1"/>
  <c r="E60" i="7" s="1"/>
  <c r="G60" i="7" a="1"/>
  <c r="G60" i="7" s="1"/>
  <c r="E61" i="7" a="1"/>
  <c r="E61" i="7" s="1"/>
  <c r="G61" i="7" a="1"/>
  <c r="G61" i="7" s="1"/>
  <c r="E62" i="7" a="1"/>
  <c r="E62" i="7" s="1"/>
  <c r="G62" i="7" a="1"/>
  <c r="G62" i="7" s="1"/>
  <c r="O62" i="7" s="1"/>
  <c r="E63" i="7" a="1"/>
  <c r="E63" i="7" s="1"/>
  <c r="G63" i="7" a="1"/>
  <c r="G63" i="7" s="1"/>
  <c r="R63" i="7" s="1"/>
  <c r="E64" i="7" a="1"/>
  <c r="E64" i="7" s="1"/>
  <c r="G64" i="7" a="1"/>
  <c r="G64" i="7" s="1"/>
  <c r="O64" i="7" s="1"/>
  <c r="E65" i="7" a="1"/>
  <c r="E65" i="7" s="1"/>
  <c r="G65" i="7" a="1"/>
  <c r="G65" i="7" s="1"/>
  <c r="E66" i="7" a="1"/>
  <c r="E66" i="7" s="1"/>
  <c r="G66" i="7" a="1"/>
  <c r="G66" i="7" s="1"/>
  <c r="R61" i="7" l="1"/>
  <c r="O61" i="7"/>
  <c r="R66" i="7"/>
  <c r="O66" i="7"/>
  <c r="O65" i="7"/>
  <c r="R65" i="7"/>
  <c r="O60" i="7"/>
  <c r="R60" i="7"/>
  <c r="O63" i="7"/>
  <c r="R62" i="7"/>
  <c r="R64" i="7"/>
  <c r="AT3" i="27"/>
  <c r="AT4" i="27"/>
  <c r="AT5" i="27"/>
  <c r="AT6" i="27"/>
  <c r="AT7" i="27"/>
  <c r="AT8" i="27"/>
  <c r="AT9" i="27"/>
  <c r="AT10" i="27"/>
  <c r="AT11" i="27"/>
  <c r="AT12" i="27"/>
  <c r="AT13" i="27"/>
  <c r="AT14" i="27"/>
  <c r="AT15" i="27"/>
  <c r="AT16" i="27"/>
  <c r="AT17" i="27"/>
  <c r="AT18" i="27"/>
  <c r="AT19" i="27"/>
  <c r="AT20" i="27"/>
  <c r="AT21" i="27"/>
  <c r="AT22" i="27"/>
  <c r="AT23" i="27"/>
  <c r="AT24" i="27"/>
  <c r="AT25" i="27"/>
  <c r="AT26" i="27"/>
  <c r="AT27" i="27"/>
  <c r="AT28" i="27"/>
  <c r="AT29" i="27"/>
  <c r="AT30" i="27"/>
  <c r="AT31" i="27"/>
  <c r="AT32" i="27"/>
  <c r="AT33" i="27"/>
  <c r="AT34" i="27"/>
  <c r="AT35" i="27"/>
  <c r="AT36" i="27"/>
  <c r="AT37" i="27"/>
  <c r="AT38" i="27"/>
  <c r="AT39" i="27"/>
  <c r="AT40" i="27"/>
  <c r="AT41" i="27"/>
  <c r="AT42" i="27"/>
  <c r="AT43" i="27"/>
  <c r="AT44" i="27"/>
  <c r="AT45" i="27"/>
  <c r="AT46" i="27"/>
  <c r="AT47" i="27"/>
  <c r="AT48" i="27"/>
  <c r="AT49" i="27"/>
  <c r="AT50" i="27"/>
  <c r="AT51" i="27"/>
  <c r="AT52" i="27"/>
  <c r="AT53" i="27"/>
  <c r="AT54" i="27"/>
  <c r="AT55" i="27"/>
  <c r="AT56" i="27"/>
  <c r="AT57" i="27"/>
  <c r="AT58" i="27"/>
  <c r="AT59" i="27"/>
  <c r="AT60" i="27"/>
  <c r="AT61" i="27"/>
  <c r="AT62" i="27"/>
  <c r="AT63" i="27"/>
  <c r="AT64" i="27"/>
  <c r="AT65" i="27"/>
  <c r="AT66" i="27"/>
  <c r="AT67" i="27"/>
  <c r="AT68" i="27"/>
  <c r="AT69" i="27"/>
  <c r="AT70" i="27"/>
  <c r="AT71" i="27"/>
  <c r="AT72" i="27"/>
  <c r="AT73" i="27"/>
  <c r="AT74" i="27"/>
  <c r="AT75" i="27"/>
  <c r="AT76" i="27"/>
  <c r="AT77" i="27"/>
  <c r="AT78" i="27"/>
  <c r="AT79" i="27"/>
  <c r="AT80" i="27"/>
  <c r="AT81" i="27"/>
  <c r="AT82" i="27"/>
  <c r="AT83" i="27"/>
  <c r="AT84" i="27"/>
  <c r="AT85" i="27"/>
  <c r="AT86" i="27"/>
  <c r="AT87" i="27"/>
  <c r="AT88" i="27"/>
  <c r="AT89" i="27"/>
  <c r="AT90" i="27"/>
  <c r="AT91" i="27"/>
  <c r="AT92" i="27"/>
  <c r="AT93" i="27"/>
  <c r="AT2" i="27"/>
  <c r="D28" i="29" s="1"/>
  <c r="B72" i="28" l="1"/>
  <c r="B64" i="28"/>
  <c r="B56" i="28"/>
  <c r="B47" i="28"/>
  <c r="B34" i="28"/>
  <c r="B22" i="28"/>
  <c r="F2" i="28"/>
  <c r="F57" i="28"/>
  <c r="F34" i="28"/>
  <c r="F11" i="28"/>
  <c r="G66" i="28"/>
  <c r="G43" i="28"/>
  <c r="G20" i="28"/>
  <c r="C4" i="29"/>
  <c r="D23" i="29"/>
  <c r="I9" i="29" a="1"/>
  <c r="I9" i="29" s="1"/>
  <c r="J13" i="29" a="1"/>
  <c r="J13" i="29" s="1"/>
  <c r="K17" i="29" a="1"/>
  <c r="K17" i="29" s="1"/>
  <c r="K82" i="29" a="1"/>
  <c r="K82" i="29" s="1"/>
  <c r="C79" i="29"/>
  <c r="C76" i="29"/>
  <c r="D72" i="29"/>
  <c r="C68" i="29"/>
  <c r="J64" i="29" a="1"/>
  <c r="J64" i="29" s="1"/>
  <c r="I60" i="29" a="1"/>
  <c r="I60" i="29" s="1"/>
  <c r="C56" i="29"/>
  <c r="I48" i="29" a="1"/>
  <c r="I48" i="29" s="1"/>
  <c r="I44" i="29" a="1"/>
  <c r="I44" i="29" s="1"/>
  <c r="I41" i="29" a="1"/>
  <c r="I41" i="29" s="1"/>
  <c r="J33" i="29" a="1"/>
  <c r="J33" i="29" s="1"/>
  <c r="J26" i="29" a="1"/>
  <c r="J26" i="29" s="1"/>
  <c r="B71" i="28"/>
  <c r="B63" i="28"/>
  <c r="B55" i="28"/>
  <c r="B46" i="28"/>
  <c r="B33" i="28"/>
  <c r="B18" i="28"/>
  <c r="F74" i="28"/>
  <c r="F51" i="28"/>
  <c r="F33" i="28"/>
  <c r="F10" i="28"/>
  <c r="G60" i="28"/>
  <c r="G42" i="28"/>
  <c r="G19" i="28"/>
  <c r="C19" i="29"/>
  <c r="D22" i="29"/>
  <c r="I22" i="29" a="1"/>
  <c r="I22" i="29" s="1"/>
  <c r="I5" i="29" a="1"/>
  <c r="I5" i="29" s="1"/>
  <c r="K16" i="29" a="1"/>
  <c r="K16" i="29" s="1"/>
  <c r="K78" i="29" a="1"/>
  <c r="K78" i="29" s="1"/>
  <c r="C75" i="29"/>
  <c r="C72" i="29"/>
  <c r="K67" i="29" a="1"/>
  <c r="K67" i="29" s="1"/>
  <c r="I63" i="29" a="1"/>
  <c r="I63" i="29" s="1"/>
  <c r="D60" i="29"/>
  <c r="K55" i="29" a="1"/>
  <c r="K55" i="29" s="1"/>
  <c r="J51" i="29" a="1"/>
  <c r="J51" i="29" s="1"/>
  <c r="D48" i="29"/>
  <c r="D44" i="29"/>
  <c r="I40" i="29" a="1"/>
  <c r="I40" i="29" s="1"/>
  <c r="I37" i="29" a="1"/>
  <c r="I37" i="29" s="1"/>
  <c r="J29" i="29" a="1"/>
  <c r="J29" i="29" s="1"/>
  <c r="B70" i="28"/>
  <c r="B62" i="28"/>
  <c r="B54" i="28"/>
  <c r="B45" i="28"/>
  <c r="B32" i="28"/>
  <c r="B17" i="28"/>
  <c r="F73" i="28"/>
  <c r="F50" i="28"/>
  <c r="F27" i="28"/>
  <c r="F9" i="28"/>
  <c r="G59" i="28"/>
  <c r="G36" i="28"/>
  <c r="G18" i="28"/>
  <c r="C18" i="29"/>
  <c r="D16" i="29"/>
  <c r="I21" i="29" a="1"/>
  <c r="I21" i="29" s="1"/>
  <c r="J4" i="29" a="1"/>
  <c r="J4" i="29" s="1"/>
  <c r="K15" i="29" a="1"/>
  <c r="K15" i="29" s="1"/>
  <c r="J85" i="29" a="1"/>
  <c r="J85" i="29" s="1"/>
  <c r="K74" i="29" a="1"/>
  <c r="K74" i="29" s="1"/>
  <c r="K70" i="29" a="1"/>
  <c r="K70" i="29" s="1"/>
  <c r="J67" i="29" a="1"/>
  <c r="J67" i="29" s="1"/>
  <c r="D63" i="29"/>
  <c r="C59" i="29"/>
  <c r="J55" i="29" a="1"/>
  <c r="J55" i="29" s="1"/>
  <c r="I51" i="29" a="1"/>
  <c r="I51" i="29" s="1"/>
  <c r="C47" i="29"/>
  <c r="C44" i="29"/>
  <c r="D40" i="29"/>
  <c r="I36" i="29" a="1"/>
  <c r="I36" i="29" s="1"/>
  <c r="I33" i="29" a="1"/>
  <c r="I33" i="29" s="1"/>
  <c r="J25" i="29" a="1"/>
  <c r="J25" i="29" s="1"/>
  <c r="B69" i="28"/>
  <c r="B61" i="28"/>
  <c r="B53" i="28"/>
  <c r="B42" i="28"/>
  <c r="B31" i="28"/>
  <c r="B16" i="28"/>
  <c r="F67" i="28"/>
  <c r="F49" i="28"/>
  <c r="F26" i="28"/>
  <c r="F3" i="28"/>
  <c r="G58" i="28"/>
  <c r="G35" i="28"/>
  <c r="G12" i="28"/>
  <c r="C17" i="29"/>
  <c r="D15" i="29"/>
  <c r="J8" i="29" a="1"/>
  <c r="J8" i="29" s="1"/>
  <c r="K11" i="29" a="1"/>
  <c r="K11" i="29" s="1"/>
  <c r="I85" i="29" a="1"/>
  <c r="I85" i="29" s="1"/>
  <c r="J81" i="29" a="1"/>
  <c r="J81" i="29" s="1"/>
  <c r="I66" i="29" a="1"/>
  <c r="I66" i="29" s="1"/>
  <c r="C63" i="29"/>
  <c r="K58" i="29" a="1"/>
  <c r="K58" i="29" s="1"/>
  <c r="J54" i="29" a="1"/>
  <c r="J54" i="29" s="1"/>
  <c r="D51" i="29"/>
  <c r="K46" i="29" a="1"/>
  <c r="K46" i="29" s="1"/>
  <c r="K42" i="29" a="1"/>
  <c r="K42" i="29" s="1"/>
  <c r="C40" i="29"/>
  <c r="D36" i="29"/>
  <c r="I32" i="29" a="1"/>
  <c r="I32" i="29" s="1"/>
  <c r="I29" i="29" a="1"/>
  <c r="I29" i="29" s="1"/>
  <c r="B68" i="28"/>
  <c r="B60" i="28"/>
  <c r="B52" i="28"/>
  <c r="B41" i="28"/>
  <c r="B30" i="28"/>
  <c r="B14" i="28"/>
  <c r="F66" i="28"/>
  <c r="F43" i="28"/>
  <c r="F25" i="28"/>
  <c r="G2" i="28"/>
  <c r="G52" i="28"/>
  <c r="G34" i="28"/>
  <c r="G11" i="28"/>
  <c r="C11" i="29"/>
  <c r="D14" i="29"/>
  <c r="I16" i="29" a="1"/>
  <c r="I16" i="29" s="1"/>
  <c r="J20" i="29" a="1"/>
  <c r="J20" i="29" s="1"/>
  <c r="J7" i="29" a="1"/>
  <c r="J7" i="29" s="1"/>
  <c r="I84" i="29" a="1"/>
  <c r="I84" i="29" s="1"/>
  <c r="I81" i="29" a="1"/>
  <c r="I81" i="29" s="1"/>
  <c r="J77" i="29" a="1"/>
  <c r="J77" i="29" s="1"/>
  <c r="J70" i="29" a="1"/>
  <c r="J70" i="29" s="1"/>
  <c r="D66" i="29"/>
  <c r="C62" i="29"/>
  <c r="J58" i="29" a="1"/>
  <c r="J58" i="29" s="1"/>
  <c r="I54" i="29" a="1"/>
  <c r="I54" i="29" s="1"/>
  <c r="C50" i="29"/>
  <c r="J46" i="29" a="1"/>
  <c r="J46" i="29" s="1"/>
  <c r="J42" i="29" a="1"/>
  <c r="J42" i="29" s="1"/>
  <c r="K38" i="29" a="1"/>
  <c r="K38" i="29" s="1"/>
  <c r="C36" i="29"/>
  <c r="D32" i="29"/>
  <c r="I28" i="29" a="1"/>
  <c r="I28" i="29" s="1"/>
  <c r="I25" i="29" a="1"/>
  <c r="I25" i="29" s="1"/>
  <c r="B2" i="28"/>
  <c r="B67" i="28"/>
  <c r="B59" i="28"/>
  <c r="B50" i="28"/>
  <c r="B40" i="28"/>
  <c r="B26" i="28"/>
  <c r="B10" i="28"/>
  <c r="F65" i="28"/>
  <c r="F42" i="28"/>
  <c r="F19" i="28"/>
  <c r="G74" i="28"/>
  <c r="G51" i="28"/>
  <c r="G28" i="28"/>
  <c r="G10" i="28"/>
  <c r="C10" i="29"/>
  <c r="D8" i="29"/>
  <c r="I15" i="29" a="1"/>
  <c r="I15" i="29" s="1"/>
  <c r="J19" i="29" a="1"/>
  <c r="J19" i="29" s="1"/>
  <c r="K10" i="29" a="1"/>
  <c r="K10" i="29" s="1"/>
  <c r="D84" i="29"/>
  <c r="I80" i="29" a="1"/>
  <c r="I80" i="29" s="1"/>
  <c r="I77" i="29" a="1"/>
  <c r="I77" i="29" s="1"/>
  <c r="J73" i="29" a="1"/>
  <c r="J73" i="29" s="1"/>
  <c r="I69" i="29" a="1"/>
  <c r="I69" i="29" s="1"/>
  <c r="C66" i="29"/>
  <c r="K61" i="29" a="1"/>
  <c r="K61" i="29" s="1"/>
  <c r="I57" i="29" a="1"/>
  <c r="I57" i="29" s="1"/>
  <c r="D54" i="29"/>
  <c r="K49" i="29" a="1"/>
  <c r="K49" i="29" s="1"/>
  <c r="J45" i="29" a="1"/>
  <c r="J45" i="29" s="1"/>
  <c r="J38" i="29" a="1"/>
  <c r="J38" i="29" s="1"/>
  <c r="K34" i="29" a="1"/>
  <c r="K34" i="29" s="1"/>
  <c r="C32" i="29"/>
  <c r="K25" i="29" a="1"/>
  <c r="K25" i="29" s="1"/>
  <c r="C27" i="29"/>
  <c r="J28" i="29" a="1"/>
  <c r="J28" i="29" s="1"/>
  <c r="K29" i="29" a="1"/>
  <c r="K29" i="29" s="1"/>
  <c r="C31" i="29"/>
  <c r="J32" i="29" a="1"/>
  <c r="J32" i="29" s="1"/>
  <c r="K33" i="29" a="1"/>
  <c r="K33" i="29" s="1"/>
  <c r="C35" i="29"/>
  <c r="J36" i="29" a="1"/>
  <c r="J36" i="29" s="1"/>
  <c r="K37" i="29" a="1"/>
  <c r="K37" i="29" s="1"/>
  <c r="C39" i="29"/>
  <c r="J40" i="29" a="1"/>
  <c r="J40" i="29" s="1"/>
  <c r="K41" i="29" a="1"/>
  <c r="K41" i="29" s="1"/>
  <c r="C43" i="29"/>
  <c r="J44" i="29" a="1"/>
  <c r="J44" i="29" s="1"/>
  <c r="K45" i="29" a="1"/>
  <c r="K45" i="29" s="1"/>
  <c r="D47" i="29"/>
  <c r="D50" i="29"/>
  <c r="K51" i="29" a="1"/>
  <c r="K51" i="29" s="1"/>
  <c r="D53" i="29"/>
  <c r="D56" i="29"/>
  <c r="J57" i="29" a="1"/>
  <c r="J57" i="29" s="1"/>
  <c r="D59" i="29"/>
  <c r="D62" i="29"/>
  <c r="J63" i="29" a="1"/>
  <c r="J63" i="29" s="1"/>
  <c r="C65" i="29"/>
  <c r="J66" i="29" a="1"/>
  <c r="J66" i="29" s="1"/>
  <c r="D68" i="29"/>
  <c r="J69" i="29" a="1"/>
  <c r="J69" i="29" s="1"/>
  <c r="C71" i="29"/>
  <c r="J72" i="29" a="1"/>
  <c r="J72" i="29" s="1"/>
  <c r="K73" i="29" a="1"/>
  <c r="K73" i="29" s="1"/>
  <c r="D75" i="29"/>
  <c r="J76" i="29" a="1"/>
  <c r="J76" i="29" s="1"/>
  <c r="K77" i="29" a="1"/>
  <c r="K77" i="29" s="1"/>
  <c r="D79" i="29"/>
  <c r="J80" i="29" a="1"/>
  <c r="J80" i="29" s="1"/>
  <c r="K81" i="29" a="1"/>
  <c r="K81" i="29" s="1"/>
  <c r="D83" i="29"/>
  <c r="J84" i="29" a="1"/>
  <c r="J84" i="29" s="1"/>
  <c r="K85" i="29" a="1"/>
  <c r="K85" i="29" s="1"/>
  <c r="K6" i="29" a="1"/>
  <c r="K6" i="29" s="1"/>
  <c r="K12" i="29" a="1"/>
  <c r="K12" i="29" s="1"/>
  <c r="K18" i="29" a="1"/>
  <c r="K18" i="29" s="1"/>
  <c r="K23" i="29" a="1"/>
  <c r="K23" i="29" s="1"/>
  <c r="J9" i="29" a="1"/>
  <c r="J9" i="29" s="1"/>
  <c r="J15" i="29" a="1"/>
  <c r="J15" i="29" s="1"/>
  <c r="I6" i="29" a="1"/>
  <c r="I6" i="29" s="1"/>
  <c r="I11" i="29" a="1"/>
  <c r="I11" i="29" s="1"/>
  <c r="I17" i="29" a="1"/>
  <c r="I17" i="29" s="1"/>
  <c r="I23" i="29" a="1"/>
  <c r="I23" i="29" s="1"/>
  <c r="D9" i="29"/>
  <c r="D17" i="29"/>
  <c r="D4" i="29"/>
  <c r="C12" i="29"/>
  <c r="C20" i="29"/>
  <c r="G5" i="28"/>
  <c r="G13" i="28"/>
  <c r="G21" i="28"/>
  <c r="G29" i="28"/>
  <c r="G37" i="28"/>
  <c r="G45" i="28"/>
  <c r="G53" i="28"/>
  <c r="G61" i="28"/>
  <c r="G69" i="28"/>
  <c r="F4" i="28"/>
  <c r="F12" i="28"/>
  <c r="F20" i="28"/>
  <c r="F28" i="28"/>
  <c r="F36" i="28"/>
  <c r="F44" i="28"/>
  <c r="F52" i="28"/>
  <c r="F60" i="28"/>
  <c r="F68" i="28"/>
  <c r="B3" i="28"/>
  <c r="B11" i="28"/>
  <c r="B19" i="28"/>
  <c r="B27" i="28"/>
  <c r="B35" i="28"/>
  <c r="B43" i="28"/>
  <c r="B51" i="28"/>
  <c r="D27" i="29"/>
  <c r="K28" i="29" a="1"/>
  <c r="K28" i="29" s="1"/>
  <c r="D31" i="29"/>
  <c r="K32" i="29" a="1"/>
  <c r="K32" i="29" s="1"/>
  <c r="D35" i="29"/>
  <c r="K36" i="29" a="1"/>
  <c r="K36" i="29" s="1"/>
  <c r="D39" i="29"/>
  <c r="K40" i="29" a="1"/>
  <c r="K40" i="29" s="1"/>
  <c r="D43" i="29"/>
  <c r="K44" i="29" a="1"/>
  <c r="K44" i="29" s="1"/>
  <c r="I47" i="29" a="1"/>
  <c r="I47" i="29" s="1"/>
  <c r="K48" i="29" a="1"/>
  <c r="K48" i="29" s="1"/>
  <c r="I50" i="29" a="1"/>
  <c r="I50" i="29" s="1"/>
  <c r="C52" i="29"/>
  <c r="I53" i="29" a="1"/>
  <c r="I53" i="29" s="1"/>
  <c r="K54" i="29" a="1"/>
  <c r="K54" i="29" s="1"/>
  <c r="I56" i="29" a="1"/>
  <c r="I56" i="29" s="1"/>
  <c r="K57" i="29" a="1"/>
  <c r="K57" i="29" s="1"/>
  <c r="I59" i="29" a="1"/>
  <c r="I59" i="29" s="1"/>
  <c r="K60" i="29" a="1"/>
  <c r="K60" i="29" s="1"/>
  <c r="I62" i="29" a="1"/>
  <c r="I62" i="29" s="1"/>
  <c r="K63" i="29" a="1"/>
  <c r="K63" i="29" s="1"/>
  <c r="D65" i="29"/>
  <c r="K66" i="29" a="1"/>
  <c r="K66" i="29" s="1"/>
  <c r="I68" i="29" a="1"/>
  <c r="I68" i="29" s="1"/>
  <c r="K69" i="29" a="1"/>
  <c r="K69" i="29" s="1"/>
  <c r="D71" i="29"/>
  <c r="C74" i="29"/>
  <c r="I75" i="29" a="1"/>
  <c r="I75" i="29" s="1"/>
  <c r="C78" i="29"/>
  <c r="I79" i="29" a="1"/>
  <c r="I79" i="29" s="1"/>
  <c r="C82" i="29"/>
  <c r="I83" i="29" a="1"/>
  <c r="I83" i="29" s="1"/>
  <c r="C86" i="29"/>
  <c r="K24" i="29" a="1"/>
  <c r="K24" i="29" s="1"/>
  <c r="J10" i="29" a="1"/>
  <c r="J10" i="29" s="1"/>
  <c r="J16" i="29" a="1"/>
  <c r="J16" i="29" s="1"/>
  <c r="J21" i="29" a="1"/>
  <c r="J21" i="29" s="1"/>
  <c r="I12" i="29" a="1"/>
  <c r="I12" i="29" s="1"/>
  <c r="I18" i="29" a="1"/>
  <c r="I18" i="29" s="1"/>
  <c r="I24" i="29" a="1"/>
  <c r="I24" i="29" s="1"/>
  <c r="D10" i="29"/>
  <c r="D18" i="29"/>
  <c r="C5" i="29"/>
  <c r="C13" i="29"/>
  <c r="C21" i="29"/>
  <c r="G6" i="28"/>
  <c r="G14" i="28"/>
  <c r="G22" i="28"/>
  <c r="G30" i="28"/>
  <c r="G38" i="28"/>
  <c r="G46" i="28"/>
  <c r="G54" i="28"/>
  <c r="G62" i="28"/>
  <c r="G70" i="28"/>
  <c r="F5" i="28"/>
  <c r="F13" i="28"/>
  <c r="F21" i="28"/>
  <c r="F29" i="28"/>
  <c r="F37" i="28"/>
  <c r="F45" i="28"/>
  <c r="F53" i="28"/>
  <c r="F61" i="28"/>
  <c r="F69" i="28"/>
  <c r="B4" i="28"/>
  <c r="B12" i="28"/>
  <c r="B20" i="28"/>
  <c r="B28" i="28"/>
  <c r="B36" i="28"/>
  <c r="B44" i="28"/>
  <c r="C26" i="29"/>
  <c r="I27" i="29" a="1"/>
  <c r="I27" i="29" s="1"/>
  <c r="C30" i="29"/>
  <c r="I31" i="29" a="1"/>
  <c r="I31" i="29" s="1"/>
  <c r="C34" i="29"/>
  <c r="I35" i="29" a="1"/>
  <c r="I35" i="29" s="1"/>
  <c r="C38" i="29"/>
  <c r="I39" i="29" a="1"/>
  <c r="I39" i="29" s="1"/>
  <c r="C42" i="29"/>
  <c r="I43" i="29" a="1"/>
  <c r="I43" i="29" s="1"/>
  <c r="C46" i="29"/>
  <c r="J47" i="29" a="1"/>
  <c r="J47" i="29" s="1"/>
  <c r="C49" i="29"/>
  <c r="J50" i="29" a="1"/>
  <c r="J50" i="29" s="1"/>
  <c r="D52" i="29"/>
  <c r="J53" i="29" a="1"/>
  <c r="J53" i="29" s="1"/>
  <c r="C55" i="29"/>
  <c r="J56" i="29" a="1"/>
  <c r="J56" i="29" s="1"/>
  <c r="C58" i="29"/>
  <c r="J59" i="29" a="1"/>
  <c r="J59" i="29" s="1"/>
  <c r="C61" i="29"/>
  <c r="J62" i="29" a="1"/>
  <c r="J62" i="29" s="1"/>
  <c r="C64" i="29"/>
  <c r="I65" i="29" a="1"/>
  <c r="I65" i="29" s="1"/>
  <c r="C67" i="29"/>
  <c r="J68" i="29" a="1"/>
  <c r="J68" i="29" s="1"/>
  <c r="C70" i="29"/>
  <c r="I71" i="29" a="1"/>
  <c r="I71" i="29" s="1"/>
  <c r="K72" i="29" a="1"/>
  <c r="K72" i="29" s="1"/>
  <c r="D74" i="29"/>
  <c r="J75" i="29" a="1"/>
  <c r="J75" i="29" s="1"/>
  <c r="K76" i="29" a="1"/>
  <c r="K76" i="29" s="1"/>
  <c r="D78" i="29"/>
  <c r="J79" i="29" a="1"/>
  <c r="J79" i="29" s="1"/>
  <c r="K80" i="29" a="1"/>
  <c r="K80" i="29" s="1"/>
  <c r="D82" i="29"/>
  <c r="J83" i="29" a="1"/>
  <c r="J83" i="29" s="1"/>
  <c r="K84" i="29" a="1"/>
  <c r="K84" i="29" s="1"/>
  <c r="D86" i="29"/>
  <c r="K7" i="29" a="1"/>
  <c r="K7" i="29" s="1"/>
  <c r="K13" i="29" a="1"/>
  <c r="K13" i="29" s="1"/>
  <c r="K19" i="29" a="1"/>
  <c r="K19" i="29" s="1"/>
  <c r="K4" i="29" a="1"/>
  <c r="K4" i="29" s="1"/>
  <c r="J22" i="29" a="1"/>
  <c r="J22" i="29" s="1"/>
  <c r="I7" i="29" a="1"/>
  <c r="I7" i="29" s="1"/>
  <c r="I13" i="29" a="1"/>
  <c r="I13" i="29" s="1"/>
  <c r="D11" i="29"/>
  <c r="D19" i="29"/>
  <c r="C6" i="29"/>
  <c r="C14" i="29"/>
  <c r="C22" i="29"/>
  <c r="G7" i="28"/>
  <c r="G15" i="28"/>
  <c r="G23" i="28"/>
  <c r="G31" i="28"/>
  <c r="G39" i="28"/>
  <c r="G47" i="28"/>
  <c r="G55" i="28"/>
  <c r="G63" i="28"/>
  <c r="G71" i="28"/>
  <c r="F6" i="28"/>
  <c r="F14" i="28"/>
  <c r="F22" i="28"/>
  <c r="F30" i="28"/>
  <c r="F38" i="28"/>
  <c r="F46" i="28"/>
  <c r="F54" i="28"/>
  <c r="F62" i="28"/>
  <c r="F70" i="28"/>
  <c r="B5" i="28"/>
  <c r="B13" i="28"/>
  <c r="B21" i="28"/>
  <c r="B29" i="28"/>
  <c r="B37" i="28"/>
  <c r="C25" i="29"/>
  <c r="D26" i="29"/>
  <c r="J27" i="29" a="1"/>
  <c r="J27" i="29" s="1"/>
  <c r="C29" i="29"/>
  <c r="D30" i="29"/>
  <c r="J31" i="29" a="1"/>
  <c r="J31" i="29" s="1"/>
  <c r="C33" i="29"/>
  <c r="D34" i="29"/>
  <c r="J35" i="29" a="1"/>
  <c r="J35" i="29" s="1"/>
  <c r="C37" i="29"/>
  <c r="D38" i="29"/>
  <c r="J39" i="29" a="1"/>
  <c r="J39" i="29" s="1"/>
  <c r="C41" i="29"/>
  <c r="D42" i="29"/>
  <c r="J43" i="29" a="1"/>
  <c r="J43" i="29" s="1"/>
  <c r="C45" i="29"/>
  <c r="D46" i="29"/>
  <c r="K47" i="29" a="1"/>
  <c r="K47" i="29" s="1"/>
  <c r="D49" i="29"/>
  <c r="K50" i="29" a="1"/>
  <c r="K50" i="29" s="1"/>
  <c r="I52" i="29" a="1"/>
  <c r="I52" i="29" s="1"/>
  <c r="K53" i="29" a="1"/>
  <c r="K53" i="29" s="1"/>
  <c r="D55" i="29"/>
  <c r="D58" i="29"/>
  <c r="K59" i="29" a="1"/>
  <c r="K59" i="29" s="1"/>
  <c r="D61" i="29"/>
  <c r="D64" i="29"/>
  <c r="J65" i="29" a="1"/>
  <c r="J65" i="29" s="1"/>
  <c r="D67" i="29"/>
  <c r="D70" i="29"/>
  <c r="J71" i="29" a="1"/>
  <c r="J71" i="29" s="1"/>
  <c r="C73" i="29"/>
  <c r="I74" i="29" a="1"/>
  <c r="I74" i="29" s="1"/>
  <c r="C77" i="29"/>
  <c r="I78" i="29" a="1"/>
  <c r="I78" i="29" s="1"/>
  <c r="C81" i="29"/>
  <c r="I82" i="29" a="1"/>
  <c r="I82" i="29" s="1"/>
  <c r="C85" i="29"/>
  <c r="I86" i="29" a="1"/>
  <c r="I86" i="29" s="1"/>
  <c r="K8" i="29" a="1"/>
  <c r="K8" i="29" s="1"/>
  <c r="K14" i="29" a="1"/>
  <c r="K14" i="29" s="1"/>
  <c r="K20" i="29" a="1"/>
  <c r="K20" i="29" s="1"/>
  <c r="J5" i="29" a="1"/>
  <c r="J5" i="29" s="1"/>
  <c r="J11" i="29" a="1"/>
  <c r="J11" i="29" s="1"/>
  <c r="J17" i="29" a="1"/>
  <c r="J17" i="29" s="1"/>
  <c r="J23" i="29" a="1"/>
  <c r="J23" i="29" s="1"/>
  <c r="I8" i="29" a="1"/>
  <c r="I8" i="29" s="1"/>
  <c r="I14" i="29" a="1"/>
  <c r="I14" i="29" s="1"/>
  <c r="I19" i="29" a="1"/>
  <c r="I19" i="29" s="1"/>
  <c r="I4" i="29" a="1"/>
  <c r="I4" i="29" s="1"/>
  <c r="D12" i="29"/>
  <c r="D20" i="29"/>
  <c r="C7" i="29"/>
  <c r="C15" i="29"/>
  <c r="C23" i="29"/>
  <c r="G8" i="28"/>
  <c r="G16" i="28"/>
  <c r="G24" i="28"/>
  <c r="G32" i="28"/>
  <c r="G40" i="28"/>
  <c r="G48" i="28"/>
  <c r="G56" i="28"/>
  <c r="G64" i="28"/>
  <c r="G72" i="28"/>
  <c r="F7" i="28"/>
  <c r="F15" i="28"/>
  <c r="F23" i="28"/>
  <c r="F31" i="28"/>
  <c r="F39" i="28"/>
  <c r="F47" i="28"/>
  <c r="F55" i="28"/>
  <c r="F63" i="28"/>
  <c r="F71" i="28"/>
  <c r="B6" i="28"/>
  <c r="D25" i="29"/>
  <c r="I26" i="29" a="1"/>
  <c r="I26" i="29" s="1"/>
  <c r="K27" i="29" a="1"/>
  <c r="K27" i="29" s="1"/>
  <c r="D29" i="29"/>
  <c r="I30" i="29" a="1"/>
  <c r="I30" i="29" s="1"/>
  <c r="K31" i="29" a="1"/>
  <c r="K31" i="29" s="1"/>
  <c r="D33" i="29"/>
  <c r="I34" i="29" a="1"/>
  <c r="I34" i="29" s="1"/>
  <c r="K35" i="29" a="1"/>
  <c r="K35" i="29" s="1"/>
  <c r="D37" i="29"/>
  <c r="I38" i="29" a="1"/>
  <c r="I38" i="29" s="1"/>
  <c r="K39" i="29" a="1"/>
  <c r="K39" i="29" s="1"/>
  <c r="D41" i="29"/>
  <c r="I42" i="29" a="1"/>
  <c r="I42" i="29" s="1"/>
  <c r="K43" i="29" a="1"/>
  <c r="K43" i="29" s="1"/>
  <c r="D45" i="29"/>
  <c r="I46" i="29" a="1"/>
  <c r="I46" i="29" s="1"/>
  <c r="C48" i="29"/>
  <c r="I49" i="29" a="1"/>
  <c r="I49" i="29" s="1"/>
  <c r="C51" i="29"/>
  <c r="J52" i="29" a="1"/>
  <c r="J52" i="29" s="1"/>
  <c r="C54" i="29"/>
  <c r="I55" i="29" a="1"/>
  <c r="I55" i="29" s="1"/>
  <c r="K56" i="29" a="1"/>
  <c r="K56" i="29" s="1"/>
  <c r="I58" i="29" a="1"/>
  <c r="I58" i="29" s="1"/>
  <c r="C60" i="29"/>
  <c r="I61" i="29" a="1"/>
  <c r="I61" i="29" s="1"/>
  <c r="K62" i="29" a="1"/>
  <c r="K62" i="29" s="1"/>
  <c r="I64" i="29" a="1"/>
  <c r="I64" i="29" s="1"/>
  <c r="K65" i="29" a="1"/>
  <c r="K65" i="29" s="1"/>
  <c r="I67" i="29" a="1"/>
  <c r="I67" i="29" s="1"/>
  <c r="K68" i="29" a="1"/>
  <c r="K68" i="29" s="1"/>
  <c r="I70" i="29" a="1"/>
  <c r="I70" i="29" s="1"/>
  <c r="K71" i="29" a="1"/>
  <c r="K71" i="29" s="1"/>
  <c r="D73" i="29"/>
  <c r="J74" i="29" a="1"/>
  <c r="J74" i="29" s="1"/>
  <c r="K75" i="29" a="1"/>
  <c r="K75" i="29" s="1"/>
  <c r="D77" i="29"/>
  <c r="J78" i="29" a="1"/>
  <c r="J78" i="29" s="1"/>
  <c r="K79" i="29" a="1"/>
  <c r="K79" i="29" s="1"/>
  <c r="D81" i="29"/>
  <c r="J82" i="29" a="1"/>
  <c r="J82" i="29" s="1"/>
  <c r="K83" i="29" a="1"/>
  <c r="K83" i="29" s="1"/>
  <c r="D85" i="29"/>
  <c r="J86" i="29" a="1"/>
  <c r="J86" i="29" s="1"/>
  <c r="K9" i="29" a="1"/>
  <c r="K9" i="29" s="1"/>
  <c r="J6" i="29" a="1"/>
  <c r="J6" i="29" s="1"/>
  <c r="J12" i="29" a="1"/>
  <c r="J12" i="29" s="1"/>
  <c r="J18" i="29" a="1"/>
  <c r="J18" i="29" s="1"/>
  <c r="J24" i="29" a="1"/>
  <c r="J24" i="29" s="1"/>
  <c r="I20" i="29" a="1"/>
  <c r="I20" i="29" s="1"/>
  <c r="D5" i="29"/>
  <c r="D13" i="29"/>
  <c r="D21" i="29"/>
  <c r="C8" i="29"/>
  <c r="C16" i="29"/>
  <c r="C24" i="29"/>
  <c r="G9" i="28"/>
  <c r="G17" i="28"/>
  <c r="G25" i="28"/>
  <c r="G33" i="28"/>
  <c r="G41" i="28"/>
  <c r="G49" i="28"/>
  <c r="G57" i="28"/>
  <c r="G65" i="28"/>
  <c r="G73" i="28"/>
  <c r="F8" i="28"/>
  <c r="F16" i="28"/>
  <c r="F24" i="28"/>
  <c r="F32" i="28"/>
  <c r="F40" i="28"/>
  <c r="F48" i="28"/>
  <c r="F56" i="28"/>
  <c r="F64" i="28"/>
  <c r="F72" i="28"/>
  <c r="B7" i="28"/>
  <c r="B15" i="28"/>
  <c r="B23" i="28"/>
  <c r="B74" i="28"/>
  <c r="B66" i="28"/>
  <c r="B58" i="28"/>
  <c r="B49" i="28"/>
  <c r="B39" i="28"/>
  <c r="B25" i="28"/>
  <c r="B9" i="28"/>
  <c r="F59" i="28"/>
  <c r="F41" i="28"/>
  <c r="F18" i="28"/>
  <c r="G68" i="28"/>
  <c r="G50" i="28"/>
  <c r="G27" i="28"/>
  <c r="G4" i="28"/>
  <c r="C9" i="29"/>
  <c r="D7" i="29"/>
  <c r="K22" i="29" a="1"/>
  <c r="K22" i="29" s="1"/>
  <c r="K5" i="29" a="1"/>
  <c r="K5" i="29" s="1"/>
  <c r="C84" i="29"/>
  <c r="D80" i="29"/>
  <c r="I76" i="29" a="1"/>
  <c r="I76" i="29" s="1"/>
  <c r="I73" i="29" a="1"/>
  <c r="I73" i="29" s="1"/>
  <c r="D69" i="29"/>
  <c r="K64" i="29" a="1"/>
  <c r="K64" i="29" s="1"/>
  <c r="J61" i="29" a="1"/>
  <c r="J61" i="29" s="1"/>
  <c r="D57" i="29"/>
  <c r="C53" i="29"/>
  <c r="J49" i="29" a="1"/>
  <c r="J49" i="29" s="1"/>
  <c r="J41" i="29" a="1"/>
  <c r="J41" i="29" s="1"/>
  <c r="J34" i="29" a="1"/>
  <c r="J34" i="29" s="1"/>
  <c r="K30" i="29" a="1"/>
  <c r="K30" i="29" s="1"/>
  <c r="C28" i="29"/>
  <c r="B73" i="28"/>
  <c r="B65" i="28"/>
  <c r="B57" i="28"/>
  <c r="B48" i="28"/>
  <c r="B38" i="28"/>
  <c r="B24" i="28"/>
  <c r="B8" i="28"/>
  <c r="F58" i="28"/>
  <c r="F35" i="28"/>
  <c r="F17" i="28"/>
  <c r="G67" i="28"/>
  <c r="G44" i="28"/>
  <c r="G26" i="28"/>
  <c r="G3" i="28"/>
  <c r="D24" i="29"/>
  <c r="D6" i="29"/>
  <c r="I10" i="29" a="1"/>
  <c r="I10" i="29" s="1"/>
  <c r="J14" i="29" a="1"/>
  <c r="J14" i="29" s="1"/>
  <c r="K21" i="29" a="1"/>
  <c r="K21" i="29" s="1"/>
  <c r="K86" i="29" a="1"/>
  <c r="K86" i="29" s="1"/>
  <c r="C83" i="29"/>
  <c r="C80" i="29"/>
  <c r="D76" i="29"/>
  <c r="I72" i="29" a="1"/>
  <c r="I72" i="29" s="1"/>
  <c r="C69" i="29"/>
  <c r="J60" i="29" a="1"/>
  <c r="J60" i="29" s="1"/>
  <c r="C57" i="29"/>
  <c r="K52" i="29" a="1"/>
  <c r="K52" i="29" s="1"/>
  <c r="J48" i="29" a="1"/>
  <c r="J48" i="29" s="1"/>
  <c r="I45" i="29" a="1"/>
  <c r="I45" i="29" s="1"/>
  <c r="J37" i="29" a="1"/>
  <c r="J37" i="29" s="1"/>
  <c r="J30" i="29" a="1"/>
  <c r="J30" i="29" s="1"/>
  <c r="K26" i="29" a="1"/>
  <c r="K26" i="29" s="1"/>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5" i="18"/>
  <c r="AA80" i="5"/>
  <c r="AC80" i="5"/>
  <c r="Z80" i="5"/>
  <c r="V80" i="5" s="1"/>
  <c r="W80" i="5" s="1"/>
  <c r="Y80" i="5"/>
  <c r="X80" i="5"/>
  <c r="AA79" i="5"/>
  <c r="AC79" i="5"/>
  <c r="Z79" i="5"/>
  <c r="V79" i="5" s="1"/>
  <c r="W79" i="5" s="1"/>
  <c r="Y79" i="5"/>
  <c r="X79" i="5"/>
  <c r="AA78" i="5"/>
  <c r="AC78" i="5"/>
  <c r="Z78" i="5"/>
  <c r="V78" i="5" s="1"/>
  <c r="W78" i="5" s="1"/>
  <c r="Y78" i="5"/>
  <c r="X78" i="5"/>
  <c r="AA77" i="5"/>
  <c r="AB77" i="5"/>
  <c r="Z77" i="5"/>
  <c r="V77" i="5" s="1"/>
  <c r="W77" i="5" s="1"/>
  <c r="Y77" i="5"/>
  <c r="X77" i="5"/>
  <c r="AA76" i="5"/>
  <c r="AC76" i="5"/>
  <c r="Z76" i="5"/>
  <c r="V76" i="5" s="1"/>
  <c r="W76" i="5" s="1"/>
  <c r="Y76" i="5"/>
  <c r="X76" i="5"/>
  <c r="AA75" i="5"/>
  <c r="AC75" i="5"/>
  <c r="Z75" i="5"/>
  <c r="Y75" i="5"/>
  <c r="X75" i="5"/>
  <c r="V75" i="5"/>
  <c r="W75" i="5" s="1"/>
  <c r="AA74" i="5"/>
  <c r="AC74" i="5"/>
  <c r="Z74" i="5"/>
  <c r="Y74" i="5"/>
  <c r="X74" i="5"/>
  <c r="V74" i="5"/>
  <c r="W74" i="5" s="1"/>
  <c r="AA73" i="5"/>
  <c r="AB73" i="5"/>
  <c r="Z73" i="5"/>
  <c r="V73" i="5" s="1"/>
  <c r="W73" i="5" s="1"/>
  <c r="Y73" i="5"/>
  <c r="X73" i="5"/>
  <c r="AA72" i="5"/>
  <c r="AC72" i="5"/>
  <c r="Z72" i="5"/>
  <c r="V72" i="5" s="1"/>
  <c r="W72" i="5" s="1"/>
  <c r="Y72" i="5"/>
  <c r="X72" i="5"/>
  <c r="AA71" i="5"/>
  <c r="AC71" i="5"/>
  <c r="Z71" i="5"/>
  <c r="V71" i="5" s="1"/>
  <c r="W71" i="5" s="1"/>
  <c r="Y71" i="5"/>
  <c r="X71" i="5"/>
  <c r="AB70" i="5"/>
  <c r="AA70" i="5"/>
  <c r="AC70" i="5"/>
  <c r="Z70" i="5"/>
  <c r="V70" i="5" s="1"/>
  <c r="W70" i="5" s="1"/>
  <c r="Y70" i="5"/>
  <c r="X70" i="5"/>
  <c r="AA69" i="5"/>
  <c r="AB69" i="5"/>
  <c r="Z69" i="5"/>
  <c r="V69" i="5" s="1"/>
  <c r="W69" i="5" s="1"/>
  <c r="Y69" i="5"/>
  <c r="X69" i="5"/>
  <c r="AA68" i="5"/>
  <c r="AC68" i="5"/>
  <c r="Z68" i="5"/>
  <c r="V68" i="5" s="1"/>
  <c r="W68" i="5" s="1"/>
  <c r="Y68" i="5"/>
  <c r="X68" i="5"/>
  <c r="AA67" i="5"/>
  <c r="AC67" i="5"/>
  <c r="Z67" i="5"/>
  <c r="V67" i="5" s="1"/>
  <c r="W67" i="5" s="1"/>
  <c r="Y67" i="5"/>
  <c r="X67" i="5"/>
  <c r="AC66" i="5"/>
  <c r="AA66" i="5"/>
  <c r="AB66" i="5"/>
  <c r="Z66" i="5"/>
  <c r="V66" i="5" s="1"/>
  <c r="W66" i="5" s="1"/>
  <c r="Y66" i="5"/>
  <c r="X66" i="5"/>
  <c r="AA65" i="5"/>
  <c r="AB65" i="5"/>
  <c r="Z65" i="5"/>
  <c r="V65" i="5" s="1"/>
  <c r="W65" i="5" s="1"/>
  <c r="Y65" i="5"/>
  <c r="X65" i="5"/>
  <c r="AA64" i="5"/>
  <c r="AB64" i="5"/>
  <c r="Z64" i="5"/>
  <c r="V64" i="5" s="1"/>
  <c r="W64" i="5" s="1"/>
  <c r="Y64" i="5"/>
  <c r="X64" i="5"/>
  <c r="AA63" i="5"/>
  <c r="AC63" i="5"/>
  <c r="Z63" i="5"/>
  <c r="V63" i="5" s="1"/>
  <c r="W63" i="5" s="1"/>
  <c r="Y63" i="5"/>
  <c r="X63" i="5"/>
  <c r="AA62" i="5"/>
  <c r="AB62" i="5"/>
  <c r="Z62" i="5"/>
  <c r="V62" i="5" s="1"/>
  <c r="W62" i="5" s="1"/>
  <c r="Y62" i="5"/>
  <c r="X62" i="5"/>
  <c r="AA61" i="5"/>
  <c r="AB61" i="5"/>
  <c r="Y61" i="5"/>
  <c r="X61" i="5"/>
  <c r="AA60" i="5"/>
  <c r="AB60" i="5"/>
  <c r="Y60" i="5"/>
  <c r="X60" i="5"/>
  <c r="AA59" i="5"/>
  <c r="AC59" i="5"/>
  <c r="Y59" i="5"/>
  <c r="X59" i="5"/>
  <c r="AC58" i="5"/>
  <c r="AB58" i="5"/>
  <c r="AA58" i="5"/>
  <c r="Y58" i="5"/>
  <c r="X58" i="5"/>
  <c r="AG79" i="5" a="1"/>
  <c r="AG64" i="5" a="1"/>
  <c r="AG66" i="5" a="1"/>
  <c r="AG78" i="5" a="1"/>
  <c r="AG71" i="5" a="1"/>
  <c r="AG72" i="5" a="1"/>
  <c r="AG62" i="5" a="1"/>
  <c r="AG75" i="5" a="1"/>
  <c r="AG76" i="5" a="1"/>
  <c r="AG65" i="5" a="1"/>
  <c r="AG74" i="5" a="1"/>
  <c r="AG73" i="5" a="1"/>
  <c r="AG70" i="5" a="1"/>
  <c r="AG68" i="5" a="1"/>
  <c r="AG77" i="5" a="1"/>
  <c r="AG69" i="5" a="1"/>
  <c r="AG80" i="5" a="1"/>
  <c r="AG67" i="5" a="1"/>
  <c r="AG63" i="5" a="1"/>
  <c r="AG77" i="5" l="1"/>
  <c r="AG66" i="5"/>
  <c r="AG73" i="5"/>
  <c r="AG75" i="5"/>
  <c r="AG64" i="5"/>
  <c r="AG80" i="5"/>
  <c r="AG71" i="5"/>
  <c r="AG69" i="5"/>
  <c r="AG78" i="5"/>
  <c r="AG67" i="5"/>
  <c r="AG76" i="5"/>
  <c r="AG65" i="5"/>
  <c r="AG74" i="5"/>
  <c r="AG68" i="5"/>
  <c r="AG72" i="5"/>
  <c r="AG62" i="5"/>
  <c r="AG63" i="5"/>
  <c r="AG70" i="5"/>
  <c r="AG79" i="5"/>
  <c r="Z60" i="5"/>
  <c r="Z61" i="5"/>
  <c r="Z58" i="5"/>
  <c r="Z59" i="5"/>
  <c r="AC65" i="5"/>
  <c r="AC64" i="5"/>
  <c r="AB79" i="5"/>
  <c r="AB71" i="5"/>
  <c r="AB78" i="5"/>
  <c r="AC60" i="5"/>
  <c r="AC61" i="5"/>
  <c r="AC62" i="5"/>
  <c r="AC69" i="5"/>
  <c r="AC77" i="5"/>
  <c r="AB74" i="5"/>
  <c r="AB75" i="5"/>
  <c r="AC73" i="5"/>
  <c r="AB59" i="5"/>
  <c r="AB63" i="5"/>
  <c r="AB67" i="5"/>
  <c r="AB68" i="5"/>
  <c r="AB72" i="5"/>
  <c r="AB76" i="5"/>
  <c r="AB80" i="5"/>
  <c r="X49" i="5"/>
  <c r="Y49" i="5"/>
  <c r="AB49" i="5"/>
  <c r="AA49" i="5"/>
  <c r="X50" i="5"/>
  <c r="Y50" i="5"/>
  <c r="AB50" i="5"/>
  <c r="AA50" i="5"/>
  <c r="X51" i="5"/>
  <c r="Y51" i="5"/>
  <c r="AC51" i="5"/>
  <c r="AA51" i="5"/>
  <c r="X52" i="5"/>
  <c r="Y52" i="5"/>
  <c r="AB52" i="5"/>
  <c r="AA52" i="5"/>
  <c r="X53" i="5"/>
  <c r="Y53" i="5"/>
  <c r="AC53" i="5"/>
  <c r="AA53" i="5"/>
  <c r="X54" i="5"/>
  <c r="Y54" i="5"/>
  <c r="AB54" i="5"/>
  <c r="AA54" i="5"/>
  <c r="X55" i="5"/>
  <c r="Y55" i="5"/>
  <c r="AB55" i="5"/>
  <c r="AA55" i="5"/>
  <c r="X56" i="5"/>
  <c r="Y56" i="5"/>
  <c r="AC56" i="5"/>
  <c r="AA56" i="5"/>
  <c r="X57" i="5"/>
  <c r="Y57" i="5"/>
  <c r="AC57" i="5"/>
  <c r="AA57" i="5"/>
  <c r="K31" i="25"/>
  <c r="J32" i="25"/>
  <c r="C13" i="25"/>
  <c r="C12" i="25"/>
  <c r="C31" i="25" s="1"/>
  <c r="C11" i="25"/>
  <c r="C10" i="25"/>
  <c r="C29" i="25" s="1"/>
  <c r="C9" i="25"/>
  <c r="C8" i="25"/>
  <c r="C27" i="25" s="1"/>
  <c r="C7" i="25"/>
  <c r="C6" i="25"/>
  <c r="C25" i="25" s="1"/>
  <c r="C5" i="25"/>
  <c r="BH45" i="26"/>
  <c r="BF45" i="26" s="1"/>
  <c r="BG45" i="26"/>
  <c r="BE45" i="26" s="1"/>
  <c r="BH44" i="26"/>
  <c r="BF44" i="26" s="1"/>
  <c r="BG44" i="26"/>
  <c r="BE44" i="26" s="1"/>
  <c r="BH43" i="26"/>
  <c r="BF43" i="26" s="1"/>
  <c r="BG43" i="26"/>
  <c r="BE43" i="26" s="1"/>
  <c r="BH42" i="26"/>
  <c r="BF42" i="26" s="1"/>
  <c r="BG42" i="26"/>
  <c r="BE42" i="26" s="1"/>
  <c r="BH41" i="26"/>
  <c r="BF41" i="26" s="1"/>
  <c r="BG41" i="26"/>
  <c r="BE41" i="26" s="1"/>
  <c r="BH40" i="26"/>
  <c r="BF40" i="26" s="1"/>
  <c r="BG40" i="26"/>
  <c r="BE40" i="26" s="1"/>
  <c r="BH39" i="26"/>
  <c r="BF39" i="26" s="1"/>
  <c r="BG39" i="26"/>
  <c r="BE39" i="26" s="1"/>
  <c r="BH38" i="26"/>
  <c r="BF38" i="26" s="1"/>
  <c r="BG38" i="26"/>
  <c r="BE38" i="26" s="1"/>
  <c r="BH37" i="26"/>
  <c r="BF37" i="26" s="1"/>
  <c r="BG37" i="26"/>
  <c r="BE37" i="26" s="1"/>
  <c r="BH36" i="26"/>
  <c r="BF36" i="26" s="1"/>
  <c r="BG36" i="26"/>
  <c r="BE36" i="26" s="1"/>
  <c r="BH35" i="26"/>
  <c r="BF35" i="26" s="1"/>
  <c r="BG35" i="26"/>
  <c r="BE35" i="26" s="1"/>
  <c r="BH34" i="26"/>
  <c r="BF34" i="26" s="1"/>
  <c r="BG34" i="26"/>
  <c r="BE34" i="26" s="1"/>
  <c r="BH33" i="26"/>
  <c r="BF33" i="26" s="1"/>
  <c r="BG33" i="26"/>
  <c r="BE33" i="26" s="1"/>
  <c r="BH32" i="26"/>
  <c r="BF32" i="26" s="1"/>
  <c r="BG32" i="26"/>
  <c r="BE32" i="26" s="1"/>
  <c r="BH31" i="26"/>
  <c r="BF31" i="26" s="1"/>
  <c r="BG31" i="26"/>
  <c r="BE31" i="26" s="1"/>
  <c r="BH30" i="26"/>
  <c r="BF30" i="26" s="1"/>
  <c r="BG30" i="26"/>
  <c r="BE30" i="26" s="1"/>
  <c r="BH29" i="26"/>
  <c r="BF29" i="26" s="1"/>
  <c r="BG29" i="26"/>
  <c r="BE29" i="26" s="1"/>
  <c r="BH28" i="26"/>
  <c r="BF28" i="26" s="1"/>
  <c r="BG28" i="26"/>
  <c r="BE28" i="26" s="1"/>
  <c r="BH27" i="26"/>
  <c r="BF27" i="26" s="1"/>
  <c r="BG27" i="26"/>
  <c r="BE27" i="26" s="1"/>
  <c r="BH26" i="26"/>
  <c r="BF26" i="26" s="1"/>
  <c r="BG26" i="26"/>
  <c r="BE26" i="26" s="1"/>
  <c r="BH25" i="26"/>
  <c r="BF25" i="26" s="1"/>
  <c r="BG25" i="26"/>
  <c r="BE25" i="26" s="1"/>
  <c r="BH24" i="26"/>
  <c r="BF24" i="26" s="1"/>
  <c r="BG24" i="26"/>
  <c r="BE24" i="26" s="1"/>
  <c r="BH23" i="26"/>
  <c r="BF23" i="26" s="1"/>
  <c r="BG23" i="26"/>
  <c r="BE23" i="26" s="1"/>
  <c r="BH22" i="26"/>
  <c r="BF22" i="26" s="1"/>
  <c r="BG22" i="26"/>
  <c r="BE22" i="26" s="1"/>
  <c r="BH21" i="26"/>
  <c r="BF21" i="26" s="1"/>
  <c r="BG21" i="26"/>
  <c r="BE21" i="26" s="1"/>
  <c r="BH20" i="26"/>
  <c r="BF20" i="26" s="1"/>
  <c r="BG20" i="26"/>
  <c r="BE20" i="26" s="1"/>
  <c r="BH19" i="26"/>
  <c r="BF19" i="26" s="1"/>
  <c r="BG19" i="26"/>
  <c r="BE19" i="26" s="1"/>
  <c r="BH18" i="26"/>
  <c r="BF18" i="26" s="1"/>
  <c r="BG18" i="26"/>
  <c r="BE18" i="26" s="1"/>
  <c r="BH17" i="26"/>
  <c r="BF17" i="26" s="1"/>
  <c r="BG17" i="26"/>
  <c r="BE17" i="26" s="1"/>
  <c r="BH16" i="26"/>
  <c r="BF16" i="26" s="1"/>
  <c r="BG16" i="26"/>
  <c r="BE16" i="26" s="1"/>
  <c r="BH15" i="26"/>
  <c r="BF15" i="26" s="1"/>
  <c r="BG15" i="26"/>
  <c r="BE15" i="26" s="1"/>
  <c r="BH14" i="26"/>
  <c r="BG14" i="26"/>
  <c r="BE14" i="26" s="1"/>
  <c r="BH13" i="26"/>
  <c r="BF13" i="26" s="1"/>
  <c r="BG13" i="26"/>
  <c r="BE13" i="26" s="1"/>
  <c r="BH12" i="26"/>
  <c r="BG12" i="26"/>
  <c r="BH11" i="26"/>
  <c r="BF11" i="26" s="1"/>
  <c r="BG11" i="26"/>
  <c r="BE11" i="26" s="1"/>
  <c r="BH10" i="26"/>
  <c r="BG10" i="26"/>
  <c r="BE10" i="26" s="1"/>
  <c r="BH9" i="26"/>
  <c r="BF9" i="26" s="1"/>
  <c r="BG9" i="26"/>
  <c r="BE9" i="26" s="1"/>
  <c r="BH8" i="26"/>
  <c r="BG8" i="26"/>
  <c r="BH7" i="26"/>
  <c r="BF7" i="26" s="1"/>
  <c r="BG7" i="26"/>
  <c r="BE7" i="26" s="1"/>
  <c r="D32" i="25"/>
  <c r="I32" i="25" s="1"/>
  <c r="B32" i="25"/>
  <c r="D31" i="25"/>
  <c r="J31" i="25" s="1"/>
  <c r="B31" i="25"/>
  <c r="D30" i="25"/>
  <c r="J30" i="25" s="1"/>
  <c r="B30" i="25"/>
  <c r="D29" i="25"/>
  <c r="K29" i="25" s="1"/>
  <c r="B29" i="25"/>
  <c r="D28" i="25"/>
  <c r="J28" i="25" s="1"/>
  <c r="B28" i="25"/>
  <c r="D27" i="25"/>
  <c r="K27" i="25" s="1"/>
  <c r="B27" i="25"/>
  <c r="D26" i="25"/>
  <c r="K26" i="25" s="1"/>
  <c r="B26" i="25"/>
  <c r="D25" i="25"/>
  <c r="K25" i="25" s="1"/>
  <c r="B25" i="25"/>
  <c r="D24" i="25"/>
  <c r="K24" i="25" s="1"/>
  <c r="B24" i="25"/>
  <c r="I13" i="25"/>
  <c r="J13" i="25" s="1"/>
  <c r="H13" i="25"/>
  <c r="H32" i="25" s="1"/>
  <c r="G13" i="25"/>
  <c r="G32" i="25" s="1"/>
  <c r="I12" i="25"/>
  <c r="J12" i="25" s="1"/>
  <c r="H12" i="25"/>
  <c r="H31" i="25" s="1"/>
  <c r="G12" i="25"/>
  <c r="G31" i="25" s="1"/>
  <c r="I11" i="25"/>
  <c r="J11" i="25" s="1"/>
  <c r="H11" i="25"/>
  <c r="H30" i="25" s="1"/>
  <c r="G11" i="25"/>
  <c r="G30" i="25" s="1"/>
  <c r="I10" i="25"/>
  <c r="H10" i="25"/>
  <c r="H29" i="25" s="1"/>
  <c r="G10" i="25"/>
  <c r="G29" i="25" s="1"/>
  <c r="I9" i="25"/>
  <c r="H9" i="25"/>
  <c r="H28" i="25" s="1"/>
  <c r="G9" i="25"/>
  <c r="G28" i="25" s="1"/>
  <c r="I8" i="25"/>
  <c r="H8" i="25"/>
  <c r="H27" i="25" s="1"/>
  <c r="G8" i="25"/>
  <c r="G27" i="25" s="1"/>
  <c r="I7" i="25"/>
  <c r="H7" i="25"/>
  <c r="H26" i="25" s="1"/>
  <c r="G7" i="25"/>
  <c r="G26" i="25" s="1"/>
  <c r="I6" i="25"/>
  <c r="H6" i="25"/>
  <c r="H25" i="25" s="1"/>
  <c r="G6" i="25"/>
  <c r="G25" i="25" s="1"/>
  <c r="I5" i="25"/>
  <c r="H5" i="25"/>
  <c r="H24" i="25" s="1"/>
  <c r="G5" i="25"/>
  <c r="J10" i="25" l="1"/>
  <c r="Z51" i="5"/>
  <c r="Z52" i="5"/>
  <c r="Z49" i="5"/>
  <c r="Z55" i="5"/>
  <c r="Z57" i="5"/>
  <c r="Z54" i="5"/>
  <c r="Z56" i="5"/>
  <c r="Z53" i="5"/>
  <c r="Z50" i="5"/>
  <c r="I30" i="25"/>
  <c r="K30" i="25"/>
  <c r="K32" i="25"/>
  <c r="J8" i="25"/>
  <c r="J29" i="25"/>
  <c r="J9" i="25"/>
  <c r="AC55" i="5"/>
  <c r="AC52" i="5"/>
  <c r="AC49" i="5"/>
  <c r="J27" i="25"/>
  <c r="K28" i="25"/>
  <c r="I28" i="25"/>
  <c r="AB57" i="5"/>
  <c r="AB53" i="5"/>
  <c r="AC54" i="5"/>
  <c r="AC50" i="5"/>
  <c r="J25" i="25"/>
  <c r="J24" i="25"/>
  <c r="J26" i="25"/>
  <c r="BF14" i="26"/>
  <c r="F12" i="25" s="1"/>
  <c r="F31" i="25" s="1"/>
  <c r="BF12" i="26"/>
  <c r="F10" i="25" s="1"/>
  <c r="F29" i="25" s="1"/>
  <c r="BF10" i="26"/>
  <c r="F8" i="25" s="1"/>
  <c r="F27" i="25" s="1"/>
  <c r="BF8" i="26"/>
  <c r="F6" i="25" s="1"/>
  <c r="F25" i="25" s="1"/>
  <c r="J7" i="25"/>
  <c r="I26" i="25"/>
  <c r="E7" i="25"/>
  <c r="E26" i="25" s="1"/>
  <c r="E11" i="25"/>
  <c r="E30" i="25" s="1"/>
  <c r="BE12" i="26"/>
  <c r="E10" i="25" s="1"/>
  <c r="E29" i="25" s="1"/>
  <c r="BE8" i="26"/>
  <c r="E6" i="25" s="1"/>
  <c r="E25" i="25" s="1"/>
  <c r="E8" i="25"/>
  <c r="E27" i="25" s="1"/>
  <c r="E12" i="25"/>
  <c r="E31" i="25" s="1"/>
  <c r="F7" i="25"/>
  <c r="F26" i="25" s="1"/>
  <c r="F11" i="25"/>
  <c r="F30" i="25" s="1"/>
  <c r="F9" i="25"/>
  <c r="F28" i="25" s="1"/>
  <c r="F13" i="25"/>
  <c r="F32" i="25" s="1"/>
  <c r="E9" i="25"/>
  <c r="E28" i="25" s="1"/>
  <c r="E13" i="25"/>
  <c r="E32" i="25" s="1"/>
  <c r="E5" i="25"/>
  <c r="E24" i="25" s="1"/>
  <c r="F5" i="25"/>
  <c r="F24" i="25" s="1"/>
  <c r="I14" i="25"/>
  <c r="N4" i="25" s="1"/>
  <c r="O4" i="25" s="1"/>
  <c r="G14" i="25"/>
  <c r="J6" i="25"/>
  <c r="K7" i="25"/>
  <c r="K11" i="25"/>
  <c r="G24" i="25"/>
  <c r="I24" i="25" s="1"/>
  <c r="K5" i="25"/>
  <c r="K13" i="25"/>
  <c r="K9" i="25"/>
  <c r="H33" i="25"/>
  <c r="I25" i="25"/>
  <c r="C26" i="25"/>
  <c r="C28" i="25"/>
  <c r="C32" i="25"/>
  <c r="J5" i="25"/>
  <c r="H14" i="25"/>
  <c r="C14" i="25"/>
  <c r="C24" i="25"/>
  <c r="I27" i="25"/>
  <c r="I29" i="25"/>
  <c r="C30" i="25"/>
  <c r="I31" i="25"/>
  <c r="K6" i="25"/>
  <c r="K8" i="25"/>
  <c r="K10" i="25"/>
  <c r="K12" i="25"/>
  <c r="G33" i="25" l="1"/>
  <c r="I33" i="25" s="1"/>
  <c r="J14" i="25"/>
  <c r="P4" i="25" s="1"/>
  <c r="K14" i="25"/>
  <c r="Q4" i="25" s="1"/>
  <c r="D17" i="25"/>
  <c r="C33" i="25"/>
  <c r="K33" i="25" l="1"/>
  <c r="J33" i="25"/>
  <c r="AC34" i="5" l="1"/>
  <c r="AC39" i="5" l="1"/>
  <c r="AC38" i="5"/>
  <c r="AC37" i="5"/>
  <c r="AC36" i="5"/>
  <c r="AC35" i="5"/>
  <c r="AC33" i="5"/>
  <c r="AC32" i="5"/>
  <c r="AC31" i="5"/>
  <c r="AC30" i="5"/>
  <c r="AC29" i="5"/>
  <c r="AC26" i="5"/>
  <c r="AC25" i="5"/>
  <c r="AC24" i="5"/>
  <c r="AC23" i="5"/>
  <c r="AC22" i="5"/>
  <c r="AC21" i="5"/>
  <c r="AC20" i="5"/>
  <c r="AC19" i="5"/>
  <c r="AC18" i="5"/>
  <c r="AC17" i="5"/>
  <c r="AC15" i="5"/>
  <c r="AC14" i="5"/>
  <c r="AC13" i="5"/>
  <c r="AC12" i="5"/>
  <c r="AC11" i="5"/>
  <c r="AC10" i="5"/>
  <c r="AC9" i="5"/>
  <c r="AC8" i="5"/>
  <c r="AC7" i="5"/>
  <c r="AC6" i="5"/>
  <c r="AC5" i="5"/>
  <c r="AC41" i="5"/>
  <c r="AC42" i="5"/>
  <c r="AC43" i="5"/>
  <c r="AC44" i="5"/>
  <c r="AC45" i="5"/>
  <c r="AC46" i="5"/>
  <c r="AC47" i="5"/>
  <c r="AC48" i="5"/>
  <c r="AC40" i="5"/>
  <c r="E8" i="7" a="1"/>
  <c r="E8" i="7" s="1"/>
  <c r="E9" i="7" a="1"/>
  <c r="E9" i="7" s="1"/>
  <c r="E10" i="7" a="1"/>
  <c r="E10" i="7" s="1"/>
  <c r="E11" i="7" a="1"/>
  <c r="E11" i="7" s="1"/>
  <c r="E12" i="7" a="1"/>
  <c r="E12" i="7" s="1"/>
  <c r="E13" i="7" a="1"/>
  <c r="E13" i="7" s="1"/>
  <c r="E14" i="7" a="1"/>
  <c r="E14" i="7" s="1"/>
  <c r="E15" i="7" a="1"/>
  <c r="E15" i="7" s="1"/>
  <c r="E16" i="7" a="1"/>
  <c r="E16" i="7" s="1"/>
  <c r="E17" i="7" a="1"/>
  <c r="E17" i="7" s="1"/>
  <c r="E18" i="7" a="1"/>
  <c r="E18" i="7" s="1"/>
  <c r="E19" i="7" a="1"/>
  <c r="E19" i="7" s="1"/>
  <c r="E20" i="7" a="1"/>
  <c r="E20" i="7" s="1"/>
  <c r="E21" i="7" a="1"/>
  <c r="E21" i="7" s="1"/>
  <c r="E22" i="7" a="1"/>
  <c r="E22" i="7" s="1"/>
  <c r="E23" i="7" a="1"/>
  <c r="E23" i="7" s="1"/>
  <c r="E24" i="7" a="1"/>
  <c r="E24" i="7" s="1"/>
  <c r="E25" i="7" a="1"/>
  <c r="E25" i="7" s="1"/>
  <c r="E26" i="7" a="1"/>
  <c r="E26" i="7" s="1"/>
  <c r="E27" i="7" a="1"/>
  <c r="E27" i="7" s="1"/>
  <c r="E28" i="7" a="1"/>
  <c r="E28" i="7" s="1"/>
  <c r="E29" i="7" a="1"/>
  <c r="E29" i="7" s="1"/>
  <c r="E30" i="7" a="1"/>
  <c r="E30" i="7" s="1"/>
  <c r="E31" i="7" a="1"/>
  <c r="E31" i="7" s="1"/>
  <c r="E32" i="7" a="1"/>
  <c r="E32" i="7" s="1"/>
  <c r="E33" i="7" a="1"/>
  <c r="E33" i="7" s="1"/>
  <c r="E34" i="7" a="1"/>
  <c r="E34" i="7" s="1"/>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7" i="7" a="1"/>
  <c r="E7" i="7" s="1"/>
  <c r="I3" i="24" a="1"/>
  <c r="I3" i="24" s="1"/>
  <c r="I4" i="24" a="1"/>
  <c r="I4" i="24" s="1"/>
  <c r="I5" i="24" a="1"/>
  <c r="I5" i="24" s="1"/>
  <c r="I6" i="24" a="1"/>
  <c r="I6" i="24" s="1"/>
  <c r="I7" i="24" a="1"/>
  <c r="I7" i="24" s="1"/>
  <c r="I8" i="24" a="1"/>
  <c r="I8" i="24" s="1"/>
  <c r="I9" i="24" a="1"/>
  <c r="I9" i="24" s="1"/>
  <c r="I10" i="24" a="1"/>
  <c r="I10" i="24" s="1"/>
  <c r="I11" i="24" a="1"/>
  <c r="I11" i="24" s="1"/>
  <c r="I12" i="24" a="1"/>
  <c r="I12" i="24" s="1"/>
  <c r="I13" i="24" a="1"/>
  <c r="I13" i="24" s="1"/>
  <c r="I14" i="24" a="1"/>
  <c r="I14" i="24" s="1"/>
  <c r="I15" i="24" a="1"/>
  <c r="I15" i="24" s="1"/>
  <c r="I16" i="24" a="1"/>
  <c r="I16" i="24" s="1"/>
  <c r="I17" i="24" a="1"/>
  <c r="I17" i="24" s="1"/>
  <c r="I18" i="24" a="1"/>
  <c r="I18" i="24" s="1"/>
  <c r="I19" i="24" a="1"/>
  <c r="I19" i="24" s="1"/>
  <c r="I20" i="24" a="1"/>
  <c r="I20" i="24" s="1"/>
  <c r="I21" i="24" a="1"/>
  <c r="I21" i="24" s="1"/>
  <c r="I22" i="24" a="1"/>
  <c r="I22" i="24" s="1"/>
  <c r="I23" i="24" a="1"/>
  <c r="I23" i="24" s="1"/>
  <c r="I24" i="24" a="1"/>
  <c r="I24" i="24" s="1"/>
  <c r="I25" i="24" a="1"/>
  <c r="I25" i="24" s="1"/>
  <c r="I26" i="24" a="1"/>
  <c r="I26" i="24" s="1"/>
  <c r="I27" i="24" a="1"/>
  <c r="I27" i="24" s="1"/>
  <c r="I28" i="24" a="1"/>
  <c r="I28" i="24" s="1"/>
  <c r="I29" i="24" a="1"/>
  <c r="I29" i="24" s="1"/>
  <c r="I30" i="24" a="1"/>
  <c r="I30" i="24" s="1"/>
  <c r="I31" i="24" a="1"/>
  <c r="I31" i="24" s="1"/>
  <c r="I32" i="24" a="1"/>
  <c r="I32" i="24" s="1"/>
  <c r="I33" i="24" a="1"/>
  <c r="I33" i="24" s="1"/>
  <c r="I34" i="24" a="1"/>
  <c r="I34" i="24" s="1"/>
  <c r="I35" i="24" a="1"/>
  <c r="I35" i="24" s="1"/>
  <c r="I36" i="24" a="1"/>
  <c r="I36" i="24" s="1"/>
  <c r="I37" i="24" a="1"/>
  <c r="I37" i="24" s="1"/>
  <c r="I38" i="24" a="1"/>
  <c r="I38" i="24" s="1"/>
  <c r="I39" i="24" a="1"/>
  <c r="I39" i="24" s="1"/>
  <c r="I40" i="24" a="1"/>
  <c r="I40" i="24" s="1"/>
  <c r="I41" i="24" a="1"/>
  <c r="I41" i="24" s="1"/>
  <c r="I42" i="24" a="1"/>
  <c r="I42" i="24" s="1"/>
  <c r="I43" i="24" a="1"/>
  <c r="I43" i="24" s="1"/>
  <c r="I44" i="24" a="1"/>
  <c r="I44" i="24" s="1"/>
  <c r="I45" i="24" a="1"/>
  <c r="I45" i="24" s="1"/>
  <c r="I46" i="24" a="1"/>
  <c r="I46" i="24" s="1"/>
  <c r="I47" i="24" a="1"/>
  <c r="I47" i="24" s="1"/>
  <c r="I48" i="24" a="1"/>
  <c r="I48" i="24" s="1"/>
  <c r="I49" i="24" a="1"/>
  <c r="I49" i="24" s="1"/>
  <c r="I50" i="24" a="1"/>
  <c r="I50" i="24" s="1"/>
  <c r="I51" i="24" a="1"/>
  <c r="I51" i="24" s="1"/>
  <c r="I52" i="24" a="1"/>
  <c r="I52" i="24" s="1"/>
  <c r="I53" i="24" a="1"/>
  <c r="I53" i="24" s="1"/>
  <c r="I54" i="24" a="1"/>
  <c r="I54" i="24" s="1"/>
  <c r="I55" i="24" a="1"/>
  <c r="I55" i="24" s="1"/>
  <c r="I56" i="24" a="1"/>
  <c r="I56" i="24" s="1"/>
  <c r="I57" i="24" a="1"/>
  <c r="I57" i="24" s="1"/>
  <c r="I58" i="24" a="1"/>
  <c r="I58" i="24" s="1"/>
  <c r="I59" i="24" a="1"/>
  <c r="I59" i="24" s="1"/>
  <c r="I60" i="24" a="1"/>
  <c r="I60" i="24" s="1"/>
  <c r="I61" i="24" a="1"/>
  <c r="I61" i="24" s="1"/>
  <c r="I62" i="24" a="1"/>
  <c r="I62" i="24" s="1"/>
  <c r="I63" i="24" a="1"/>
  <c r="I63" i="24" s="1"/>
  <c r="I64" i="24" a="1"/>
  <c r="I64" i="24" s="1"/>
  <c r="I65" i="24" a="1"/>
  <c r="I65" i="24" s="1"/>
  <c r="I66" i="24" a="1"/>
  <c r="I66" i="24" s="1"/>
  <c r="I67" i="24" a="1"/>
  <c r="I67" i="24" s="1"/>
  <c r="I68" i="24" a="1"/>
  <c r="I68" i="24" s="1"/>
  <c r="I69" i="24" a="1"/>
  <c r="I69" i="24" s="1"/>
  <c r="I70" i="24" a="1"/>
  <c r="I70" i="24" s="1"/>
  <c r="I71" i="24" a="1"/>
  <c r="I71" i="24" s="1"/>
  <c r="I72" i="24" a="1"/>
  <c r="I72" i="24" s="1"/>
  <c r="I73" i="24" a="1"/>
  <c r="I73" i="24" s="1"/>
  <c r="I74" i="24" a="1"/>
  <c r="I74" i="24" s="1"/>
  <c r="I75" i="24" a="1"/>
  <c r="I75" i="24" s="1"/>
  <c r="I76" i="24" a="1"/>
  <c r="I76" i="24" s="1"/>
  <c r="I77" i="24" a="1"/>
  <c r="I77" i="24" s="1"/>
  <c r="I78" i="24" a="1"/>
  <c r="I78" i="24" s="1"/>
  <c r="I79" i="24" a="1"/>
  <c r="I79" i="24" s="1"/>
  <c r="I80" i="24" a="1"/>
  <c r="I80" i="24" s="1"/>
  <c r="I81" i="24" a="1"/>
  <c r="I81" i="24" s="1"/>
  <c r="I82" i="24" a="1"/>
  <c r="I82" i="24" s="1"/>
  <c r="I83" i="24" a="1"/>
  <c r="I83" i="24" s="1"/>
  <c r="I84" i="24" a="1"/>
  <c r="I84" i="24" s="1"/>
  <c r="I85" i="24" a="1"/>
  <c r="I85" i="24" s="1"/>
  <c r="I86" i="24" a="1"/>
  <c r="I86" i="24" s="1"/>
  <c r="I87" i="24" a="1"/>
  <c r="I87" i="24" s="1"/>
  <c r="I88" i="24" a="1"/>
  <c r="I88"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I148" i="24" a="1"/>
  <c r="I148" i="24" s="1"/>
  <c r="I149" i="24" a="1"/>
  <c r="I149" i="24" s="1"/>
  <c r="I150" i="24" a="1"/>
  <c r="I150" i="24" s="1"/>
  <c r="I151" i="24" a="1"/>
  <c r="I151" i="24" s="1"/>
  <c r="I152" i="24" a="1"/>
  <c r="I152" i="24" s="1"/>
  <c r="I153" i="24" a="1"/>
  <c r="I153" i="24" s="1"/>
  <c r="I154" i="24" a="1"/>
  <c r="I154" i="24" s="1"/>
  <c r="I155" i="24" a="1"/>
  <c r="I155" i="24" s="1"/>
  <c r="I156" i="24" a="1"/>
  <c r="I156" i="24" s="1"/>
  <c r="I157" i="24" a="1"/>
  <c r="I157" i="24" s="1"/>
  <c r="I158" i="24" a="1"/>
  <c r="I158" i="24" s="1"/>
  <c r="I159" i="24" a="1"/>
  <c r="I159" i="24" s="1"/>
  <c r="I160" i="24" a="1"/>
  <c r="I160" i="24" s="1"/>
  <c r="I161" i="24" a="1"/>
  <c r="I161" i="24" s="1"/>
  <c r="I162" i="24" a="1"/>
  <c r="I162" i="24" s="1"/>
  <c r="I163" i="24" a="1"/>
  <c r="I163" i="24" s="1"/>
  <c r="I164" i="24" a="1"/>
  <c r="I164" i="24" s="1"/>
  <c r="I165" i="24" a="1"/>
  <c r="I165" i="24" s="1"/>
  <c r="I166" i="24" a="1"/>
  <c r="I166" i="24" s="1"/>
  <c r="I167" i="24" a="1"/>
  <c r="I167" i="24" s="1"/>
  <c r="I168" i="24" a="1"/>
  <c r="I168" i="24" s="1"/>
  <c r="I169" i="24" a="1"/>
  <c r="I169" i="24" s="1"/>
  <c r="I170" i="24" a="1"/>
  <c r="I170" i="24" s="1"/>
  <c r="I171" i="24" a="1"/>
  <c r="I171" i="24" s="1"/>
  <c r="I172" i="24" a="1"/>
  <c r="I172" i="24" s="1"/>
  <c r="I173" i="24" a="1"/>
  <c r="I173" i="24" s="1"/>
  <c r="I174" i="24" a="1"/>
  <c r="I174" i="24" s="1"/>
  <c r="I175" i="24" a="1"/>
  <c r="I175" i="24" s="1"/>
  <c r="I176" i="24" a="1"/>
  <c r="I176" i="24" s="1"/>
  <c r="I177" i="24" a="1"/>
  <c r="I177" i="24" s="1"/>
  <c r="I178" i="24" a="1"/>
  <c r="I178" i="24" s="1"/>
  <c r="I179" i="24" a="1"/>
  <c r="I179" i="24" s="1"/>
  <c r="I2" i="24" a="1"/>
  <c r="I2" i="24" s="1"/>
  <c r="D3" i="24" a="1"/>
  <c r="D3" i="24" s="1"/>
  <c r="D4" i="24" a="1"/>
  <c r="D4" i="24" s="1"/>
  <c r="D5" i="24" a="1"/>
  <c r="D5" i="24" s="1"/>
  <c r="D6" i="24" a="1"/>
  <c r="D6" i="24" s="1"/>
  <c r="D7" i="24" a="1"/>
  <c r="D7" i="24" s="1"/>
  <c r="D8" i="24" a="1"/>
  <c r="D8" i="24" s="1"/>
  <c r="D9" i="24" a="1"/>
  <c r="D9" i="24" s="1"/>
  <c r="D10" i="24" a="1"/>
  <c r="D10" i="24" s="1"/>
  <c r="D11" i="24" a="1"/>
  <c r="D11" i="24" s="1"/>
  <c r="D12" i="24" a="1"/>
  <c r="D12" i="24" s="1"/>
  <c r="D13" i="24" a="1"/>
  <c r="D13" i="24" s="1"/>
  <c r="D14" i="24" a="1"/>
  <c r="D14" i="24" s="1"/>
  <c r="D15" i="24" a="1"/>
  <c r="D15" i="24" s="1"/>
  <c r="D16" i="24" a="1"/>
  <c r="D16" i="24" s="1"/>
  <c r="D17" i="24" a="1"/>
  <c r="D17" i="24" s="1"/>
  <c r="D18" i="24" a="1"/>
  <c r="D18" i="24" s="1"/>
  <c r="D19" i="24" a="1"/>
  <c r="D19" i="24" s="1"/>
  <c r="D20" i="24" a="1"/>
  <c r="D20" i="24" s="1"/>
  <c r="D21" i="24" a="1"/>
  <c r="D21" i="24" s="1"/>
  <c r="D22" i="24" a="1"/>
  <c r="D22" i="24" s="1"/>
  <c r="D23" i="24" a="1"/>
  <c r="D23" i="24" s="1"/>
  <c r="D24" i="24" a="1"/>
  <c r="D24" i="24" s="1"/>
  <c r="D25" i="24" a="1"/>
  <c r="D25" i="24" s="1"/>
  <c r="D26" i="24" a="1"/>
  <c r="D26" i="24" s="1"/>
  <c r="D27" i="24" a="1"/>
  <c r="D27" i="24" s="1"/>
  <c r="D28" i="24" a="1"/>
  <c r="D28" i="24" s="1"/>
  <c r="D29" i="24" a="1"/>
  <c r="D29" i="24" s="1"/>
  <c r="D30" i="24" a="1"/>
  <c r="D30" i="24" s="1"/>
  <c r="D31" i="24" a="1"/>
  <c r="D31" i="24" s="1"/>
  <c r="D32" i="24" a="1"/>
  <c r="D32" i="24" s="1"/>
  <c r="D33" i="24" a="1"/>
  <c r="D33" i="24" s="1"/>
  <c r="D34" i="24" a="1"/>
  <c r="D34" i="24" s="1"/>
  <c r="D35" i="24" a="1"/>
  <c r="D35" i="24" s="1"/>
  <c r="D36" i="24" a="1"/>
  <c r="D36" i="24" s="1"/>
  <c r="D37" i="24" a="1"/>
  <c r="D37" i="24" s="1"/>
  <c r="D38" i="24" a="1"/>
  <c r="D38" i="24" s="1"/>
  <c r="D39" i="24" a="1"/>
  <c r="D39" i="24" s="1"/>
  <c r="D40" i="24" a="1"/>
  <c r="D40" i="24" s="1"/>
  <c r="D41" i="24" a="1"/>
  <c r="D41" i="24" s="1"/>
  <c r="D42" i="24" a="1"/>
  <c r="D42" i="24" s="1"/>
  <c r="D43" i="24" a="1"/>
  <c r="D43" i="24" s="1"/>
  <c r="D44" i="24" a="1"/>
  <c r="D44" i="24" s="1"/>
  <c r="D45" i="24" a="1"/>
  <c r="D45" i="24" s="1"/>
  <c r="D46" i="24" a="1"/>
  <c r="D46" i="24" s="1"/>
  <c r="D47" i="24" a="1"/>
  <c r="D47" i="24" s="1"/>
  <c r="D48" i="24" a="1"/>
  <c r="D48" i="24" s="1"/>
  <c r="D49" i="24" a="1"/>
  <c r="D49" i="24" s="1"/>
  <c r="D50" i="24" a="1"/>
  <c r="D50" i="24" s="1"/>
  <c r="D51" i="24" a="1"/>
  <c r="D51" i="24" s="1"/>
  <c r="D52" i="24" a="1"/>
  <c r="D52" i="24" s="1"/>
  <c r="D53" i="24" a="1"/>
  <c r="D53" i="24" s="1"/>
  <c r="D54" i="24" a="1"/>
  <c r="D54" i="24" s="1"/>
  <c r="D55" i="24" a="1"/>
  <c r="D55" i="24" s="1"/>
  <c r="D56" i="24" a="1"/>
  <c r="D56" i="24" s="1"/>
  <c r="D57" i="24" a="1"/>
  <c r="D57" i="24" s="1"/>
  <c r="D58" i="24" a="1"/>
  <c r="D58" i="24" s="1"/>
  <c r="D59" i="24" a="1"/>
  <c r="D59" i="24" s="1"/>
  <c r="D60" i="24" a="1"/>
  <c r="D60" i="24" s="1"/>
  <c r="D61" i="24" a="1"/>
  <c r="D61" i="24" s="1"/>
  <c r="D62" i="24" a="1"/>
  <c r="D62" i="24" s="1"/>
  <c r="D63" i="24" a="1"/>
  <c r="D63" i="24" s="1"/>
  <c r="D64" i="24" a="1"/>
  <c r="D64" i="24" s="1"/>
  <c r="D65" i="24" a="1"/>
  <c r="D65" i="24" s="1"/>
  <c r="D66" i="24" a="1"/>
  <c r="D66" i="24" s="1"/>
  <c r="D67" i="24" a="1"/>
  <c r="D67" i="24" s="1"/>
  <c r="D68" i="24" a="1"/>
  <c r="D68" i="24" s="1"/>
  <c r="D69" i="24" a="1"/>
  <c r="D69" i="24" s="1"/>
  <c r="D70" i="24" a="1"/>
  <c r="D70" i="24" s="1"/>
  <c r="D71" i="24" a="1"/>
  <c r="D71" i="24" s="1"/>
  <c r="D72" i="24" a="1"/>
  <c r="D72" i="24" s="1"/>
  <c r="D73" i="24" a="1"/>
  <c r="D73" i="24" s="1"/>
  <c r="D74" i="24" a="1"/>
  <c r="D74" i="24" s="1"/>
  <c r="D75" i="24" a="1"/>
  <c r="D75" i="24" s="1"/>
  <c r="D76" i="24" a="1"/>
  <c r="D76" i="24" s="1"/>
  <c r="D77" i="24" a="1"/>
  <c r="D77" i="24" s="1"/>
  <c r="D78" i="24" a="1"/>
  <c r="D78" i="24" s="1"/>
  <c r="D79" i="24" a="1"/>
  <c r="D79" i="24" s="1"/>
  <c r="D80" i="24" a="1"/>
  <c r="D80" i="24" s="1"/>
  <c r="D81" i="24" a="1"/>
  <c r="D81" i="24" s="1"/>
  <c r="D82" i="24" a="1"/>
  <c r="D82" i="24" s="1"/>
  <c r="D83" i="24" a="1"/>
  <c r="D83" i="24" s="1"/>
  <c r="D84" i="24" a="1"/>
  <c r="D84" i="24" s="1"/>
  <c r="D85" i="24" a="1"/>
  <c r="D85" i="24" s="1"/>
  <c r="D86" i="24" a="1"/>
  <c r="D86" i="24" s="1"/>
  <c r="D87" i="24" a="1"/>
  <c r="D87" i="24" s="1"/>
  <c r="D88" i="24" a="1"/>
  <c r="D88" i="24" s="1"/>
  <c r="D89" i="24" a="1"/>
  <c r="D89" i="24" s="1"/>
  <c r="D90" i="24" a="1"/>
  <c r="D90" i="24" s="1"/>
  <c r="D91" i="24" a="1"/>
  <c r="D91" i="24" s="1"/>
  <c r="D92" i="24" a="1"/>
  <c r="D92" i="24" s="1"/>
  <c r="D93" i="24" a="1"/>
  <c r="D93" i="24" s="1"/>
  <c r="D94" i="24" a="1"/>
  <c r="D94" i="24" s="1"/>
  <c r="D95" i="24" a="1"/>
  <c r="D95" i="24" s="1"/>
  <c r="D96" i="24" a="1"/>
  <c r="D96" i="24" s="1"/>
  <c r="D97" i="24" a="1"/>
  <c r="D97" i="24" s="1"/>
  <c r="D98" i="24" a="1"/>
  <c r="D98" i="24" s="1"/>
  <c r="D99" i="24" a="1"/>
  <c r="D99" i="24" s="1"/>
  <c r="D100" i="24" a="1"/>
  <c r="D100" i="24" s="1"/>
  <c r="D101" i="24" a="1"/>
  <c r="D101" i="24" s="1"/>
  <c r="D102" i="24" a="1"/>
  <c r="D102" i="24" s="1"/>
  <c r="D103" i="24" a="1"/>
  <c r="D103" i="24" s="1"/>
  <c r="D104" i="24" a="1"/>
  <c r="D104" i="24" s="1"/>
  <c r="D105" i="24" a="1"/>
  <c r="D105" i="24" s="1"/>
  <c r="D106" i="24" a="1"/>
  <c r="D106" i="24" s="1"/>
  <c r="D107" i="24" a="1"/>
  <c r="D107" i="24" s="1"/>
  <c r="D108" i="24" a="1"/>
  <c r="D108" i="24" s="1"/>
  <c r="D109" i="24" a="1"/>
  <c r="D109" i="24" s="1"/>
  <c r="D110" i="24" a="1"/>
  <c r="D110" i="24" s="1"/>
  <c r="D111" i="24" a="1"/>
  <c r="D111" i="24" s="1"/>
  <c r="D112" i="24" a="1"/>
  <c r="D112" i="24" s="1"/>
  <c r="D113" i="24" a="1"/>
  <c r="D113" i="24" s="1"/>
  <c r="D114" i="24" a="1"/>
  <c r="D114" i="24" s="1"/>
  <c r="D115" i="24" a="1"/>
  <c r="D115" i="24" s="1"/>
  <c r="D116" i="24" a="1"/>
  <c r="D116" i="24" s="1"/>
  <c r="D117" i="24" a="1"/>
  <c r="D117" i="24" s="1"/>
  <c r="D118" i="24" a="1"/>
  <c r="D118" i="24" s="1"/>
  <c r="D119" i="24" a="1"/>
  <c r="D119" i="24" s="1"/>
  <c r="D120" i="24" a="1"/>
  <c r="D120" i="24" s="1"/>
  <c r="D121" i="24" a="1"/>
  <c r="D121" i="24" s="1"/>
  <c r="D122" i="24" a="1"/>
  <c r="D122" i="24" s="1"/>
  <c r="D123" i="24" a="1"/>
  <c r="D123" i="24" s="1"/>
  <c r="D124" i="24" a="1"/>
  <c r="D124" i="24" s="1"/>
  <c r="D125" i="24" a="1"/>
  <c r="D125" i="24" s="1"/>
  <c r="D126" i="24" a="1"/>
  <c r="D126" i="24" s="1"/>
  <c r="D127" i="24" a="1"/>
  <c r="D127" i="24" s="1"/>
  <c r="D128" i="24" a="1"/>
  <c r="D128" i="24" s="1"/>
  <c r="D129" i="24" a="1"/>
  <c r="D129" i="24" s="1"/>
  <c r="D130" i="24" a="1"/>
  <c r="D130" i="24" s="1"/>
  <c r="D131" i="24" a="1"/>
  <c r="D131" i="24" s="1"/>
  <c r="D132" i="24" a="1"/>
  <c r="D132" i="24" s="1"/>
  <c r="D133" i="24" a="1"/>
  <c r="D133" i="24" s="1"/>
  <c r="D134" i="24" a="1"/>
  <c r="D134" i="24" s="1"/>
  <c r="D135" i="24" a="1"/>
  <c r="D135" i="24" s="1"/>
  <c r="D136" i="24" a="1"/>
  <c r="D136" i="24" s="1"/>
  <c r="D137" i="24" a="1"/>
  <c r="D137" i="24" s="1"/>
  <c r="D138" i="24" a="1"/>
  <c r="D138" i="24" s="1"/>
  <c r="D139" i="24" a="1"/>
  <c r="D139" i="24" s="1"/>
  <c r="D140" i="24" a="1"/>
  <c r="D140" i="24" s="1"/>
  <c r="D141" i="24" a="1"/>
  <c r="D141" i="24" s="1"/>
  <c r="D142" i="24" a="1"/>
  <c r="D142" i="24" s="1"/>
  <c r="D143" i="24" a="1"/>
  <c r="D143" i="24" s="1"/>
  <c r="D144" i="24" a="1"/>
  <c r="D144" i="24" s="1"/>
  <c r="D145" i="24" a="1"/>
  <c r="D145" i="24" s="1"/>
  <c r="D146" i="24" a="1"/>
  <c r="D146" i="24" s="1"/>
  <c r="D147" i="24" a="1"/>
  <c r="D147" i="24" s="1"/>
  <c r="D148" i="24" a="1"/>
  <c r="D148" i="24" s="1"/>
  <c r="D149" i="24" a="1"/>
  <c r="D149" i="24" s="1"/>
  <c r="D150" i="24" a="1"/>
  <c r="D150" i="24" s="1"/>
  <c r="D151" i="24" a="1"/>
  <c r="D151" i="24" s="1"/>
  <c r="D152" i="24" a="1"/>
  <c r="D152" i="24" s="1"/>
  <c r="D153" i="24" a="1"/>
  <c r="D153" i="24" s="1"/>
  <c r="D154" i="24" a="1"/>
  <c r="D154" i="24" s="1"/>
  <c r="D155" i="24" a="1"/>
  <c r="D155" i="24" s="1"/>
  <c r="D156" i="24" a="1"/>
  <c r="D156" i="24" s="1"/>
  <c r="D157" i="24" a="1"/>
  <c r="D157" i="24" s="1"/>
  <c r="D158" i="24" a="1"/>
  <c r="D158" i="24" s="1"/>
  <c r="D159" i="24" a="1"/>
  <c r="D159" i="24" s="1"/>
  <c r="D160" i="24" a="1"/>
  <c r="D160" i="24" s="1"/>
  <c r="D161" i="24" a="1"/>
  <c r="D161" i="24" s="1"/>
  <c r="D162" i="24" a="1"/>
  <c r="D162" i="24" s="1"/>
  <c r="D163" i="24" a="1"/>
  <c r="D163" i="24" s="1"/>
  <c r="D164" i="24" a="1"/>
  <c r="D164" i="24" s="1"/>
  <c r="D165" i="24" a="1"/>
  <c r="D165" i="24" s="1"/>
  <c r="D166" i="24" a="1"/>
  <c r="D166" i="24" s="1"/>
  <c r="D167" i="24" a="1"/>
  <c r="D167" i="24" s="1"/>
  <c r="D168" i="24" a="1"/>
  <c r="D168" i="24" s="1"/>
  <c r="D169" i="24" a="1"/>
  <c r="D169" i="24" s="1"/>
  <c r="D170" i="24" a="1"/>
  <c r="D170" i="24" s="1"/>
  <c r="D171" i="24" a="1"/>
  <c r="D171" i="24" s="1"/>
  <c r="D172" i="24" a="1"/>
  <c r="D172" i="24" s="1"/>
  <c r="D173" i="24" a="1"/>
  <c r="D173" i="24" s="1"/>
  <c r="D174" i="24" a="1"/>
  <c r="D174" i="24" s="1"/>
  <c r="D175" i="24" a="1"/>
  <c r="D175" i="24" s="1"/>
  <c r="D176" i="24" a="1"/>
  <c r="D176" i="24" s="1"/>
  <c r="D177" i="24" a="1"/>
  <c r="D177" i="24" s="1"/>
  <c r="D178" i="24" a="1"/>
  <c r="D178" i="24" s="1"/>
  <c r="D179" i="24" a="1"/>
  <c r="D179" i="24" s="1"/>
  <c r="D180" i="24" a="1"/>
  <c r="D180" i="24" s="1"/>
  <c r="D181" i="24" a="1"/>
  <c r="D181" i="24" s="1"/>
  <c r="D182" i="24" a="1"/>
  <c r="D182" i="24" s="1"/>
  <c r="D183" i="24" a="1"/>
  <c r="D183" i="24" s="1"/>
  <c r="D184" i="24" a="1"/>
  <c r="D184" i="24" s="1"/>
  <c r="D185" i="24" a="1"/>
  <c r="D185" i="24" s="1"/>
  <c r="D186" i="24" a="1"/>
  <c r="D186" i="24" s="1"/>
  <c r="D187" i="24" a="1"/>
  <c r="D187" i="24" s="1"/>
  <c r="D188" i="24" a="1"/>
  <c r="D188" i="24" s="1"/>
  <c r="D189" i="24" a="1"/>
  <c r="D189" i="24" s="1"/>
  <c r="D190" i="24" a="1"/>
  <c r="D190" i="24" s="1"/>
  <c r="D191" i="24" a="1"/>
  <c r="D191" i="24" s="1"/>
  <c r="D192" i="24" a="1"/>
  <c r="D192" i="24" s="1"/>
  <c r="D193" i="24" a="1"/>
  <c r="D193" i="24" s="1"/>
  <c r="D194" i="24" a="1"/>
  <c r="D194" i="24" s="1"/>
  <c r="D195" i="24" a="1"/>
  <c r="D195" i="24" s="1"/>
  <c r="D196" i="24" a="1"/>
  <c r="D196" i="24" s="1"/>
  <c r="D197" i="24" a="1"/>
  <c r="D197" i="24" s="1"/>
  <c r="D198" i="24" a="1"/>
  <c r="D198" i="24" s="1"/>
  <c r="D199" i="24" a="1"/>
  <c r="D199" i="24" s="1"/>
  <c r="D200" i="24" a="1"/>
  <c r="D200" i="24" s="1"/>
  <c r="D201" i="24" a="1"/>
  <c r="D201" i="24" s="1"/>
  <c r="D202" i="24" a="1"/>
  <c r="D202" i="24" s="1"/>
  <c r="D203" i="24" a="1"/>
  <c r="D203" i="24" s="1"/>
  <c r="D204" i="24" a="1"/>
  <c r="D204" i="24" s="1"/>
  <c r="D205" i="24" a="1"/>
  <c r="D205" i="24" s="1"/>
  <c r="D206" i="24" a="1"/>
  <c r="D206" i="24" s="1"/>
  <c r="D207" i="24" a="1"/>
  <c r="D207" i="24" s="1"/>
  <c r="D208" i="24" a="1"/>
  <c r="D208" i="24" s="1"/>
  <c r="D209" i="24" a="1"/>
  <c r="D209" i="24" s="1"/>
  <c r="D210" i="24" a="1"/>
  <c r="D210" i="24" s="1"/>
  <c r="D211" i="24" a="1"/>
  <c r="D211" i="24" s="1"/>
  <c r="D212" i="24" a="1"/>
  <c r="D212" i="24" s="1"/>
  <c r="D213" i="24" a="1"/>
  <c r="D213" i="24" s="1"/>
  <c r="D214" i="24" a="1"/>
  <c r="D214" i="24" s="1"/>
  <c r="D215" i="24" a="1"/>
  <c r="D215" i="24" s="1"/>
  <c r="D216" i="24" a="1"/>
  <c r="D216" i="24" s="1"/>
  <c r="D217" i="24" a="1"/>
  <c r="D217" i="24" s="1"/>
  <c r="D218" i="24" a="1"/>
  <c r="D218" i="24" s="1"/>
  <c r="D219" i="24" a="1"/>
  <c r="D219" i="24" s="1"/>
  <c r="D220" i="24" a="1"/>
  <c r="D220" i="24" s="1"/>
  <c r="D221" i="24" a="1"/>
  <c r="D221" i="24" s="1"/>
  <c r="D222" i="24" a="1"/>
  <c r="D222" i="24" s="1"/>
  <c r="D223" i="24" a="1"/>
  <c r="D223" i="24" s="1"/>
  <c r="D224" i="24" a="1"/>
  <c r="D224" i="24" s="1"/>
  <c r="D225" i="24" a="1"/>
  <c r="D225" i="24" s="1"/>
  <c r="D226" i="24" a="1"/>
  <c r="D226" i="24" s="1"/>
  <c r="D227" i="24" a="1"/>
  <c r="D227" i="24" s="1"/>
  <c r="D228" i="24" a="1"/>
  <c r="D228" i="24" s="1"/>
  <c r="D229" i="24" a="1"/>
  <c r="D229" i="24" s="1"/>
  <c r="D230" i="24" a="1"/>
  <c r="D230" i="24" s="1"/>
  <c r="D231" i="24" a="1"/>
  <c r="D231" i="24" s="1"/>
  <c r="D232" i="24" a="1"/>
  <c r="D232" i="24" s="1"/>
  <c r="D233" i="24" a="1"/>
  <c r="D233" i="24" s="1"/>
  <c r="D234" i="24" a="1"/>
  <c r="D234" i="24" s="1"/>
  <c r="D235" i="24" a="1"/>
  <c r="D235" i="24" s="1"/>
  <c r="D236" i="24" a="1"/>
  <c r="D236" i="24" s="1"/>
  <c r="D237" i="24" a="1"/>
  <c r="D237" i="24" s="1"/>
  <c r="D238" i="24" a="1"/>
  <c r="D238" i="24" s="1"/>
  <c r="D239" i="24" a="1"/>
  <c r="D239" i="24" s="1"/>
  <c r="D240" i="24" a="1"/>
  <c r="D240" i="24" s="1"/>
  <c r="D241" i="24" a="1"/>
  <c r="D241" i="24" s="1"/>
  <c r="D242" i="24" a="1"/>
  <c r="D242" i="24" s="1"/>
  <c r="D243" i="24" a="1"/>
  <c r="D243" i="24" s="1"/>
  <c r="D244" i="24" a="1"/>
  <c r="D244" i="24" s="1"/>
  <c r="D245" i="24" a="1"/>
  <c r="D245" i="24" s="1"/>
  <c r="D246" i="24" a="1"/>
  <c r="D246" i="24" s="1"/>
  <c r="D247" i="24" a="1"/>
  <c r="D247" i="24" s="1"/>
  <c r="D248" i="24" a="1"/>
  <c r="D248" i="24" s="1"/>
  <c r="D249" i="24" a="1"/>
  <c r="D249" i="24" s="1"/>
  <c r="D250" i="24" a="1"/>
  <c r="D250" i="24" s="1"/>
  <c r="D251" i="24" a="1"/>
  <c r="D251" i="24" s="1"/>
  <c r="D252" i="24" a="1"/>
  <c r="D252" i="24" s="1"/>
  <c r="D253" i="24" a="1"/>
  <c r="D253" i="24" s="1"/>
  <c r="D254" i="24" a="1"/>
  <c r="D254" i="24" s="1"/>
  <c r="D255" i="24" a="1"/>
  <c r="D255" i="24" s="1"/>
  <c r="D256" i="24" a="1"/>
  <c r="D256" i="24" s="1"/>
  <c r="D257" i="24" a="1"/>
  <c r="D257" i="24" s="1"/>
  <c r="D258" i="24" a="1"/>
  <c r="D258" i="24" s="1"/>
  <c r="D259" i="24" a="1"/>
  <c r="D259" i="24" s="1"/>
  <c r="D260" i="24" a="1"/>
  <c r="D260" i="24" s="1"/>
  <c r="D261" i="24" a="1"/>
  <c r="D261" i="24" s="1"/>
  <c r="D262" i="24" a="1"/>
  <c r="D262" i="24" s="1"/>
  <c r="D263" i="24" a="1"/>
  <c r="D263" i="24" s="1"/>
  <c r="D264" i="24" a="1"/>
  <c r="D264" i="24" s="1"/>
  <c r="D265" i="24" a="1"/>
  <c r="D265" i="24" s="1"/>
  <c r="D266" i="24" a="1"/>
  <c r="D266" i="24" s="1"/>
  <c r="D267" i="24" a="1"/>
  <c r="D267" i="24" s="1"/>
  <c r="D268" i="24" a="1"/>
  <c r="D268" i="24" s="1"/>
  <c r="D269" i="24" a="1"/>
  <c r="D269" i="24" s="1"/>
  <c r="D270" i="24" a="1"/>
  <c r="D270" i="24" s="1"/>
  <c r="D271" i="24" a="1"/>
  <c r="D271" i="24" s="1"/>
  <c r="D272" i="24" a="1"/>
  <c r="D272" i="24" s="1"/>
  <c r="D273" i="24" a="1"/>
  <c r="D273" i="24" s="1"/>
  <c r="D274" i="24" a="1"/>
  <c r="D274" i="24" s="1"/>
  <c r="D275" i="24" a="1"/>
  <c r="D275" i="24" s="1"/>
  <c r="D276" i="24" a="1"/>
  <c r="D276" i="24" s="1"/>
  <c r="D277" i="24" a="1"/>
  <c r="D277" i="24" s="1"/>
  <c r="D278" i="24" a="1"/>
  <c r="D278" i="24" s="1"/>
  <c r="D279" i="24" a="1"/>
  <c r="D279" i="24" s="1"/>
  <c r="D280" i="24" a="1"/>
  <c r="D280" i="24" s="1"/>
  <c r="D281" i="24" a="1"/>
  <c r="D281" i="24" s="1"/>
  <c r="D282" i="24" a="1"/>
  <c r="D282" i="24" s="1"/>
  <c r="D283" i="24" a="1"/>
  <c r="D283" i="24" s="1"/>
  <c r="D284" i="24" a="1"/>
  <c r="D284" i="24" s="1"/>
  <c r="D285" i="24" a="1"/>
  <c r="D285" i="24" s="1"/>
  <c r="D286" i="24" a="1"/>
  <c r="D286" i="24" s="1"/>
  <c r="D287" i="24" a="1"/>
  <c r="D287" i="24" s="1"/>
  <c r="D288" i="24" a="1"/>
  <c r="D288" i="24" s="1"/>
  <c r="D289" i="24" a="1"/>
  <c r="D289" i="24" s="1"/>
  <c r="D290" i="24" a="1"/>
  <c r="D290" i="24" s="1"/>
  <c r="D291" i="24" a="1"/>
  <c r="D291" i="24" s="1"/>
  <c r="D292" i="24" a="1"/>
  <c r="D292" i="24" s="1"/>
  <c r="D293" i="24" a="1"/>
  <c r="D293" i="24" s="1"/>
  <c r="D294" i="24" a="1"/>
  <c r="D294" i="24" s="1"/>
  <c r="D295" i="24" a="1"/>
  <c r="D295" i="24" s="1"/>
  <c r="D296" i="24" a="1"/>
  <c r="D296" i="24" s="1"/>
  <c r="D297" i="24" a="1"/>
  <c r="D297" i="24" s="1"/>
  <c r="D298" i="24" a="1"/>
  <c r="D298" i="24" s="1"/>
  <c r="D299" i="24" a="1"/>
  <c r="D299" i="24" s="1"/>
  <c r="D300" i="24" a="1"/>
  <c r="D300" i="24" s="1"/>
  <c r="D301" i="24" a="1"/>
  <c r="D301" i="24" s="1"/>
  <c r="D302" i="24" a="1"/>
  <c r="D302" i="24" s="1"/>
  <c r="D303" i="24" a="1"/>
  <c r="D303" i="24" s="1"/>
  <c r="D304" i="24" a="1"/>
  <c r="D304" i="24" s="1"/>
  <c r="D305" i="24" a="1"/>
  <c r="D305" i="24" s="1"/>
  <c r="D306" i="24" a="1"/>
  <c r="D306" i="24" s="1"/>
  <c r="D307" i="24" a="1"/>
  <c r="D307" i="24" s="1"/>
  <c r="D308" i="24" a="1"/>
  <c r="D308" i="24" s="1"/>
  <c r="D309" i="24" a="1"/>
  <c r="D309" i="24" s="1"/>
  <c r="D310" i="24" a="1"/>
  <c r="D310" i="24" s="1"/>
  <c r="D311" i="24" a="1"/>
  <c r="D311" i="24" s="1"/>
  <c r="D312" i="24" a="1"/>
  <c r="D312" i="24" s="1"/>
  <c r="D313" i="24" a="1"/>
  <c r="D313" i="24" s="1"/>
  <c r="D314" i="24" a="1"/>
  <c r="D314" i="24" s="1"/>
  <c r="D315" i="24" a="1"/>
  <c r="D315" i="24" s="1"/>
  <c r="D316" i="24" a="1"/>
  <c r="D316" i="24" s="1"/>
  <c r="D317" i="24" a="1"/>
  <c r="D317" i="24" s="1"/>
  <c r="D318" i="24" a="1"/>
  <c r="D318" i="24" s="1"/>
  <c r="D319" i="24" a="1"/>
  <c r="D319" i="24" s="1"/>
  <c r="D320" i="24" a="1"/>
  <c r="D320" i="24" s="1"/>
  <c r="D321" i="24" a="1"/>
  <c r="D321" i="24" s="1"/>
  <c r="D322" i="24" a="1"/>
  <c r="D322" i="24" s="1"/>
  <c r="D323" i="24" a="1"/>
  <c r="D323" i="24" s="1"/>
  <c r="D324" i="24" a="1"/>
  <c r="D324" i="24" s="1"/>
  <c r="D325" i="24" a="1"/>
  <c r="D325" i="24" s="1"/>
  <c r="D326" i="24" a="1"/>
  <c r="D326" i="24" s="1"/>
  <c r="D327" i="24" a="1"/>
  <c r="D327" i="24" s="1"/>
  <c r="D328" i="24" a="1"/>
  <c r="D328" i="24" s="1"/>
  <c r="D329" i="24" a="1"/>
  <c r="D329" i="24" s="1"/>
  <c r="D330" i="24" a="1"/>
  <c r="D330" i="24" s="1"/>
  <c r="D331" i="24" a="1"/>
  <c r="D331" i="24" s="1"/>
  <c r="D332" i="24" a="1"/>
  <c r="D332" i="24" s="1"/>
  <c r="D333" i="24" a="1"/>
  <c r="D333" i="24" s="1"/>
  <c r="D334" i="24" a="1"/>
  <c r="D334" i="24" s="1"/>
  <c r="D335" i="24" a="1"/>
  <c r="D335" i="24" s="1"/>
  <c r="D336" i="24" a="1"/>
  <c r="D336" i="24" s="1"/>
  <c r="D337" i="24" a="1"/>
  <c r="D337" i="24" s="1"/>
  <c r="D338" i="24" a="1"/>
  <c r="D338" i="24" s="1"/>
  <c r="D339" i="24" a="1"/>
  <c r="D339" i="24" s="1"/>
  <c r="D340" i="24" a="1"/>
  <c r="D340" i="24" s="1"/>
  <c r="D341" i="24" a="1"/>
  <c r="D341" i="24" s="1"/>
  <c r="D342" i="24" a="1"/>
  <c r="D342" i="24" s="1"/>
  <c r="D343" i="24" a="1"/>
  <c r="D343" i="24" s="1"/>
  <c r="D344" i="24" a="1"/>
  <c r="D344" i="24" s="1"/>
  <c r="D345" i="24" a="1"/>
  <c r="D345" i="24" s="1"/>
  <c r="D346" i="24" a="1"/>
  <c r="D346" i="24" s="1"/>
  <c r="D347" i="24" a="1"/>
  <c r="D347" i="24" s="1"/>
  <c r="D348" i="24" a="1"/>
  <c r="D348" i="24" s="1"/>
  <c r="D349" i="24" a="1"/>
  <c r="D349" i="24" s="1"/>
  <c r="D350" i="24" a="1"/>
  <c r="D350" i="24" s="1"/>
  <c r="D351" i="24" a="1"/>
  <c r="D351" i="24" s="1"/>
  <c r="D352" i="24" a="1"/>
  <c r="D352" i="24" s="1"/>
  <c r="D353" i="24" a="1"/>
  <c r="D353" i="24" s="1"/>
  <c r="D354" i="24" a="1"/>
  <c r="D354" i="24" s="1"/>
  <c r="D355" i="24" a="1"/>
  <c r="D355" i="24" s="1"/>
  <c r="D356" i="24" a="1"/>
  <c r="D356" i="24" s="1"/>
  <c r="D357" i="24" a="1"/>
  <c r="D357" i="24" s="1"/>
  <c r="D358" i="24" a="1"/>
  <c r="D358" i="24" s="1"/>
  <c r="D359" i="24" a="1"/>
  <c r="D359" i="24" s="1"/>
  <c r="D360" i="24" a="1"/>
  <c r="D360" i="24" s="1"/>
  <c r="D361" i="24" a="1"/>
  <c r="D361" i="24" s="1"/>
  <c r="D362" i="24" a="1"/>
  <c r="D362" i="24" s="1"/>
  <c r="D363" i="24" a="1"/>
  <c r="D363" i="24" s="1"/>
  <c r="D364" i="24" a="1"/>
  <c r="D364" i="24" s="1"/>
  <c r="D365" i="24" a="1"/>
  <c r="D365" i="24" s="1"/>
  <c r="D366" i="24" a="1"/>
  <c r="D366" i="24" s="1"/>
  <c r="D367" i="24" a="1"/>
  <c r="D367" i="24" s="1"/>
  <c r="D368" i="24" a="1"/>
  <c r="D368" i="24" s="1"/>
  <c r="D369" i="24" a="1"/>
  <c r="D369" i="24" s="1"/>
  <c r="D370" i="24" a="1"/>
  <c r="D370" i="24" s="1"/>
  <c r="D371" i="24" a="1"/>
  <c r="D371" i="24" s="1"/>
  <c r="D372" i="24" a="1"/>
  <c r="D372" i="24" s="1"/>
  <c r="D373" i="24" a="1"/>
  <c r="D373" i="24" s="1"/>
  <c r="D374" i="24" a="1"/>
  <c r="D374" i="24" s="1"/>
  <c r="D375" i="24" a="1"/>
  <c r="D375" i="24" s="1"/>
  <c r="D376" i="24" a="1"/>
  <c r="D376" i="24" s="1"/>
  <c r="D377" i="24" a="1"/>
  <c r="D377" i="24" s="1"/>
  <c r="D378" i="24" a="1"/>
  <c r="D378" i="24" s="1"/>
  <c r="D379" i="24" a="1"/>
  <c r="D379" i="24" s="1"/>
  <c r="D380" i="24" a="1"/>
  <c r="D380" i="24" s="1"/>
  <c r="D381" i="24" a="1"/>
  <c r="D381" i="24" s="1"/>
  <c r="D382" i="24" a="1"/>
  <c r="D382" i="24" s="1"/>
  <c r="D383" i="24" a="1"/>
  <c r="D383" i="24" s="1"/>
  <c r="D384" i="24" a="1"/>
  <c r="D384" i="24" s="1"/>
  <c r="D385" i="24" a="1"/>
  <c r="D385" i="24" s="1"/>
  <c r="D386" i="24" a="1"/>
  <c r="D386" i="24" s="1"/>
  <c r="D387" i="24" a="1"/>
  <c r="D387" i="24" s="1"/>
  <c r="D388" i="24" a="1"/>
  <c r="D388" i="24" s="1"/>
  <c r="D389" i="24" a="1"/>
  <c r="D389" i="24" s="1"/>
  <c r="D390" i="24" a="1"/>
  <c r="D390" i="24" s="1"/>
  <c r="D391" i="24" a="1"/>
  <c r="D391" i="24" s="1"/>
  <c r="D392" i="24" a="1"/>
  <c r="D392" i="24" s="1"/>
  <c r="D393" i="24" a="1"/>
  <c r="D393" i="24" s="1"/>
  <c r="D394" i="24" a="1"/>
  <c r="D394" i="24" s="1"/>
  <c r="D395" i="24" a="1"/>
  <c r="D395" i="24" s="1"/>
  <c r="D396" i="24" a="1"/>
  <c r="D396" i="24" s="1"/>
  <c r="D397" i="24" a="1"/>
  <c r="D397" i="24" s="1"/>
  <c r="D398" i="24" a="1"/>
  <c r="D398" i="24" s="1"/>
  <c r="D399" i="24" a="1"/>
  <c r="D399" i="24" s="1"/>
  <c r="D400" i="24" a="1"/>
  <c r="D400" i="24" s="1"/>
  <c r="D401" i="24" a="1"/>
  <c r="D401" i="24" s="1"/>
  <c r="D402" i="24" a="1"/>
  <c r="D402" i="24" s="1"/>
  <c r="D403" i="24" a="1"/>
  <c r="D403" i="24" s="1"/>
  <c r="D404" i="24" a="1"/>
  <c r="D404" i="24" s="1"/>
  <c r="D405" i="24" a="1"/>
  <c r="D405" i="24" s="1"/>
  <c r="D406" i="24" a="1"/>
  <c r="D406" i="24" s="1"/>
  <c r="D407" i="24" a="1"/>
  <c r="D407" i="24" s="1"/>
  <c r="D408" i="24" a="1"/>
  <c r="D408" i="24" s="1"/>
  <c r="D409" i="24" a="1"/>
  <c r="D409" i="24" s="1"/>
  <c r="D410" i="24" a="1"/>
  <c r="D410" i="24" s="1"/>
  <c r="D411" i="24" a="1"/>
  <c r="D411" i="24" s="1"/>
  <c r="D412" i="24" a="1"/>
  <c r="D412" i="24" s="1"/>
  <c r="D413" i="24" a="1"/>
  <c r="D413" i="24" s="1"/>
  <c r="D414" i="24" a="1"/>
  <c r="D414" i="24" s="1"/>
  <c r="D415" i="24" a="1"/>
  <c r="D415" i="24" s="1"/>
  <c r="D416" i="24" a="1"/>
  <c r="D416" i="24" s="1"/>
  <c r="D417" i="24" a="1"/>
  <c r="D417" i="24" s="1"/>
  <c r="D418" i="24" a="1"/>
  <c r="D418" i="24" s="1"/>
  <c r="D419" i="24" a="1"/>
  <c r="D419" i="24" s="1"/>
  <c r="D420" i="24" a="1"/>
  <c r="D420" i="24" s="1"/>
  <c r="D421" i="24" a="1"/>
  <c r="D421" i="24" s="1"/>
  <c r="D422" i="24" a="1"/>
  <c r="D422" i="24" s="1"/>
  <c r="D423" i="24" a="1"/>
  <c r="D423" i="24" s="1"/>
  <c r="D424" i="24" a="1"/>
  <c r="D424" i="24" s="1"/>
  <c r="D425" i="24" a="1"/>
  <c r="D425" i="24" s="1"/>
  <c r="D426" i="24" a="1"/>
  <c r="D426" i="24" s="1"/>
  <c r="D427" i="24" a="1"/>
  <c r="D427" i="24" s="1"/>
  <c r="D428" i="24" a="1"/>
  <c r="D428" i="24" s="1"/>
  <c r="D429" i="24" a="1"/>
  <c r="D429" i="24" s="1"/>
  <c r="D430" i="24" a="1"/>
  <c r="D430" i="24" s="1"/>
  <c r="D431" i="24" a="1"/>
  <c r="D431" i="24" s="1"/>
  <c r="D432" i="24" a="1"/>
  <c r="D432" i="24" s="1"/>
  <c r="D433" i="24" a="1"/>
  <c r="D433" i="24" s="1"/>
  <c r="D434" i="24" a="1"/>
  <c r="D434" i="24" s="1"/>
  <c r="D435" i="24" a="1"/>
  <c r="D435" i="24" s="1"/>
  <c r="D436" i="24" a="1"/>
  <c r="D436" i="24" s="1"/>
  <c r="D437" i="24" a="1"/>
  <c r="D437" i="24" s="1"/>
  <c r="D438" i="24" a="1"/>
  <c r="D438" i="24" s="1"/>
  <c r="D439" i="24" a="1"/>
  <c r="D439" i="24" s="1"/>
  <c r="D440" i="24" a="1"/>
  <c r="D440" i="24" s="1"/>
  <c r="D441" i="24" a="1"/>
  <c r="D441" i="24" s="1"/>
  <c r="D442" i="24" a="1"/>
  <c r="D442" i="24" s="1"/>
  <c r="D443" i="24" a="1"/>
  <c r="D443" i="24" s="1"/>
  <c r="D444" i="24" a="1"/>
  <c r="D444" i="24" s="1"/>
  <c r="D445" i="24" a="1"/>
  <c r="D445" i="24" s="1"/>
  <c r="D446" i="24" a="1"/>
  <c r="D446" i="24" s="1"/>
  <c r="D447" i="24" a="1"/>
  <c r="D447" i="24" s="1"/>
  <c r="D448" i="24" a="1"/>
  <c r="D448" i="24" s="1"/>
  <c r="D449" i="24" a="1"/>
  <c r="D449" i="24" s="1"/>
  <c r="D450" i="24" a="1"/>
  <c r="D450" i="24" s="1"/>
  <c r="D451" i="24" a="1"/>
  <c r="D451" i="24" s="1"/>
  <c r="D452" i="24" a="1"/>
  <c r="D452" i="24" s="1"/>
  <c r="D453" i="24" a="1"/>
  <c r="D453" i="24" s="1"/>
  <c r="D454" i="24" a="1"/>
  <c r="D454" i="24" s="1"/>
  <c r="D455" i="24" a="1"/>
  <c r="D455" i="24" s="1"/>
  <c r="D456" i="24" a="1"/>
  <c r="D456" i="24" s="1"/>
  <c r="D457" i="24" a="1"/>
  <c r="D457" i="24" s="1"/>
  <c r="D458" i="24" a="1"/>
  <c r="D458" i="24" s="1"/>
  <c r="D459" i="24" a="1"/>
  <c r="D459" i="24" s="1"/>
  <c r="D460" i="24" a="1"/>
  <c r="D460" i="24" s="1"/>
  <c r="D461" i="24" a="1"/>
  <c r="D461" i="24" s="1"/>
  <c r="D462" i="24" a="1"/>
  <c r="D462" i="24" s="1"/>
  <c r="D463" i="24" a="1"/>
  <c r="D463" i="24" s="1"/>
  <c r="D464" i="24" a="1"/>
  <c r="D464" i="24" s="1"/>
  <c r="D465" i="24" a="1"/>
  <c r="D465" i="24" s="1"/>
  <c r="D466" i="24" a="1"/>
  <c r="D466" i="24" s="1"/>
  <c r="D467" i="24" a="1"/>
  <c r="D467" i="24" s="1"/>
  <c r="D468" i="24" a="1"/>
  <c r="D468" i="24" s="1"/>
  <c r="D469" i="24" a="1"/>
  <c r="D469" i="24" s="1"/>
  <c r="D470" i="24" a="1"/>
  <c r="D470" i="24" s="1"/>
  <c r="D471" i="24" a="1"/>
  <c r="D471" i="24" s="1"/>
  <c r="D472" i="24" a="1"/>
  <c r="D472" i="24" s="1"/>
  <c r="D473" i="24" a="1"/>
  <c r="D473" i="24" s="1"/>
  <c r="D474" i="24" a="1"/>
  <c r="D474" i="24" s="1"/>
  <c r="D475" i="24" a="1"/>
  <c r="D475" i="24" s="1"/>
  <c r="D476" i="24" a="1"/>
  <c r="D476" i="24" s="1"/>
  <c r="D477" i="24" a="1"/>
  <c r="D477" i="24" s="1"/>
  <c r="D478" i="24" a="1"/>
  <c r="D478" i="24" s="1"/>
  <c r="D479" i="24" a="1"/>
  <c r="D479" i="24" s="1"/>
  <c r="D480" i="24" a="1"/>
  <c r="D480" i="24" s="1"/>
  <c r="D481" i="24" a="1"/>
  <c r="D481" i="24" s="1"/>
  <c r="D482" i="24" a="1"/>
  <c r="D482" i="24" s="1"/>
  <c r="D483" i="24" a="1"/>
  <c r="D483" i="24" s="1"/>
  <c r="D484" i="24" a="1"/>
  <c r="D484" i="24" s="1"/>
  <c r="D485" i="24" a="1"/>
  <c r="D485" i="24" s="1"/>
  <c r="D486" i="24" a="1"/>
  <c r="D486" i="24" s="1"/>
  <c r="D487" i="24" a="1"/>
  <c r="D487" i="24" s="1"/>
  <c r="D488" i="24" a="1"/>
  <c r="D488" i="24" s="1"/>
  <c r="D489" i="24" a="1"/>
  <c r="D489" i="24" s="1"/>
  <c r="D490" i="24" a="1"/>
  <c r="D490" i="24" s="1"/>
  <c r="D491" i="24" a="1"/>
  <c r="D491" i="24" s="1"/>
  <c r="D492" i="24" a="1"/>
  <c r="D492" i="24" s="1"/>
  <c r="D493" i="24" a="1"/>
  <c r="D493" i="24" s="1"/>
  <c r="D494" i="24" a="1"/>
  <c r="D494" i="24" s="1"/>
  <c r="D495" i="24" a="1"/>
  <c r="D495" i="24" s="1"/>
  <c r="D496" i="24" a="1"/>
  <c r="D496" i="24" s="1"/>
  <c r="D497" i="24" a="1"/>
  <c r="D497" i="24" s="1"/>
  <c r="D498" i="24" a="1"/>
  <c r="D498" i="24" s="1"/>
  <c r="D499" i="24" a="1"/>
  <c r="D499" i="24" s="1"/>
  <c r="D500" i="24" a="1"/>
  <c r="D500" i="24" s="1"/>
  <c r="D2" i="24" a="1"/>
  <c r="D2" i="24" s="1"/>
  <c r="H3" i="24" a="1"/>
  <c r="H3" i="24" s="1"/>
  <c r="H4" i="24" a="1"/>
  <c r="H4" i="24" s="1"/>
  <c r="H5" i="24" a="1"/>
  <c r="H5" i="24" s="1"/>
  <c r="H6" i="24" a="1"/>
  <c r="H6" i="24" s="1"/>
  <c r="H7" i="24" a="1"/>
  <c r="H7" i="24" s="1"/>
  <c r="H8" i="24" a="1"/>
  <c r="H8" i="24" s="1"/>
  <c r="H9" i="24" a="1"/>
  <c r="H9" i="24" s="1"/>
  <c r="H10" i="24" a="1"/>
  <c r="H10" i="24" s="1"/>
  <c r="H11" i="24" a="1"/>
  <c r="H11" i="24" s="1"/>
  <c r="H12" i="24" a="1"/>
  <c r="H12" i="24" s="1"/>
  <c r="H13" i="24" a="1"/>
  <c r="H13" i="24" s="1"/>
  <c r="H14" i="24" a="1"/>
  <c r="H14" i="24" s="1"/>
  <c r="H15" i="24" a="1"/>
  <c r="H15" i="24" s="1"/>
  <c r="H16" i="24" a="1"/>
  <c r="H16" i="24" s="1"/>
  <c r="H17" i="24" a="1"/>
  <c r="H17" i="24" s="1"/>
  <c r="H18" i="24" a="1"/>
  <c r="H18" i="24" s="1"/>
  <c r="H19" i="24" a="1"/>
  <c r="H19" i="24" s="1"/>
  <c r="H20" i="24" a="1"/>
  <c r="H20" i="24" s="1"/>
  <c r="H21" i="24" a="1"/>
  <c r="H21" i="24" s="1"/>
  <c r="H22" i="24" a="1"/>
  <c r="H22" i="24" s="1"/>
  <c r="H23" i="24" a="1"/>
  <c r="H23" i="24" s="1"/>
  <c r="H24" i="24" a="1"/>
  <c r="H24" i="24" s="1"/>
  <c r="H25" i="24" a="1"/>
  <c r="H25" i="24" s="1"/>
  <c r="H26" i="24" a="1"/>
  <c r="H26" i="24" s="1"/>
  <c r="H27" i="24" a="1"/>
  <c r="H27" i="24" s="1"/>
  <c r="H28" i="24" a="1"/>
  <c r="H28" i="24" s="1"/>
  <c r="H29" i="24" a="1"/>
  <c r="H29" i="24" s="1"/>
  <c r="H30" i="24" a="1"/>
  <c r="H30" i="24" s="1"/>
  <c r="H31" i="24" a="1"/>
  <c r="H31" i="24" s="1"/>
  <c r="H32" i="24" a="1"/>
  <c r="H32" i="24" s="1"/>
  <c r="H33" i="24" a="1"/>
  <c r="H33" i="24" s="1"/>
  <c r="H34" i="24" a="1"/>
  <c r="H34" i="24" s="1"/>
  <c r="H35" i="24" a="1"/>
  <c r="H35" i="24" s="1"/>
  <c r="H36" i="24" a="1"/>
  <c r="H36" i="24" s="1"/>
  <c r="H37" i="24" a="1"/>
  <c r="H37" i="24" s="1"/>
  <c r="H38" i="24" a="1"/>
  <c r="H38" i="24" s="1"/>
  <c r="H39" i="24" a="1"/>
  <c r="H39" i="24" s="1"/>
  <c r="H40" i="24" a="1"/>
  <c r="H40" i="24" s="1"/>
  <c r="H41" i="24" a="1"/>
  <c r="H41" i="24" s="1"/>
  <c r="H42" i="24" a="1"/>
  <c r="H42" i="24" s="1"/>
  <c r="H43" i="24" a="1"/>
  <c r="H43" i="24" s="1"/>
  <c r="H44" i="24" a="1"/>
  <c r="H44" i="24" s="1"/>
  <c r="H45" i="24" a="1"/>
  <c r="H45" i="24" s="1"/>
  <c r="H46" i="24" a="1"/>
  <c r="H46" i="24" s="1"/>
  <c r="H47" i="24" a="1"/>
  <c r="H47" i="24" s="1"/>
  <c r="H48" i="24" a="1"/>
  <c r="H48" i="24" s="1"/>
  <c r="H49" i="24" a="1"/>
  <c r="H49" i="24" s="1"/>
  <c r="H50" i="24" a="1"/>
  <c r="H50" i="24" s="1"/>
  <c r="H51" i="24" a="1"/>
  <c r="H51" i="24" s="1"/>
  <c r="H52" i="24" a="1"/>
  <c r="H52" i="24" s="1"/>
  <c r="H53" i="24" a="1"/>
  <c r="H53" i="24" s="1"/>
  <c r="H54" i="24" a="1"/>
  <c r="H54" i="24" s="1"/>
  <c r="H55" i="24" a="1"/>
  <c r="H55" i="24" s="1"/>
  <c r="H56" i="24" a="1"/>
  <c r="H56" i="24" s="1"/>
  <c r="H57" i="24" a="1"/>
  <c r="H57" i="24" s="1"/>
  <c r="H58" i="24" a="1"/>
  <c r="H58" i="24" s="1"/>
  <c r="H59" i="24" a="1"/>
  <c r="H59" i="24" s="1"/>
  <c r="H60" i="24" a="1"/>
  <c r="H60" i="24" s="1"/>
  <c r="H61" i="24" a="1"/>
  <c r="H61" i="24" s="1"/>
  <c r="H62" i="24" a="1"/>
  <c r="H62" i="24" s="1"/>
  <c r="H63" i="24" a="1"/>
  <c r="H63" i="24" s="1"/>
  <c r="H64" i="24" a="1"/>
  <c r="H64" i="24" s="1"/>
  <c r="H65" i="24" a="1"/>
  <c r="H65" i="24" s="1"/>
  <c r="H66" i="24" a="1"/>
  <c r="H66" i="24" s="1"/>
  <c r="H67" i="24" a="1"/>
  <c r="H67" i="24" s="1"/>
  <c r="H68" i="24" a="1"/>
  <c r="H68" i="24" s="1"/>
  <c r="H69" i="24" a="1"/>
  <c r="H69" i="24" s="1"/>
  <c r="H70" i="24" a="1"/>
  <c r="H70" i="24" s="1"/>
  <c r="H71" i="24" a="1"/>
  <c r="H71" i="24" s="1"/>
  <c r="H72" i="24" a="1"/>
  <c r="H72" i="24" s="1"/>
  <c r="H73" i="24" a="1"/>
  <c r="H73" i="24" s="1"/>
  <c r="H74" i="24" a="1"/>
  <c r="H74" i="24" s="1"/>
  <c r="H75" i="24" a="1"/>
  <c r="H75" i="24" s="1"/>
  <c r="H76" i="24" a="1"/>
  <c r="H76" i="24" s="1"/>
  <c r="H77" i="24" a="1"/>
  <c r="H77" i="24" s="1"/>
  <c r="H78" i="24" a="1"/>
  <c r="H78" i="24" s="1"/>
  <c r="H79" i="24" a="1"/>
  <c r="H79" i="24" s="1"/>
  <c r="H80" i="24" a="1"/>
  <c r="H80" i="24" s="1"/>
  <c r="H81" i="24" a="1"/>
  <c r="H81" i="24" s="1"/>
  <c r="H82" i="24" a="1"/>
  <c r="H82" i="24" s="1"/>
  <c r="H83" i="24" a="1"/>
  <c r="H83" i="24" s="1"/>
  <c r="H84" i="24" a="1"/>
  <c r="H84" i="24" s="1"/>
  <c r="H85" i="24" a="1"/>
  <c r="H85" i="24" s="1"/>
  <c r="H86" i="24" a="1"/>
  <c r="H86" i="24" s="1"/>
  <c r="H87" i="24" a="1"/>
  <c r="H87" i="24" s="1"/>
  <c r="H88" i="24" a="1"/>
  <c r="H88" i="24" s="1"/>
  <c r="H89" i="24" a="1"/>
  <c r="H89" i="24" s="1"/>
  <c r="H90" i="24" a="1"/>
  <c r="H90" i="24" s="1"/>
  <c r="H91" i="24" a="1"/>
  <c r="H91" i="24" s="1"/>
  <c r="H92" i="24" a="1"/>
  <c r="H92"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4" i="24" a="1"/>
  <c r="H114" i="24" s="1"/>
  <c r="H115" i="24" a="1"/>
  <c r="H115" i="24" s="1"/>
  <c r="H116" i="24" a="1"/>
  <c r="H116" i="24" s="1"/>
  <c r="H117" i="24" a="1"/>
  <c r="H117" i="24" s="1"/>
  <c r="H118" i="24" a="1"/>
  <c r="H118" i="24" s="1"/>
  <c r="H119" i="24" a="1"/>
  <c r="H119" i="24" s="1"/>
  <c r="H120" i="24" a="1"/>
  <c r="H120" i="24" s="1"/>
  <c r="H121" i="24" a="1"/>
  <c r="H121" i="24" s="1"/>
  <c r="H122" i="24" a="1"/>
  <c r="H122" i="24" s="1"/>
  <c r="H123" i="24" a="1"/>
  <c r="H123" i="24" s="1"/>
  <c r="H124" i="24" a="1"/>
  <c r="H124" i="24" s="1"/>
  <c r="H125" i="24" a="1"/>
  <c r="H125" i="24" s="1"/>
  <c r="H126" i="24" a="1"/>
  <c r="H126" i="24" s="1"/>
  <c r="H127" i="24" a="1"/>
  <c r="H127" i="24" s="1"/>
  <c r="H128" i="24" a="1"/>
  <c r="H128" i="24" s="1"/>
  <c r="H129" i="24" a="1"/>
  <c r="H129" i="24" s="1"/>
  <c r="H130" i="24" a="1"/>
  <c r="H130" i="24" s="1"/>
  <c r="H131" i="24" a="1"/>
  <c r="H131" i="24" s="1"/>
  <c r="H132" i="24" a="1"/>
  <c r="H132"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H148" i="24" a="1"/>
  <c r="H148" i="24" s="1"/>
  <c r="H149" i="24" a="1"/>
  <c r="H149" i="24" s="1"/>
  <c r="H150" i="24" a="1"/>
  <c r="H150" i="24" s="1"/>
  <c r="H151" i="24" a="1"/>
  <c r="H151" i="24" s="1"/>
  <c r="H152" i="24" a="1"/>
  <c r="H152" i="24" s="1"/>
  <c r="H153" i="24" a="1"/>
  <c r="H153" i="24" s="1"/>
  <c r="H154" i="24" a="1"/>
  <c r="H154" i="24" s="1"/>
  <c r="H155" i="24" a="1"/>
  <c r="H155" i="24" s="1"/>
  <c r="H156" i="24" a="1"/>
  <c r="H156" i="24" s="1"/>
  <c r="H157" i="24" a="1"/>
  <c r="H157" i="24" s="1"/>
  <c r="H158" i="24" a="1"/>
  <c r="H158" i="24" s="1"/>
  <c r="H159" i="24" a="1"/>
  <c r="H159" i="24" s="1"/>
  <c r="H160" i="24" a="1"/>
  <c r="H160" i="24" s="1"/>
  <c r="H161" i="24" a="1"/>
  <c r="H161" i="24" s="1"/>
  <c r="H162" i="24" a="1"/>
  <c r="H162" i="24" s="1"/>
  <c r="H163" i="24" a="1"/>
  <c r="H163" i="24" s="1"/>
  <c r="H164" i="24" a="1"/>
  <c r="H164" i="24" s="1"/>
  <c r="H165" i="24" a="1"/>
  <c r="H165" i="24" s="1"/>
  <c r="H166" i="24" a="1"/>
  <c r="H166" i="24" s="1"/>
  <c r="H167" i="24" a="1"/>
  <c r="H167" i="24" s="1"/>
  <c r="H168" i="24" a="1"/>
  <c r="H168" i="24" s="1"/>
  <c r="H169" i="24" a="1"/>
  <c r="H169" i="24" s="1"/>
  <c r="H170" i="24" a="1"/>
  <c r="H170" i="24" s="1"/>
  <c r="H171" i="24" a="1"/>
  <c r="H171" i="24" s="1"/>
  <c r="H172" i="24" a="1"/>
  <c r="H172" i="24" s="1"/>
  <c r="H173" i="24" a="1"/>
  <c r="H173" i="24" s="1"/>
  <c r="H174" i="24" a="1"/>
  <c r="H174" i="24" s="1"/>
  <c r="H175" i="24" a="1"/>
  <c r="H175" i="24" s="1"/>
  <c r="H176" i="24" a="1"/>
  <c r="H176" i="24" s="1"/>
  <c r="H177" i="24" a="1"/>
  <c r="H177" i="24" s="1"/>
  <c r="H178" i="24" a="1"/>
  <c r="H178" i="24" s="1"/>
  <c r="H179" i="24" a="1"/>
  <c r="H179" i="24" s="1"/>
  <c r="H2" i="24" a="1"/>
  <c r="H2" i="24" s="1"/>
  <c r="C3" i="24" a="1"/>
  <c r="C3" i="24" s="1"/>
  <c r="C4" i="24" a="1"/>
  <c r="C4" i="24" s="1"/>
  <c r="C5" i="24" a="1"/>
  <c r="C5" i="24" s="1"/>
  <c r="C6" i="24" a="1"/>
  <c r="C6" i="24" s="1"/>
  <c r="C7" i="24" a="1"/>
  <c r="C7" i="24" s="1"/>
  <c r="C8" i="24" a="1"/>
  <c r="C8" i="24" s="1"/>
  <c r="C9" i="24" a="1"/>
  <c r="C9" i="24" s="1"/>
  <c r="C10" i="24" a="1"/>
  <c r="C10" i="24" s="1"/>
  <c r="C11" i="24" a="1"/>
  <c r="C11" i="24" s="1"/>
  <c r="C12" i="24" a="1"/>
  <c r="C12" i="24" s="1"/>
  <c r="C13" i="24" a="1"/>
  <c r="C13" i="24" s="1"/>
  <c r="C14" i="24" a="1"/>
  <c r="C14" i="24" s="1"/>
  <c r="C15" i="24" a="1"/>
  <c r="C15" i="24" s="1"/>
  <c r="C16" i="24" a="1"/>
  <c r="C16" i="24" s="1"/>
  <c r="C17" i="24" a="1"/>
  <c r="C17" i="24" s="1"/>
  <c r="C18" i="24" a="1"/>
  <c r="C18" i="24" s="1"/>
  <c r="C19" i="24" a="1"/>
  <c r="C19" i="24" s="1"/>
  <c r="C20" i="24" a="1"/>
  <c r="C20" i="24" s="1"/>
  <c r="C21" i="24" a="1"/>
  <c r="C21" i="24" s="1"/>
  <c r="C22" i="24" a="1"/>
  <c r="C22" i="24" s="1"/>
  <c r="C23" i="24" a="1"/>
  <c r="C23" i="24" s="1"/>
  <c r="C24" i="24" a="1"/>
  <c r="C24" i="24" s="1"/>
  <c r="C25" i="24" a="1"/>
  <c r="C25" i="24" s="1"/>
  <c r="C26" i="24" a="1"/>
  <c r="C26" i="24" s="1"/>
  <c r="C27" i="24" a="1"/>
  <c r="C27" i="24" s="1"/>
  <c r="C28" i="24" a="1"/>
  <c r="C28" i="24" s="1"/>
  <c r="C29" i="24" a="1"/>
  <c r="C29" i="24" s="1"/>
  <c r="C30" i="24" a="1"/>
  <c r="C30" i="24" s="1"/>
  <c r="C31" i="24" a="1"/>
  <c r="C31" i="24" s="1"/>
  <c r="C32" i="24" a="1"/>
  <c r="C32" i="24" s="1"/>
  <c r="C33" i="24" a="1"/>
  <c r="C33" i="24" s="1"/>
  <c r="C34" i="24" a="1"/>
  <c r="C34" i="24" s="1"/>
  <c r="C35" i="24" a="1"/>
  <c r="C35" i="24" s="1"/>
  <c r="C36" i="24" a="1"/>
  <c r="C36" i="24" s="1"/>
  <c r="C37" i="24" a="1"/>
  <c r="C37" i="24" s="1"/>
  <c r="C38" i="24" a="1"/>
  <c r="C38" i="24" s="1"/>
  <c r="C39" i="24" a="1"/>
  <c r="C39" i="24" s="1"/>
  <c r="C40" i="24" a="1"/>
  <c r="C40" i="24" s="1"/>
  <c r="C41" i="24" a="1"/>
  <c r="C41" i="24" s="1"/>
  <c r="C42" i="24" a="1"/>
  <c r="C42" i="24" s="1"/>
  <c r="C43" i="24" a="1"/>
  <c r="C43" i="24" s="1"/>
  <c r="C44" i="24" a="1"/>
  <c r="C44" i="24" s="1"/>
  <c r="C45" i="24" a="1"/>
  <c r="C45" i="24" s="1"/>
  <c r="C46" i="24" a="1"/>
  <c r="C46" i="24" s="1"/>
  <c r="C47" i="24" a="1"/>
  <c r="C47" i="24" s="1"/>
  <c r="C48" i="24" a="1"/>
  <c r="C48" i="24" s="1"/>
  <c r="C49" i="24" a="1"/>
  <c r="C49" i="24" s="1"/>
  <c r="C50" i="24" a="1"/>
  <c r="C50" i="24" s="1"/>
  <c r="C51" i="24" a="1"/>
  <c r="C51" i="24" s="1"/>
  <c r="C52" i="24" a="1"/>
  <c r="C52" i="24" s="1"/>
  <c r="C53" i="24" a="1"/>
  <c r="C53" i="24" s="1"/>
  <c r="C54" i="24" a="1"/>
  <c r="C54" i="24" s="1"/>
  <c r="C55" i="24" a="1"/>
  <c r="C55" i="24" s="1"/>
  <c r="C56" i="24" a="1"/>
  <c r="C56" i="24" s="1"/>
  <c r="C57" i="24" a="1"/>
  <c r="C57" i="24" s="1"/>
  <c r="C58" i="24" a="1"/>
  <c r="C58" i="24" s="1"/>
  <c r="C59" i="24" a="1"/>
  <c r="C59" i="24" s="1"/>
  <c r="C60" i="24" a="1"/>
  <c r="C60" i="24" s="1"/>
  <c r="C61" i="24" a="1"/>
  <c r="C61" i="24" s="1"/>
  <c r="C62" i="24" a="1"/>
  <c r="C62" i="24" s="1"/>
  <c r="C63" i="24" a="1"/>
  <c r="C63" i="24" s="1"/>
  <c r="C64" i="24" a="1"/>
  <c r="C64" i="24" s="1"/>
  <c r="C65" i="24" a="1"/>
  <c r="C65" i="24" s="1"/>
  <c r="C66" i="24" a="1"/>
  <c r="C66" i="24" s="1"/>
  <c r="C67" i="24" a="1"/>
  <c r="C67" i="24" s="1"/>
  <c r="C68" i="24" a="1"/>
  <c r="C68" i="24" s="1"/>
  <c r="C69" i="24" a="1"/>
  <c r="C69" i="24" s="1"/>
  <c r="C70" i="24" a="1"/>
  <c r="C70" i="24" s="1"/>
  <c r="C71" i="24" a="1"/>
  <c r="C71" i="24" s="1"/>
  <c r="C72" i="24" a="1"/>
  <c r="C72" i="24" s="1"/>
  <c r="C73" i="24" a="1"/>
  <c r="C73" i="24" s="1"/>
  <c r="C74" i="24" a="1"/>
  <c r="C74" i="24" s="1"/>
  <c r="C75" i="24" a="1"/>
  <c r="C75" i="24" s="1"/>
  <c r="C76" i="24" a="1"/>
  <c r="C76" i="24" s="1"/>
  <c r="C77" i="24" a="1"/>
  <c r="C77" i="24" s="1"/>
  <c r="C78" i="24" a="1"/>
  <c r="C78" i="24" s="1"/>
  <c r="C79" i="24" a="1"/>
  <c r="C79" i="24" s="1"/>
  <c r="C80" i="24" a="1"/>
  <c r="C80" i="24" s="1"/>
  <c r="C81" i="24" a="1"/>
  <c r="C81" i="24" s="1"/>
  <c r="C82" i="24" a="1"/>
  <c r="C82" i="24" s="1"/>
  <c r="C83" i="24" a="1"/>
  <c r="C83" i="24" s="1"/>
  <c r="C84" i="24" a="1"/>
  <c r="C84" i="24" s="1"/>
  <c r="C85" i="24" a="1"/>
  <c r="C85" i="24" s="1"/>
  <c r="C86" i="24" a="1"/>
  <c r="C86" i="24" s="1"/>
  <c r="C87" i="24" a="1"/>
  <c r="C87" i="24" s="1"/>
  <c r="C88" i="24" a="1"/>
  <c r="C88" i="24" s="1"/>
  <c r="C89" i="24" a="1"/>
  <c r="C89" i="24" s="1"/>
  <c r="C90" i="24" a="1"/>
  <c r="C90" i="24" s="1"/>
  <c r="C91" i="24" a="1"/>
  <c r="C91" i="24" s="1"/>
  <c r="C92" i="24" a="1"/>
  <c r="C92" i="24" s="1"/>
  <c r="C93" i="24" a="1"/>
  <c r="C93" i="24" s="1"/>
  <c r="C94" i="24" a="1"/>
  <c r="C94" i="24" s="1"/>
  <c r="C95" i="24" a="1"/>
  <c r="C95" i="24" s="1"/>
  <c r="C96" i="24" a="1"/>
  <c r="C96" i="24" s="1"/>
  <c r="C97" i="24" a="1"/>
  <c r="C97" i="24" s="1"/>
  <c r="C98" i="24" a="1"/>
  <c r="C98" i="24" s="1"/>
  <c r="C99" i="24" a="1"/>
  <c r="C99" i="24" s="1"/>
  <c r="C100" i="24" a="1"/>
  <c r="C100" i="24" s="1"/>
  <c r="C101" i="24" a="1"/>
  <c r="C101" i="24" s="1"/>
  <c r="C102" i="24" a="1"/>
  <c r="C102" i="24" s="1"/>
  <c r="C103" i="24" a="1"/>
  <c r="C103" i="24" s="1"/>
  <c r="C104" i="24" a="1"/>
  <c r="C104" i="24" s="1"/>
  <c r="C105" i="24" a="1"/>
  <c r="C105" i="24" s="1"/>
  <c r="C106" i="24" a="1"/>
  <c r="C106" i="24" s="1"/>
  <c r="C107" i="24" a="1"/>
  <c r="C107" i="24" s="1"/>
  <c r="C108" i="24" a="1"/>
  <c r="C108" i="24" s="1"/>
  <c r="C109" i="24" a="1"/>
  <c r="C109" i="24" s="1"/>
  <c r="C110" i="24" a="1"/>
  <c r="C110" i="24" s="1"/>
  <c r="C111" i="24" a="1"/>
  <c r="C111" i="24" s="1"/>
  <c r="C112" i="24" a="1"/>
  <c r="C112" i="24" s="1"/>
  <c r="C113" i="24" a="1"/>
  <c r="C113" i="24" s="1"/>
  <c r="C114" i="24" a="1"/>
  <c r="C114" i="24" s="1"/>
  <c r="C115" i="24" a="1"/>
  <c r="C115" i="24" s="1"/>
  <c r="C116" i="24" a="1"/>
  <c r="C116" i="24" s="1"/>
  <c r="C117" i="24" a="1"/>
  <c r="C117" i="24" s="1"/>
  <c r="C118" i="24" a="1"/>
  <c r="C118" i="24" s="1"/>
  <c r="C119" i="24" a="1"/>
  <c r="C119" i="24" s="1"/>
  <c r="C120" i="24" a="1"/>
  <c r="C120" i="24" s="1"/>
  <c r="C121" i="24" a="1"/>
  <c r="C121" i="24" s="1"/>
  <c r="C122" i="24" a="1"/>
  <c r="C122" i="24" s="1"/>
  <c r="C123" i="24" a="1"/>
  <c r="C123" i="24" s="1"/>
  <c r="C124" i="24" a="1"/>
  <c r="C124" i="24" s="1"/>
  <c r="C125" i="24" a="1"/>
  <c r="C125" i="24" s="1"/>
  <c r="C126" i="24" a="1"/>
  <c r="C126" i="24" s="1"/>
  <c r="C127" i="24" a="1"/>
  <c r="C127" i="24" s="1"/>
  <c r="C128" i="24" a="1"/>
  <c r="C128" i="24" s="1"/>
  <c r="C129" i="24" a="1"/>
  <c r="C129" i="24" s="1"/>
  <c r="C130" i="24" a="1"/>
  <c r="C130" i="24" s="1"/>
  <c r="C131" i="24" a="1"/>
  <c r="C131" i="24" s="1"/>
  <c r="C132" i="24" a="1"/>
  <c r="C132" i="24" s="1"/>
  <c r="C133" i="24" a="1"/>
  <c r="C133" i="24" s="1"/>
  <c r="C134" i="24" a="1"/>
  <c r="C134" i="24" s="1"/>
  <c r="C135" i="24" a="1"/>
  <c r="C135" i="24" s="1"/>
  <c r="C136" i="24" a="1"/>
  <c r="C136" i="24" s="1"/>
  <c r="C137" i="24" a="1"/>
  <c r="C137" i="24" s="1"/>
  <c r="C138" i="24" a="1"/>
  <c r="C138" i="24" s="1"/>
  <c r="C139" i="24" a="1"/>
  <c r="C139" i="24" s="1"/>
  <c r="C140" i="24" a="1"/>
  <c r="C140" i="24" s="1"/>
  <c r="C141" i="24" a="1"/>
  <c r="C141" i="24" s="1"/>
  <c r="C142" i="24" a="1"/>
  <c r="C142" i="24" s="1"/>
  <c r="C143" i="24" a="1"/>
  <c r="C143" i="24" s="1"/>
  <c r="C144" i="24" a="1"/>
  <c r="C144" i="24" s="1"/>
  <c r="C145" i="24" a="1"/>
  <c r="C145" i="24" s="1"/>
  <c r="C146" i="24" a="1"/>
  <c r="C146" i="24" s="1"/>
  <c r="C147" i="24" a="1"/>
  <c r="C147" i="24" s="1"/>
  <c r="C148" i="24" a="1"/>
  <c r="C148" i="24" s="1"/>
  <c r="C149" i="24" a="1"/>
  <c r="C149" i="24" s="1"/>
  <c r="C150" i="24" a="1"/>
  <c r="C150" i="24" s="1"/>
  <c r="C151" i="24" a="1"/>
  <c r="C151" i="24" s="1"/>
  <c r="C152" i="24" a="1"/>
  <c r="C152" i="24" s="1"/>
  <c r="C153" i="24" a="1"/>
  <c r="C153" i="24" s="1"/>
  <c r="C154" i="24" a="1"/>
  <c r="C154" i="24" s="1"/>
  <c r="C155" i="24" a="1"/>
  <c r="C155" i="24" s="1"/>
  <c r="C156" i="24" a="1"/>
  <c r="C156" i="24" s="1"/>
  <c r="C157" i="24" a="1"/>
  <c r="C157" i="24" s="1"/>
  <c r="C158" i="24" a="1"/>
  <c r="C158" i="24" s="1"/>
  <c r="C159" i="24" a="1"/>
  <c r="C159" i="24" s="1"/>
  <c r="C160" i="24" a="1"/>
  <c r="C160" i="24" s="1"/>
  <c r="C161" i="24" a="1"/>
  <c r="C161" i="24" s="1"/>
  <c r="C162" i="24" a="1"/>
  <c r="C162" i="24" s="1"/>
  <c r="C163" i="24" a="1"/>
  <c r="C163" i="24" s="1"/>
  <c r="C164" i="24" a="1"/>
  <c r="C164" i="24" s="1"/>
  <c r="C165" i="24" a="1"/>
  <c r="C165" i="24" s="1"/>
  <c r="C166" i="24" a="1"/>
  <c r="C166" i="24" s="1"/>
  <c r="C167" i="24" a="1"/>
  <c r="C167" i="24" s="1"/>
  <c r="C168" i="24" a="1"/>
  <c r="C168" i="24" s="1"/>
  <c r="C169" i="24" a="1"/>
  <c r="C169" i="24" s="1"/>
  <c r="C170" i="24" a="1"/>
  <c r="C170" i="24" s="1"/>
  <c r="C171" i="24" a="1"/>
  <c r="C171" i="24" s="1"/>
  <c r="C172" i="24" a="1"/>
  <c r="C172" i="24" s="1"/>
  <c r="C173" i="24" a="1"/>
  <c r="C173" i="24" s="1"/>
  <c r="C174" i="24" a="1"/>
  <c r="C174" i="24" s="1"/>
  <c r="C175" i="24" a="1"/>
  <c r="C175" i="24" s="1"/>
  <c r="C176" i="24" a="1"/>
  <c r="C176" i="24" s="1"/>
  <c r="C177" i="24" a="1"/>
  <c r="C177" i="24" s="1"/>
  <c r="C178" i="24" a="1"/>
  <c r="C178" i="24" s="1"/>
  <c r="C179" i="24" a="1"/>
  <c r="C179" i="24" s="1"/>
  <c r="C180" i="24" a="1"/>
  <c r="C180" i="24" s="1"/>
  <c r="C181" i="24" a="1"/>
  <c r="C181" i="24" s="1"/>
  <c r="C182" i="24" a="1"/>
  <c r="C182" i="24" s="1"/>
  <c r="C183" i="24" a="1"/>
  <c r="C183" i="24" s="1"/>
  <c r="C184" i="24" a="1"/>
  <c r="C184" i="24" s="1"/>
  <c r="C185" i="24" a="1"/>
  <c r="C185" i="24" s="1"/>
  <c r="C186" i="24" a="1"/>
  <c r="C186" i="24" s="1"/>
  <c r="C187" i="24" a="1"/>
  <c r="C187" i="24" s="1"/>
  <c r="C188" i="24" a="1"/>
  <c r="C188" i="24" s="1"/>
  <c r="C189" i="24" a="1"/>
  <c r="C189" i="24" s="1"/>
  <c r="C190" i="24" a="1"/>
  <c r="C190" i="24" s="1"/>
  <c r="C191" i="24" a="1"/>
  <c r="C191" i="24" s="1"/>
  <c r="C192" i="24" a="1"/>
  <c r="C192" i="24" s="1"/>
  <c r="C193" i="24" a="1"/>
  <c r="C193" i="24" s="1"/>
  <c r="C194" i="24" a="1"/>
  <c r="C194" i="24" s="1"/>
  <c r="C195" i="24" a="1"/>
  <c r="C195" i="24" s="1"/>
  <c r="C196" i="24" a="1"/>
  <c r="C196" i="24" s="1"/>
  <c r="C197" i="24" a="1"/>
  <c r="C197" i="24" s="1"/>
  <c r="C198" i="24" a="1"/>
  <c r="C198" i="24" s="1"/>
  <c r="C199" i="24" a="1"/>
  <c r="C199" i="24" s="1"/>
  <c r="C200" i="24" a="1"/>
  <c r="C200" i="24" s="1"/>
  <c r="C201" i="24" a="1"/>
  <c r="C201" i="24" s="1"/>
  <c r="C202" i="24" a="1"/>
  <c r="C202" i="24" s="1"/>
  <c r="C203" i="24" a="1"/>
  <c r="C203" i="24" s="1"/>
  <c r="C204" i="24" a="1"/>
  <c r="C204" i="24" s="1"/>
  <c r="C205" i="24" a="1"/>
  <c r="C205" i="24" s="1"/>
  <c r="C206" i="24" a="1"/>
  <c r="C206" i="24" s="1"/>
  <c r="C207" i="24" a="1"/>
  <c r="C207" i="24" s="1"/>
  <c r="C208" i="24" a="1"/>
  <c r="C208" i="24" s="1"/>
  <c r="C209" i="24" a="1"/>
  <c r="C209" i="24" s="1"/>
  <c r="C210" i="24" a="1"/>
  <c r="C210" i="24" s="1"/>
  <c r="C211" i="24" a="1"/>
  <c r="C211" i="24" s="1"/>
  <c r="C212" i="24" a="1"/>
  <c r="C212" i="24" s="1"/>
  <c r="C213" i="24" a="1"/>
  <c r="C213" i="24" s="1"/>
  <c r="C214" i="24" a="1"/>
  <c r="C214" i="24" s="1"/>
  <c r="C215" i="24" a="1"/>
  <c r="C215" i="24" s="1"/>
  <c r="C216" i="24" a="1"/>
  <c r="C216" i="24" s="1"/>
  <c r="C217" i="24" a="1"/>
  <c r="C217" i="24" s="1"/>
  <c r="C218" i="24" a="1"/>
  <c r="C218" i="24" s="1"/>
  <c r="C219" i="24" a="1"/>
  <c r="C219" i="24" s="1"/>
  <c r="C220" i="24" a="1"/>
  <c r="C220" i="24" s="1"/>
  <c r="C221" i="24" a="1"/>
  <c r="C221" i="24" s="1"/>
  <c r="C222" i="24" a="1"/>
  <c r="C222" i="24" s="1"/>
  <c r="C223" i="24" a="1"/>
  <c r="C223" i="24" s="1"/>
  <c r="C224" i="24" a="1"/>
  <c r="C224" i="24" s="1"/>
  <c r="C225" i="24" a="1"/>
  <c r="C225" i="24" s="1"/>
  <c r="C226" i="24" a="1"/>
  <c r="C226" i="24" s="1"/>
  <c r="C227" i="24" a="1"/>
  <c r="C227" i="24" s="1"/>
  <c r="C228" i="24" a="1"/>
  <c r="C228" i="24" s="1"/>
  <c r="C229" i="24" a="1"/>
  <c r="C229" i="24" s="1"/>
  <c r="C230" i="24" a="1"/>
  <c r="C230" i="24" s="1"/>
  <c r="C231" i="24" a="1"/>
  <c r="C231" i="24" s="1"/>
  <c r="C232" i="24" a="1"/>
  <c r="C232" i="24" s="1"/>
  <c r="C233" i="24" a="1"/>
  <c r="C233" i="24" s="1"/>
  <c r="C234" i="24" a="1"/>
  <c r="C234" i="24" s="1"/>
  <c r="C235" i="24" a="1"/>
  <c r="C235" i="24" s="1"/>
  <c r="C236" i="24" a="1"/>
  <c r="C236" i="24" s="1"/>
  <c r="C237" i="24" a="1"/>
  <c r="C237" i="24" s="1"/>
  <c r="C238" i="24" a="1"/>
  <c r="C238" i="24" s="1"/>
  <c r="C239" i="24" a="1"/>
  <c r="C239" i="24" s="1"/>
  <c r="C240" i="24" a="1"/>
  <c r="C240" i="24" s="1"/>
  <c r="C241" i="24" a="1"/>
  <c r="C241" i="24" s="1"/>
  <c r="C242" i="24" a="1"/>
  <c r="C242" i="24" s="1"/>
  <c r="C243" i="24" a="1"/>
  <c r="C243" i="24" s="1"/>
  <c r="C244" i="24" a="1"/>
  <c r="C244" i="24" s="1"/>
  <c r="C245" i="24" a="1"/>
  <c r="C245" i="24" s="1"/>
  <c r="C246" i="24" a="1"/>
  <c r="C246" i="24" s="1"/>
  <c r="C247" i="24" a="1"/>
  <c r="C247" i="24" s="1"/>
  <c r="C248" i="24" a="1"/>
  <c r="C248" i="24" s="1"/>
  <c r="C249" i="24" a="1"/>
  <c r="C249" i="24" s="1"/>
  <c r="C250" i="24" a="1"/>
  <c r="C250" i="24" s="1"/>
  <c r="C251" i="24" a="1"/>
  <c r="C251" i="24" s="1"/>
  <c r="C252" i="24" a="1"/>
  <c r="C252" i="24" s="1"/>
  <c r="C253" i="24" a="1"/>
  <c r="C253" i="24" s="1"/>
  <c r="C254" i="24" a="1"/>
  <c r="C254" i="24" s="1"/>
  <c r="C255" i="24" a="1"/>
  <c r="C255" i="24" s="1"/>
  <c r="C256" i="24" a="1"/>
  <c r="C256" i="24" s="1"/>
  <c r="C257" i="24" a="1"/>
  <c r="C257" i="24" s="1"/>
  <c r="C258" i="24" a="1"/>
  <c r="C258" i="24" s="1"/>
  <c r="C259" i="24" a="1"/>
  <c r="C259" i="24" s="1"/>
  <c r="C260" i="24" a="1"/>
  <c r="C260" i="24" s="1"/>
  <c r="C261" i="24" a="1"/>
  <c r="C261" i="24" s="1"/>
  <c r="C262" i="24" a="1"/>
  <c r="C262" i="24" s="1"/>
  <c r="C263" i="24" a="1"/>
  <c r="C263" i="24" s="1"/>
  <c r="C264" i="24" a="1"/>
  <c r="C264" i="24" s="1"/>
  <c r="C265" i="24" a="1"/>
  <c r="C265" i="24" s="1"/>
  <c r="C266" i="24" a="1"/>
  <c r="C266" i="24" s="1"/>
  <c r="C267" i="24" a="1"/>
  <c r="C267" i="24" s="1"/>
  <c r="C268" i="24" a="1"/>
  <c r="C268" i="24" s="1"/>
  <c r="C269" i="24" a="1"/>
  <c r="C269" i="24" s="1"/>
  <c r="C270" i="24" a="1"/>
  <c r="C270" i="24" s="1"/>
  <c r="C271" i="24" a="1"/>
  <c r="C271" i="24" s="1"/>
  <c r="C272" i="24" a="1"/>
  <c r="C272" i="24" s="1"/>
  <c r="C273" i="24" a="1"/>
  <c r="C273" i="24" s="1"/>
  <c r="C274" i="24" a="1"/>
  <c r="C274" i="24" s="1"/>
  <c r="C275" i="24" a="1"/>
  <c r="C275" i="24" s="1"/>
  <c r="C276" i="24" a="1"/>
  <c r="C276" i="24" s="1"/>
  <c r="C277" i="24" a="1"/>
  <c r="C277" i="24" s="1"/>
  <c r="C278" i="24" a="1"/>
  <c r="C278" i="24" s="1"/>
  <c r="C279" i="24" a="1"/>
  <c r="C279" i="24" s="1"/>
  <c r="C280" i="24" a="1"/>
  <c r="C280" i="24" s="1"/>
  <c r="C281" i="24" a="1"/>
  <c r="C281" i="24" s="1"/>
  <c r="C282" i="24" a="1"/>
  <c r="C282" i="24" s="1"/>
  <c r="C283" i="24" a="1"/>
  <c r="C283" i="24" s="1"/>
  <c r="C284" i="24" a="1"/>
  <c r="C284" i="24" s="1"/>
  <c r="C285" i="24" a="1"/>
  <c r="C285" i="24" s="1"/>
  <c r="C286" i="24" a="1"/>
  <c r="C286" i="24" s="1"/>
  <c r="C287" i="24" a="1"/>
  <c r="C287" i="24" s="1"/>
  <c r="C288" i="24" a="1"/>
  <c r="C288" i="24" s="1"/>
  <c r="C289" i="24" a="1"/>
  <c r="C289" i="24" s="1"/>
  <c r="C290" i="24" a="1"/>
  <c r="C290" i="24" s="1"/>
  <c r="C291" i="24" a="1"/>
  <c r="C291" i="24" s="1"/>
  <c r="C292" i="24" a="1"/>
  <c r="C292" i="24" s="1"/>
  <c r="C293" i="24" a="1"/>
  <c r="C293" i="24" s="1"/>
  <c r="C294" i="24" a="1"/>
  <c r="C294" i="24" s="1"/>
  <c r="C295" i="24" a="1"/>
  <c r="C295" i="24" s="1"/>
  <c r="C296" i="24" a="1"/>
  <c r="C296" i="24" s="1"/>
  <c r="C297" i="24" a="1"/>
  <c r="C297" i="24" s="1"/>
  <c r="C298" i="24" a="1"/>
  <c r="C298" i="24" s="1"/>
  <c r="C299" i="24" a="1"/>
  <c r="C299" i="24" s="1"/>
  <c r="C300" i="24" a="1"/>
  <c r="C300" i="24" s="1"/>
  <c r="C301" i="24" a="1"/>
  <c r="C301" i="24" s="1"/>
  <c r="C302" i="24" a="1"/>
  <c r="C302" i="24" s="1"/>
  <c r="C303" i="24" a="1"/>
  <c r="C303" i="24" s="1"/>
  <c r="C304" i="24" a="1"/>
  <c r="C304" i="24" s="1"/>
  <c r="C305" i="24" a="1"/>
  <c r="C305" i="24" s="1"/>
  <c r="C306" i="24" a="1"/>
  <c r="C306" i="24" s="1"/>
  <c r="C307" i="24" a="1"/>
  <c r="C307" i="24" s="1"/>
  <c r="C308" i="24" a="1"/>
  <c r="C308" i="24" s="1"/>
  <c r="C309" i="24" a="1"/>
  <c r="C309" i="24" s="1"/>
  <c r="C310" i="24" a="1"/>
  <c r="C310" i="24" s="1"/>
  <c r="C311" i="24" a="1"/>
  <c r="C311" i="24" s="1"/>
  <c r="C312" i="24" a="1"/>
  <c r="C312" i="24" s="1"/>
  <c r="C313" i="24" a="1"/>
  <c r="C313" i="24" s="1"/>
  <c r="C314" i="24" a="1"/>
  <c r="C314" i="24" s="1"/>
  <c r="C315" i="24" a="1"/>
  <c r="C315" i="24" s="1"/>
  <c r="C316" i="24" a="1"/>
  <c r="C316" i="24" s="1"/>
  <c r="C317" i="24" a="1"/>
  <c r="C317" i="24" s="1"/>
  <c r="C318" i="24" a="1"/>
  <c r="C318" i="24" s="1"/>
  <c r="C319" i="24" a="1"/>
  <c r="C319" i="24" s="1"/>
  <c r="C320" i="24" a="1"/>
  <c r="C320" i="24" s="1"/>
  <c r="C321" i="24" a="1"/>
  <c r="C321" i="24" s="1"/>
  <c r="C322" i="24" a="1"/>
  <c r="C322" i="24" s="1"/>
  <c r="C323" i="24" a="1"/>
  <c r="C323" i="24" s="1"/>
  <c r="C324" i="24" a="1"/>
  <c r="C324" i="24" s="1"/>
  <c r="C325" i="24" a="1"/>
  <c r="C325" i="24" s="1"/>
  <c r="C326" i="24" a="1"/>
  <c r="C326" i="24" s="1"/>
  <c r="C327" i="24" a="1"/>
  <c r="C327" i="24" s="1"/>
  <c r="C328" i="24" a="1"/>
  <c r="C328" i="24" s="1"/>
  <c r="C329" i="24" a="1"/>
  <c r="C329" i="24" s="1"/>
  <c r="C330" i="24" a="1"/>
  <c r="C330" i="24" s="1"/>
  <c r="C331" i="24" a="1"/>
  <c r="C331" i="24" s="1"/>
  <c r="C332" i="24" a="1"/>
  <c r="C332" i="24" s="1"/>
  <c r="C333" i="24" a="1"/>
  <c r="C333" i="24" s="1"/>
  <c r="C334" i="24" a="1"/>
  <c r="C334" i="24" s="1"/>
  <c r="C335" i="24" a="1"/>
  <c r="C335" i="24" s="1"/>
  <c r="C336" i="24" a="1"/>
  <c r="C336" i="24" s="1"/>
  <c r="C337" i="24" a="1"/>
  <c r="C337" i="24" s="1"/>
  <c r="C338" i="24" a="1"/>
  <c r="C338" i="24" s="1"/>
  <c r="C339" i="24" a="1"/>
  <c r="C339" i="24" s="1"/>
  <c r="C340" i="24" a="1"/>
  <c r="C340" i="24" s="1"/>
  <c r="C341" i="24" a="1"/>
  <c r="C341" i="24" s="1"/>
  <c r="C342" i="24" a="1"/>
  <c r="C342" i="24" s="1"/>
  <c r="C343" i="24" a="1"/>
  <c r="C343" i="24" s="1"/>
  <c r="C344" i="24" a="1"/>
  <c r="C344" i="24" s="1"/>
  <c r="C345" i="24" a="1"/>
  <c r="C345" i="24" s="1"/>
  <c r="C346" i="24" a="1"/>
  <c r="C346" i="24" s="1"/>
  <c r="C347" i="24" a="1"/>
  <c r="C347" i="24" s="1"/>
  <c r="C348" i="24" a="1"/>
  <c r="C348" i="24" s="1"/>
  <c r="C349" i="24" a="1"/>
  <c r="C349" i="24" s="1"/>
  <c r="C350" i="24" a="1"/>
  <c r="C350" i="24" s="1"/>
  <c r="C351" i="24" a="1"/>
  <c r="C351" i="24" s="1"/>
  <c r="C352" i="24" a="1"/>
  <c r="C352" i="24" s="1"/>
  <c r="C353" i="24" a="1"/>
  <c r="C353" i="24" s="1"/>
  <c r="C354" i="24" a="1"/>
  <c r="C354" i="24" s="1"/>
  <c r="C355" i="24" a="1"/>
  <c r="C355" i="24" s="1"/>
  <c r="C356" i="24" a="1"/>
  <c r="C356" i="24" s="1"/>
  <c r="C357" i="24" a="1"/>
  <c r="C357" i="24" s="1"/>
  <c r="C358" i="24" a="1"/>
  <c r="C358" i="24" s="1"/>
  <c r="C359" i="24" a="1"/>
  <c r="C359" i="24" s="1"/>
  <c r="C360" i="24" a="1"/>
  <c r="C360" i="24" s="1"/>
  <c r="C361" i="24" a="1"/>
  <c r="C361" i="24" s="1"/>
  <c r="C362" i="24" a="1"/>
  <c r="C362" i="24" s="1"/>
  <c r="C363" i="24" a="1"/>
  <c r="C363" i="24" s="1"/>
  <c r="C364" i="24" a="1"/>
  <c r="C364" i="24" s="1"/>
  <c r="C365" i="24" a="1"/>
  <c r="C365" i="24" s="1"/>
  <c r="C366" i="24" a="1"/>
  <c r="C366" i="24" s="1"/>
  <c r="C367" i="24" a="1"/>
  <c r="C367" i="24" s="1"/>
  <c r="C368" i="24" a="1"/>
  <c r="C368" i="24" s="1"/>
  <c r="C369" i="24" a="1"/>
  <c r="C369" i="24" s="1"/>
  <c r="C370" i="24" a="1"/>
  <c r="C370" i="24" s="1"/>
  <c r="C371" i="24" a="1"/>
  <c r="C371" i="24" s="1"/>
  <c r="C372" i="24" a="1"/>
  <c r="C372" i="24" s="1"/>
  <c r="C373" i="24" a="1"/>
  <c r="C373" i="24" s="1"/>
  <c r="C374" i="24" a="1"/>
  <c r="C374" i="24" s="1"/>
  <c r="C375" i="24" a="1"/>
  <c r="C375" i="24" s="1"/>
  <c r="C376" i="24" a="1"/>
  <c r="C376" i="24" s="1"/>
  <c r="C377" i="24" a="1"/>
  <c r="C377" i="24" s="1"/>
  <c r="C378" i="24" a="1"/>
  <c r="C378" i="24" s="1"/>
  <c r="C379" i="24" a="1"/>
  <c r="C379" i="24" s="1"/>
  <c r="C380" i="24" a="1"/>
  <c r="C380" i="24" s="1"/>
  <c r="C381" i="24" a="1"/>
  <c r="C381" i="24" s="1"/>
  <c r="C382" i="24" a="1"/>
  <c r="C382" i="24" s="1"/>
  <c r="C383" i="24" a="1"/>
  <c r="C383" i="24" s="1"/>
  <c r="C384" i="24" a="1"/>
  <c r="C384" i="24" s="1"/>
  <c r="C385" i="24" a="1"/>
  <c r="C385" i="24" s="1"/>
  <c r="C386" i="24" a="1"/>
  <c r="C386" i="24" s="1"/>
  <c r="C387" i="24" a="1"/>
  <c r="C387" i="24" s="1"/>
  <c r="C388" i="24" a="1"/>
  <c r="C388" i="24" s="1"/>
  <c r="C389" i="24" a="1"/>
  <c r="C389" i="24" s="1"/>
  <c r="C390" i="24" a="1"/>
  <c r="C390" i="24" s="1"/>
  <c r="C391" i="24" a="1"/>
  <c r="C391" i="24" s="1"/>
  <c r="C392" i="24" a="1"/>
  <c r="C392" i="24" s="1"/>
  <c r="C393" i="24" a="1"/>
  <c r="C393" i="24" s="1"/>
  <c r="C394" i="24" a="1"/>
  <c r="C394" i="24" s="1"/>
  <c r="C395" i="24" a="1"/>
  <c r="C395" i="24" s="1"/>
  <c r="C396" i="24" a="1"/>
  <c r="C396" i="24" s="1"/>
  <c r="C397" i="24" a="1"/>
  <c r="C397" i="24" s="1"/>
  <c r="C398" i="24" a="1"/>
  <c r="C398" i="24" s="1"/>
  <c r="C399" i="24" a="1"/>
  <c r="C399" i="24" s="1"/>
  <c r="C400" i="24" a="1"/>
  <c r="C400" i="24" s="1"/>
  <c r="C401" i="24" a="1"/>
  <c r="C401" i="24" s="1"/>
  <c r="C402" i="24" a="1"/>
  <c r="C402" i="24" s="1"/>
  <c r="C403" i="24" a="1"/>
  <c r="C403" i="24" s="1"/>
  <c r="C404" i="24" a="1"/>
  <c r="C404" i="24" s="1"/>
  <c r="C405" i="24" a="1"/>
  <c r="C405" i="24" s="1"/>
  <c r="C406" i="24" a="1"/>
  <c r="C406" i="24" s="1"/>
  <c r="C407" i="24" a="1"/>
  <c r="C407" i="24" s="1"/>
  <c r="C408" i="24" a="1"/>
  <c r="C408" i="24" s="1"/>
  <c r="C409" i="24" a="1"/>
  <c r="C409" i="24" s="1"/>
  <c r="C410" i="24" a="1"/>
  <c r="C410" i="24" s="1"/>
  <c r="C411" i="24" a="1"/>
  <c r="C411" i="24" s="1"/>
  <c r="C412" i="24" a="1"/>
  <c r="C412" i="24" s="1"/>
  <c r="C413" i="24" a="1"/>
  <c r="C413" i="24" s="1"/>
  <c r="C414" i="24" a="1"/>
  <c r="C414" i="24" s="1"/>
  <c r="C415" i="24" a="1"/>
  <c r="C415" i="24" s="1"/>
  <c r="C416" i="24" a="1"/>
  <c r="C416" i="24" s="1"/>
  <c r="C417" i="24" a="1"/>
  <c r="C417" i="24" s="1"/>
  <c r="C418" i="24" a="1"/>
  <c r="C418" i="24" s="1"/>
  <c r="C419" i="24" a="1"/>
  <c r="C419" i="24" s="1"/>
  <c r="C420" i="24" a="1"/>
  <c r="C420" i="24" s="1"/>
  <c r="C421" i="24" a="1"/>
  <c r="C421" i="24" s="1"/>
  <c r="C422" i="24" a="1"/>
  <c r="C422" i="24" s="1"/>
  <c r="C423" i="24" a="1"/>
  <c r="C423" i="24" s="1"/>
  <c r="C424" i="24" a="1"/>
  <c r="C424" i="24" s="1"/>
  <c r="C425" i="24" a="1"/>
  <c r="C425" i="24" s="1"/>
  <c r="C426" i="24" a="1"/>
  <c r="C426" i="24" s="1"/>
  <c r="C427" i="24" a="1"/>
  <c r="C427" i="24" s="1"/>
  <c r="C428" i="24" a="1"/>
  <c r="C428" i="24" s="1"/>
  <c r="C429" i="24" a="1"/>
  <c r="C429" i="24" s="1"/>
  <c r="C430" i="24" a="1"/>
  <c r="C430" i="24" s="1"/>
  <c r="C431" i="24" a="1"/>
  <c r="C431" i="24" s="1"/>
  <c r="C432" i="24" a="1"/>
  <c r="C432" i="24" s="1"/>
  <c r="C433" i="24" a="1"/>
  <c r="C433" i="24" s="1"/>
  <c r="C434" i="24" a="1"/>
  <c r="C434" i="24" s="1"/>
  <c r="C435" i="24" a="1"/>
  <c r="C435" i="24" s="1"/>
  <c r="C436" i="24" a="1"/>
  <c r="C436" i="24" s="1"/>
  <c r="C437" i="24" a="1"/>
  <c r="C437" i="24" s="1"/>
  <c r="C438" i="24" a="1"/>
  <c r="C438" i="24" s="1"/>
  <c r="C439" i="24" a="1"/>
  <c r="C439" i="24" s="1"/>
  <c r="C440" i="24" a="1"/>
  <c r="C440" i="24" s="1"/>
  <c r="C441" i="24" a="1"/>
  <c r="C441" i="24" s="1"/>
  <c r="C442" i="24" a="1"/>
  <c r="C442" i="24" s="1"/>
  <c r="C443" i="24" a="1"/>
  <c r="C443" i="24" s="1"/>
  <c r="C444" i="24" a="1"/>
  <c r="C444" i="24" s="1"/>
  <c r="C445" i="24" a="1"/>
  <c r="C445" i="24" s="1"/>
  <c r="C446" i="24" a="1"/>
  <c r="C446" i="24" s="1"/>
  <c r="C447" i="24" a="1"/>
  <c r="C447" i="24" s="1"/>
  <c r="C448" i="24" a="1"/>
  <c r="C448" i="24" s="1"/>
  <c r="C449" i="24" a="1"/>
  <c r="C449" i="24" s="1"/>
  <c r="C450" i="24" a="1"/>
  <c r="C450" i="24" s="1"/>
  <c r="C451" i="24" a="1"/>
  <c r="C451" i="24" s="1"/>
  <c r="C452" i="24" a="1"/>
  <c r="C452" i="24" s="1"/>
  <c r="C453" i="24" a="1"/>
  <c r="C453" i="24" s="1"/>
  <c r="C454" i="24" a="1"/>
  <c r="C454" i="24" s="1"/>
  <c r="C455" i="24" a="1"/>
  <c r="C455" i="24" s="1"/>
  <c r="C456" i="24" a="1"/>
  <c r="C456" i="24" s="1"/>
  <c r="C457" i="24" a="1"/>
  <c r="C457" i="24" s="1"/>
  <c r="C458" i="24" a="1"/>
  <c r="C458" i="24" s="1"/>
  <c r="C459" i="24" a="1"/>
  <c r="C459" i="24" s="1"/>
  <c r="C460" i="24" a="1"/>
  <c r="C460" i="24" s="1"/>
  <c r="C461" i="24" a="1"/>
  <c r="C461" i="24" s="1"/>
  <c r="C462" i="24" a="1"/>
  <c r="C462" i="24" s="1"/>
  <c r="C463" i="24" a="1"/>
  <c r="C463" i="24" s="1"/>
  <c r="C464" i="24" a="1"/>
  <c r="C464" i="24" s="1"/>
  <c r="C465" i="24" a="1"/>
  <c r="C465" i="24" s="1"/>
  <c r="C466" i="24" a="1"/>
  <c r="C466" i="24" s="1"/>
  <c r="C467" i="24" a="1"/>
  <c r="C467" i="24" s="1"/>
  <c r="C468" i="24" a="1"/>
  <c r="C468" i="24" s="1"/>
  <c r="C469" i="24" a="1"/>
  <c r="C469" i="24" s="1"/>
  <c r="C470" i="24" a="1"/>
  <c r="C470" i="24" s="1"/>
  <c r="C471" i="24" a="1"/>
  <c r="C471" i="24" s="1"/>
  <c r="C472" i="24" a="1"/>
  <c r="C472" i="24" s="1"/>
  <c r="C473" i="24" a="1"/>
  <c r="C473" i="24" s="1"/>
  <c r="C474" i="24" a="1"/>
  <c r="C474" i="24" s="1"/>
  <c r="C475" i="24" a="1"/>
  <c r="C475" i="24" s="1"/>
  <c r="C476" i="24" a="1"/>
  <c r="C476" i="24" s="1"/>
  <c r="C477" i="24" a="1"/>
  <c r="C477" i="24" s="1"/>
  <c r="C478" i="24" a="1"/>
  <c r="C478" i="24" s="1"/>
  <c r="C479" i="24" a="1"/>
  <c r="C479" i="24" s="1"/>
  <c r="C480" i="24" a="1"/>
  <c r="C480" i="24" s="1"/>
  <c r="C481" i="24" a="1"/>
  <c r="C481" i="24" s="1"/>
  <c r="C482" i="24" a="1"/>
  <c r="C482" i="24" s="1"/>
  <c r="C483" i="24" a="1"/>
  <c r="C483" i="24" s="1"/>
  <c r="C484" i="24" a="1"/>
  <c r="C484" i="24" s="1"/>
  <c r="C485" i="24" a="1"/>
  <c r="C485" i="24" s="1"/>
  <c r="C486" i="24" a="1"/>
  <c r="C486" i="24" s="1"/>
  <c r="C487" i="24" a="1"/>
  <c r="C487" i="24" s="1"/>
  <c r="C488" i="24" a="1"/>
  <c r="C488" i="24" s="1"/>
  <c r="C489" i="24" a="1"/>
  <c r="C489" i="24" s="1"/>
  <c r="C490" i="24" a="1"/>
  <c r="C490" i="24" s="1"/>
  <c r="C491" i="24" a="1"/>
  <c r="C491" i="24" s="1"/>
  <c r="C492" i="24" a="1"/>
  <c r="C492" i="24" s="1"/>
  <c r="C493" i="24" a="1"/>
  <c r="C493" i="24" s="1"/>
  <c r="C494" i="24" a="1"/>
  <c r="C494" i="24" s="1"/>
  <c r="C495" i="24" a="1"/>
  <c r="C495" i="24" s="1"/>
  <c r="C496" i="24" a="1"/>
  <c r="C496" i="24" s="1"/>
  <c r="C497" i="24" a="1"/>
  <c r="C497" i="24" s="1"/>
  <c r="C498" i="24" a="1"/>
  <c r="C498" i="24" s="1"/>
  <c r="C499" i="24" a="1"/>
  <c r="C499" i="24" s="1"/>
  <c r="C500" i="24" a="1"/>
  <c r="C500" i="24" s="1"/>
  <c r="C2" i="24" a="1"/>
  <c r="C2" i="24" s="1"/>
  <c r="AB28" i="5" l="1"/>
  <c r="AB39" i="5"/>
  <c r="AB26" i="5"/>
  <c r="AB27" i="5"/>
  <c r="AB34" i="5"/>
  <c r="AC3" i="5"/>
  <c r="AB51" i="5"/>
  <c r="AB56" i="5"/>
  <c r="AB38" i="5"/>
  <c r="AB37" i="5"/>
  <c r="AB36" i="5"/>
  <c r="AB19" i="5"/>
  <c r="AB4" i="5"/>
  <c r="AB16" i="5"/>
  <c r="AB11" i="5"/>
  <c r="AB31" i="5"/>
  <c r="AB24" i="5"/>
  <c r="AB32" i="5"/>
  <c r="AB8" i="5"/>
  <c r="AB17" i="5"/>
  <c r="T203" i="24"/>
  <c r="U203" i="24" s="1"/>
  <c r="W7" i="24"/>
  <c r="AB10" i="5"/>
  <c r="AB35" i="5"/>
  <c r="AB30" i="5"/>
  <c r="AB23" i="5"/>
  <c r="AB14" i="5"/>
  <c r="AC27" i="5"/>
  <c r="AB20" i="5"/>
  <c r="AB12" i="5"/>
  <c r="AB6" i="5"/>
  <c r="AB21" i="5"/>
  <c r="AB9" i="5"/>
  <c r="AB25" i="5"/>
  <c r="AC28" i="5"/>
  <c r="AC16" i="5"/>
  <c r="AC4" i="5"/>
  <c r="H15" i="1"/>
  <c r="AB46" i="5"/>
  <c r="AB22" i="5"/>
  <c r="AB45" i="5"/>
  <c r="AB33" i="5"/>
  <c r="AB44" i="5"/>
  <c r="AB43" i="5"/>
  <c r="AB7" i="5"/>
  <c r="AB42" i="5"/>
  <c r="AB18" i="5"/>
  <c r="AB41" i="5"/>
  <c r="AB29" i="5"/>
  <c r="AB5" i="5"/>
  <c r="AB40" i="5"/>
  <c r="AB13" i="5"/>
  <c r="AB48" i="5"/>
  <c r="AB47" i="5"/>
  <c r="AB15" i="5"/>
  <c r="I15" i="1"/>
  <c r="G16" i="1"/>
  <c r="H16" i="1"/>
  <c r="G15" i="1"/>
  <c r="T190" i="24"/>
  <c r="T178" i="24"/>
  <c r="U178" i="24" s="1"/>
  <c r="T166" i="24"/>
  <c r="U166" i="24" s="1"/>
  <c r="T154" i="24"/>
  <c r="U154" i="24" s="1"/>
  <c r="T142" i="24"/>
  <c r="U142" i="24" s="1"/>
  <c r="T130" i="24"/>
  <c r="U130" i="24" s="1"/>
  <c r="T118" i="24"/>
  <c r="U118" i="24" s="1"/>
  <c r="T106" i="24"/>
  <c r="U106" i="24" s="1"/>
  <c r="T94" i="24"/>
  <c r="U94" i="24" s="1"/>
  <c r="T82" i="24"/>
  <c r="U82" i="24" s="1"/>
  <c r="T70" i="24"/>
  <c r="U70" i="24" s="1"/>
  <c r="T58" i="24"/>
  <c r="U58" i="24" s="1"/>
  <c r="T46" i="24"/>
  <c r="U46" i="24" s="1"/>
  <c r="T34" i="24"/>
  <c r="T22" i="24"/>
  <c r="T10" i="24"/>
  <c r="T202" i="24"/>
  <c r="U202" i="24" s="1"/>
  <c r="W198" i="24"/>
  <c r="X198" i="24" s="1"/>
  <c r="W186" i="24"/>
  <c r="X186" i="24" s="1"/>
  <c r="W174" i="24"/>
  <c r="X174" i="24" s="1"/>
  <c r="W162" i="24"/>
  <c r="X162" i="24" s="1"/>
  <c r="W150" i="24"/>
  <c r="X150" i="24" s="1"/>
  <c r="W138" i="24"/>
  <c r="X138" i="24" s="1"/>
  <c r="W126" i="24"/>
  <c r="X126" i="24" s="1"/>
  <c r="W114" i="24"/>
  <c r="X114" i="24" s="1"/>
  <c r="W102" i="24"/>
  <c r="X102" i="24" s="1"/>
  <c r="W90" i="24"/>
  <c r="X90" i="24" s="1"/>
  <c r="W78" i="24"/>
  <c r="X78" i="24" s="1"/>
  <c r="W66" i="24"/>
  <c r="X66" i="24" s="1"/>
  <c r="W54" i="24"/>
  <c r="X54" i="24" s="1"/>
  <c r="W42" i="24"/>
  <c r="X42" i="24" s="1"/>
  <c r="W30" i="24"/>
  <c r="W18" i="24"/>
  <c r="W6" i="24"/>
  <c r="T189" i="24"/>
  <c r="U189" i="24" s="1"/>
  <c r="T177" i="24"/>
  <c r="U177" i="24" s="1"/>
  <c r="T165" i="24"/>
  <c r="U165" i="24" s="1"/>
  <c r="T153" i="24"/>
  <c r="U153" i="24" s="1"/>
  <c r="T141" i="24"/>
  <c r="U141" i="24" s="1"/>
  <c r="T129" i="24"/>
  <c r="U129" i="24" s="1"/>
  <c r="T117" i="24"/>
  <c r="U117" i="24" s="1"/>
  <c r="T105" i="24"/>
  <c r="U105" i="24" s="1"/>
  <c r="T93" i="24"/>
  <c r="U93" i="24" s="1"/>
  <c r="T81" i="24"/>
  <c r="U81" i="24" s="1"/>
  <c r="T69" i="24"/>
  <c r="U69" i="24" s="1"/>
  <c r="T57" i="24"/>
  <c r="U57" i="24" s="1"/>
  <c r="T45" i="24"/>
  <c r="U45" i="24" s="1"/>
  <c r="T33" i="24"/>
  <c r="T21" i="24"/>
  <c r="T9" i="24"/>
  <c r="T201" i="24"/>
  <c r="U201" i="24" s="1"/>
  <c r="W197" i="24"/>
  <c r="X197" i="24" s="1"/>
  <c r="W185" i="24"/>
  <c r="X185" i="24" s="1"/>
  <c r="W173" i="24"/>
  <c r="X173" i="24" s="1"/>
  <c r="W161" i="24"/>
  <c r="X161" i="24" s="1"/>
  <c r="W149" i="24"/>
  <c r="X149" i="24" s="1"/>
  <c r="W137" i="24"/>
  <c r="X137" i="24" s="1"/>
  <c r="W125" i="24"/>
  <c r="X125" i="24" s="1"/>
  <c r="W113" i="24"/>
  <c r="X113" i="24" s="1"/>
  <c r="W101" i="24"/>
  <c r="X101" i="24" s="1"/>
  <c r="W89" i="24"/>
  <c r="X89" i="24" s="1"/>
  <c r="W77" i="24"/>
  <c r="X77" i="24" s="1"/>
  <c r="W65" i="24"/>
  <c r="X65" i="24" s="1"/>
  <c r="W53" i="24"/>
  <c r="X53" i="24" s="1"/>
  <c r="W41" i="24"/>
  <c r="X41" i="24" s="1"/>
  <c r="W29" i="24"/>
  <c r="W17" i="24"/>
  <c r="X17" i="24" s="1"/>
  <c r="W5" i="24"/>
  <c r="X5" i="24" s="1"/>
  <c r="T2" i="24"/>
  <c r="T188" i="24"/>
  <c r="U188" i="24" s="1"/>
  <c r="T176" i="24"/>
  <c r="U176" i="24" s="1"/>
  <c r="T164" i="24"/>
  <c r="U164" i="24" s="1"/>
  <c r="T152" i="24"/>
  <c r="U152" i="24" s="1"/>
  <c r="T140" i="24"/>
  <c r="U140" i="24" s="1"/>
  <c r="T128" i="24"/>
  <c r="U128" i="24" s="1"/>
  <c r="T116" i="24"/>
  <c r="U116" i="24" s="1"/>
  <c r="T104" i="24"/>
  <c r="U104" i="24" s="1"/>
  <c r="T92" i="24"/>
  <c r="U92" i="24" s="1"/>
  <c r="T80" i="24"/>
  <c r="U80" i="24" s="1"/>
  <c r="T68" i="24"/>
  <c r="U68" i="24" s="1"/>
  <c r="T56" i="24"/>
  <c r="U56" i="24" s="1"/>
  <c r="T44" i="24"/>
  <c r="T32" i="24"/>
  <c r="T20" i="24"/>
  <c r="T8" i="24"/>
  <c r="T200" i="24"/>
  <c r="U200" i="24" s="1"/>
  <c r="W196" i="24"/>
  <c r="X196" i="24" s="1"/>
  <c r="W184" i="24"/>
  <c r="X184" i="24" s="1"/>
  <c r="W172" i="24"/>
  <c r="X172" i="24" s="1"/>
  <c r="W160" i="24"/>
  <c r="X160" i="24" s="1"/>
  <c r="W148" i="24"/>
  <c r="X148" i="24" s="1"/>
  <c r="W136" i="24"/>
  <c r="X136" i="24" s="1"/>
  <c r="W124" i="24"/>
  <c r="X124" i="24" s="1"/>
  <c r="W112" i="24"/>
  <c r="X112" i="24" s="1"/>
  <c r="W100" i="24"/>
  <c r="X100" i="24" s="1"/>
  <c r="W88" i="24"/>
  <c r="X88" i="24" s="1"/>
  <c r="W76" i="24"/>
  <c r="X76" i="24" s="1"/>
  <c r="W64" i="24"/>
  <c r="X64" i="24" s="1"/>
  <c r="W52" i="24"/>
  <c r="X52" i="24" s="1"/>
  <c r="W40" i="24"/>
  <c r="W28" i="24"/>
  <c r="X28" i="24" s="1"/>
  <c r="W16" i="24"/>
  <c r="W4" i="24"/>
  <c r="X4" i="24" s="1"/>
  <c r="T199" i="24"/>
  <c r="U199" i="24" s="1"/>
  <c r="T187" i="24"/>
  <c r="U187" i="24" s="1"/>
  <c r="T175" i="24"/>
  <c r="U175" i="24" s="1"/>
  <c r="T163" i="24"/>
  <c r="U163" i="24" s="1"/>
  <c r="T151" i="24"/>
  <c r="U151" i="24" s="1"/>
  <c r="T139" i="24"/>
  <c r="U139" i="24" s="1"/>
  <c r="T127" i="24"/>
  <c r="U127" i="24" s="1"/>
  <c r="T115" i="24"/>
  <c r="U115" i="24" s="1"/>
  <c r="T103" i="24"/>
  <c r="U103" i="24" s="1"/>
  <c r="T91" i="24"/>
  <c r="U91" i="24" s="1"/>
  <c r="T79" i="24"/>
  <c r="U79" i="24" s="1"/>
  <c r="T67" i="24"/>
  <c r="U67" i="24" s="1"/>
  <c r="T55" i="24"/>
  <c r="U55" i="24" s="1"/>
  <c r="T43" i="24"/>
  <c r="U43" i="24" s="1"/>
  <c r="T31" i="24"/>
  <c r="T19" i="24"/>
  <c r="T7" i="24"/>
  <c r="W2" i="24"/>
  <c r="W195" i="24"/>
  <c r="X195" i="24" s="1"/>
  <c r="W183" i="24"/>
  <c r="X183" i="24" s="1"/>
  <c r="W171" i="24"/>
  <c r="X171" i="24" s="1"/>
  <c r="W159" i="24"/>
  <c r="X159" i="24" s="1"/>
  <c r="W147" i="24"/>
  <c r="X147" i="24" s="1"/>
  <c r="W135" i="24"/>
  <c r="X135" i="24" s="1"/>
  <c r="W123" i="24"/>
  <c r="X123" i="24" s="1"/>
  <c r="W111" i="24"/>
  <c r="X111" i="24" s="1"/>
  <c r="W99" i="24"/>
  <c r="X99" i="24" s="1"/>
  <c r="W87" i="24"/>
  <c r="X87" i="24" s="1"/>
  <c r="W75" i="24"/>
  <c r="X75" i="24" s="1"/>
  <c r="W63" i="24"/>
  <c r="X63" i="24" s="1"/>
  <c r="W51" i="24"/>
  <c r="X51" i="24" s="1"/>
  <c r="W39" i="24"/>
  <c r="W27" i="24"/>
  <c r="X27" i="24" s="1"/>
  <c r="W15" i="24"/>
  <c r="W3" i="24"/>
  <c r="X3" i="24" s="1"/>
  <c r="T198" i="24"/>
  <c r="U198" i="24" s="1"/>
  <c r="T186" i="24"/>
  <c r="U186" i="24" s="1"/>
  <c r="T174" i="24"/>
  <c r="U174" i="24" s="1"/>
  <c r="T162" i="24"/>
  <c r="U162" i="24" s="1"/>
  <c r="T150" i="24"/>
  <c r="U150" i="24" s="1"/>
  <c r="T138" i="24"/>
  <c r="U138" i="24" s="1"/>
  <c r="T126" i="24"/>
  <c r="U126" i="24" s="1"/>
  <c r="T114" i="24"/>
  <c r="U114" i="24" s="1"/>
  <c r="T102" i="24"/>
  <c r="U102" i="24" s="1"/>
  <c r="T90" i="24"/>
  <c r="U90" i="24" s="1"/>
  <c r="T78" i="24"/>
  <c r="U78" i="24" s="1"/>
  <c r="T66" i="24"/>
  <c r="U66" i="24" s="1"/>
  <c r="T54" i="24"/>
  <c r="U54" i="24" s="1"/>
  <c r="T42" i="24"/>
  <c r="T30" i="24"/>
  <c r="T18" i="24"/>
  <c r="T6" i="24"/>
  <c r="W206" i="24"/>
  <c r="X206" i="24" s="1"/>
  <c r="W194" i="24"/>
  <c r="X194" i="24" s="1"/>
  <c r="W182" i="24"/>
  <c r="X182" i="24" s="1"/>
  <c r="W170" i="24"/>
  <c r="X170" i="24" s="1"/>
  <c r="W158" i="24"/>
  <c r="X158" i="24" s="1"/>
  <c r="W146" i="24"/>
  <c r="X146" i="24" s="1"/>
  <c r="W134" i="24"/>
  <c r="X134" i="24" s="1"/>
  <c r="W122" i="24"/>
  <c r="X122" i="24" s="1"/>
  <c r="W110" i="24"/>
  <c r="X110" i="24" s="1"/>
  <c r="W98" i="24"/>
  <c r="X98" i="24" s="1"/>
  <c r="W86" i="24"/>
  <c r="X86" i="24" s="1"/>
  <c r="W74" i="24"/>
  <c r="X74" i="24" s="1"/>
  <c r="W62" i="24"/>
  <c r="X62" i="24" s="1"/>
  <c r="W50" i="24"/>
  <c r="X50" i="24" s="1"/>
  <c r="W38" i="24"/>
  <c r="W26" i="24"/>
  <c r="W14" i="24"/>
  <c r="T197" i="24"/>
  <c r="U197" i="24" s="1"/>
  <c r="T185" i="24"/>
  <c r="U185" i="24" s="1"/>
  <c r="T173" i="24"/>
  <c r="U173" i="24" s="1"/>
  <c r="T161" i="24"/>
  <c r="U161" i="24" s="1"/>
  <c r="T149" i="24"/>
  <c r="U149" i="24" s="1"/>
  <c r="T137" i="24"/>
  <c r="U137" i="24" s="1"/>
  <c r="T125" i="24"/>
  <c r="U125" i="24" s="1"/>
  <c r="T113" i="24"/>
  <c r="U113" i="24" s="1"/>
  <c r="T101" i="24"/>
  <c r="U101" i="24" s="1"/>
  <c r="T89" i="24"/>
  <c r="U89" i="24" s="1"/>
  <c r="T77" i="24"/>
  <c r="U77" i="24" s="1"/>
  <c r="T65" i="24"/>
  <c r="U65" i="24" s="1"/>
  <c r="T53" i="24"/>
  <c r="U53" i="24" s="1"/>
  <c r="T41" i="24"/>
  <c r="T29" i="24"/>
  <c r="T17" i="24"/>
  <c r="T5" i="24"/>
  <c r="W205" i="24"/>
  <c r="X205" i="24" s="1"/>
  <c r="W193" i="24"/>
  <c r="X193" i="24" s="1"/>
  <c r="W181" i="24"/>
  <c r="X181" i="24" s="1"/>
  <c r="W169" i="24"/>
  <c r="X169" i="24" s="1"/>
  <c r="W157" i="24"/>
  <c r="X157" i="24" s="1"/>
  <c r="W145" i="24"/>
  <c r="X145" i="24" s="1"/>
  <c r="W133" i="24"/>
  <c r="X133" i="24" s="1"/>
  <c r="W121" i="24"/>
  <c r="X121" i="24" s="1"/>
  <c r="W109" i="24"/>
  <c r="X109" i="24" s="1"/>
  <c r="W97" i="24"/>
  <c r="X97" i="24" s="1"/>
  <c r="W85" i="24"/>
  <c r="X85" i="24" s="1"/>
  <c r="W73" i="24"/>
  <c r="X73" i="24" s="1"/>
  <c r="W61" i="24"/>
  <c r="X61" i="24" s="1"/>
  <c r="W49" i="24"/>
  <c r="W37" i="24"/>
  <c r="X37" i="24" s="1"/>
  <c r="W25" i="24"/>
  <c r="W13" i="24"/>
  <c r="T196" i="24"/>
  <c r="U196" i="24" s="1"/>
  <c r="T184" i="24"/>
  <c r="U184" i="24" s="1"/>
  <c r="T172" i="24"/>
  <c r="U172" i="24" s="1"/>
  <c r="T160" i="24"/>
  <c r="U160" i="24" s="1"/>
  <c r="T148" i="24"/>
  <c r="U148" i="24" s="1"/>
  <c r="T136" i="24"/>
  <c r="U136" i="24" s="1"/>
  <c r="T124" i="24"/>
  <c r="U124" i="24" s="1"/>
  <c r="T112" i="24"/>
  <c r="T100" i="24"/>
  <c r="U100" i="24" s="1"/>
  <c r="T88" i="24"/>
  <c r="U88" i="24" s="1"/>
  <c r="T76" i="24"/>
  <c r="U76" i="24" s="1"/>
  <c r="T64" i="24"/>
  <c r="U64" i="24" s="1"/>
  <c r="T52" i="24"/>
  <c r="U52" i="24" s="1"/>
  <c r="T40" i="24"/>
  <c r="T28" i="24"/>
  <c r="T16" i="24"/>
  <c r="T4" i="24"/>
  <c r="W204" i="24"/>
  <c r="X204" i="24" s="1"/>
  <c r="W192" i="24"/>
  <c r="W180" i="24"/>
  <c r="X180" i="24" s="1"/>
  <c r="W168" i="24"/>
  <c r="X168" i="24" s="1"/>
  <c r="W156" i="24"/>
  <c r="X156" i="24" s="1"/>
  <c r="W144" i="24"/>
  <c r="X144" i="24" s="1"/>
  <c r="W132" i="24"/>
  <c r="X132" i="24" s="1"/>
  <c r="W120" i="24"/>
  <c r="X120" i="24" s="1"/>
  <c r="W108" i="24"/>
  <c r="X108" i="24" s="1"/>
  <c r="W96" i="24"/>
  <c r="X96" i="24" s="1"/>
  <c r="W84" i="24"/>
  <c r="X84" i="24" s="1"/>
  <c r="W72" i="24"/>
  <c r="X72" i="24" s="1"/>
  <c r="W60" i="24"/>
  <c r="X60" i="24" s="1"/>
  <c r="W48" i="24"/>
  <c r="W36" i="24"/>
  <c r="X36" i="24" s="1"/>
  <c r="W24" i="24"/>
  <c r="W12" i="24"/>
  <c r="T195" i="24"/>
  <c r="U195" i="24" s="1"/>
  <c r="T183" i="24"/>
  <c r="U183" i="24" s="1"/>
  <c r="T171" i="24"/>
  <c r="U171" i="24" s="1"/>
  <c r="T159" i="24"/>
  <c r="U159" i="24" s="1"/>
  <c r="T147" i="24"/>
  <c r="U147" i="24" s="1"/>
  <c r="T135" i="24"/>
  <c r="U135" i="24" s="1"/>
  <c r="T123" i="24"/>
  <c r="U123" i="24" s="1"/>
  <c r="T111" i="24"/>
  <c r="U111" i="24" s="1"/>
  <c r="T99" i="24"/>
  <c r="U99" i="24" s="1"/>
  <c r="T87" i="24"/>
  <c r="U87" i="24" s="1"/>
  <c r="T75" i="24"/>
  <c r="U75" i="24" s="1"/>
  <c r="T63" i="24"/>
  <c r="U63" i="24" s="1"/>
  <c r="T51" i="24"/>
  <c r="U51" i="24" s="1"/>
  <c r="T39" i="24"/>
  <c r="T27" i="24"/>
  <c r="T15" i="24"/>
  <c r="T3" i="24"/>
  <c r="W203" i="24"/>
  <c r="X203" i="24" s="1"/>
  <c r="W191" i="24"/>
  <c r="X191" i="24" s="1"/>
  <c r="W179" i="24"/>
  <c r="X179" i="24" s="1"/>
  <c r="W167" i="24"/>
  <c r="X167" i="24" s="1"/>
  <c r="W155" i="24"/>
  <c r="X155" i="24" s="1"/>
  <c r="W143" i="24"/>
  <c r="X143" i="24" s="1"/>
  <c r="W131" i="24"/>
  <c r="X131" i="24" s="1"/>
  <c r="W119" i="24"/>
  <c r="X119" i="24" s="1"/>
  <c r="W107" i="24"/>
  <c r="X107" i="24" s="1"/>
  <c r="W95" i="24"/>
  <c r="X95" i="24" s="1"/>
  <c r="W83" i="24"/>
  <c r="X83" i="24" s="1"/>
  <c r="W71" i="24"/>
  <c r="X71" i="24" s="1"/>
  <c r="W59" i="24"/>
  <c r="X59" i="24" s="1"/>
  <c r="W47" i="24"/>
  <c r="W35" i="24"/>
  <c r="X35" i="24" s="1"/>
  <c r="W23" i="24"/>
  <c r="W11" i="24"/>
  <c r="X11" i="24" s="1"/>
  <c r="T194" i="24"/>
  <c r="U194" i="24" s="1"/>
  <c r="T182" i="24"/>
  <c r="U182" i="24" s="1"/>
  <c r="T170" i="24"/>
  <c r="U170" i="24" s="1"/>
  <c r="T158" i="24"/>
  <c r="U158" i="24" s="1"/>
  <c r="T146" i="24"/>
  <c r="U146" i="24" s="1"/>
  <c r="T134" i="24"/>
  <c r="U134" i="24" s="1"/>
  <c r="T122" i="24"/>
  <c r="U122" i="24" s="1"/>
  <c r="T110" i="24"/>
  <c r="U110" i="24" s="1"/>
  <c r="T98" i="24"/>
  <c r="U98" i="24" s="1"/>
  <c r="T86" i="24"/>
  <c r="U86" i="24" s="1"/>
  <c r="T74" i="24"/>
  <c r="U74" i="24" s="1"/>
  <c r="T62" i="24"/>
  <c r="U62" i="24" s="1"/>
  <c r="T50" i="24"/>
  <c r="U50" i="24" s="1"/>
  <c r="T38" i="24"/>
  <c r="T26" i="24"/>
  <c r="T14" i="24"/>
  <c r="T206" i="24"/>
  <c r="U206" i="24" s="1"/>
  <c r="W202" i="24"/>
  <c r="X202" i="24" s="1"/>
  <c r="W190" i="24"/>
  <c r="X190" i="24" s="1"/>
  <c r="W178" i="24"/>
  <c r="X178" i="24" s="1"/>
  <c r="W166" i="24"/>
  <c r="X166" i="24" s="1"/>
  <c r="W154" i="24"/>
  <c r="X154" i="24" s="1"/>
  <c r="W142" i="24"/>
  <c r="X142" i="24" s="1"/>
  <c r="W130" i="24"/>
  <c r="X130" i="24" s="1"/>
  <c r="W118" i="24"/>
  <c r="X118" i="24" s="1"/>
  <c r="W106" i="24"/>
  <c r="X106" i="24" s="1"/>
  <c r="W94" i="24"/>
  <c r="X94" i="24" s="1"/>
  <c r="W82" i="24"/>
  <c r="X82" i="24" s="1"/>
  <c r="W70" i="24"/>
  <c r="X70" i="24" s="1"/>
  <c r="W58" i="24"/>
  <c r="X58" i="24" s="1"/>
  <c r="W46" i="24"/>
  <c r="W34" i="24"/>
  <c r="X34" i="24" s="1"/>
  <c r="W22" i="24"/>
  <c r="W10" i="24"/>
  <c r="X10" i="24" s="1"/>
  <c r="T193" i="24"/>
  <c r="U193" i="24" s="1"/>
  <c r="T181" i="24"/>
  <c r="U181" i="24" s="1"/>
  <c r="T169" i="24"/>
  <c r="U169" i="24" s="1"/>
  <c r="T157" i="24"/>
  <c r="U157" i="24" s="1"/>
  <c r="T145" i="24"/>
  <c r="U145" i="24" s="1"/>
  <c r="T133" i="24"/>
  <c r="U133" i="24" s="1"/>
  <c r="T121" i="24"/>
  <c r="U121" i="24" s="1"/>
  <c r="T109" i="24"/>
  <c r="U109" i="24" s="1"/>
  <c r="T97" i="24"/>
  <c r="U97" i="24" s="1"/>
  <c r="T85" i="24"/>
  <c r="U85" i="24" s="1"/>
  <c r="T73" i="24"/>
  <c r="U73" i="24" s="1"/>
  <c r="T61" i="24"/>
  <c r="U61" i="24" s="1"/>
  <c r="T49" i="24"/>
  <c r="U49" i="24" s="1"/>
  <c r="T37" i="24"/>
  <c r="T25" i="24"/>
  <c r="T13" i="24"/>
  <c r="T205" i="24"/>
  <c r="U205" i="24" s="1"/>
  <c r="W201" i="24"/>
  <c r="X201" i="24" s="1"/>
  <c r="W189" i="24"/>
  <c r="X189" i="24" s="1"/>
  <c r="W177" i="24"/>
  <c r="X177" i="24" s="1"/>
  <c r="W165" i="24"/>
  <c r="X165" i="24" s="1"/>
  <c r="W153" i="24"/>
  <c r="X153" i="24" s="1"/>
  <c r="W141" i="24"/>
  <c r="X141" i="24" s="1"/>
  <c r="W129" i="24"/>
  <c r="X129" i="24" s="1"/>
  <c r="W117" i="24"/>
  <c r="X117" i="24" s="1"/>
  <c r="W105" i="24"/>
  <c r="X105" i="24" s="1"/>
  <c r="W93" i="24"/>
  <c r="X93" i="24" s="1"/>
  <c r="W81" i="24"/>
  <c r="X81" i="24" s="1"/>
  <c r="W69" i="24"/>
  <c r="X69" i="24" s="1"/>
  <c r="W57" i="24"/>
  <c r="X57" i="24" s="1"/>
  <c r="W45" i="24"/>
  <c r="W33" i="24"/>
  <c r="W21" i="24"/>
  <c r="W9" i="24"/>
  <c r="T192" i="24"/>
  <c r="T180" i="24"/>
  <c r="U180" i="24" s="1"/>
  <c r="T168" i="24"/>
  <c r="U168" i="24" s="1"/>
  <c r="T156" i="24"/>
  <c r="U156" i="24" s="1"/>
  <c r="T144" i="24"/>
  <c r="U144" i="24" s="1"/>
  <c r="T132" i="24"/>
  <c r="U132" i="24" s="1"/>
  <c r="T120" i="24"/>
  <c r="U120" i="24" s="1"/>
  <c r="T108" i="24"/>
  <c r="U108" i="24" s="1"/>
  <c r="T96" i="24"/>
  <c r="U96" i="24" s="1"/>
  <c r="T84" i="24"/>
  <c r="U84" i="24" s="1"/>
  <c r="T72" i="24"/>
  <c r="U72" i="24" s="1"/>
  <c r="T60" i="24"/>
  <c r="T48" i="24"/>
  <c r="T36" i="24"/>
  <c r="T24" i="24"/>
  <c r="T12" i="24"/>
  <c r="T204" i="24"/>
  <c r="U204" i="24" s="1"/>
  <c r="W200" i="24"/>
  <c r="X200" i="24" s="1"/>
  <c r="W188" i="24"/>
  <c r="X188" i="24" s="1"/>
  <c r="W176" i="24"/>
  <c r="X176" i="24" s="1"/>
  <c r="W164" i="24"/>
  <c r="X164" i="24" s="1"/>
  <c r="W152" i="24"/>
  <c r="X152" i="24" s="1"/>
  <c r="W140" i="24"/>
  <c r="X140" i="24" s="1"/>
  <c r="W128" i="24"/>
  <c r="X128" i="24" s="1"/>
  <c r="W116" i="24"/>
  <c r="X116" i="24" s="1"/>
  <c r="W104" i="24"/>
  <c r="X104" i="24" s="1"/>
  <c r="W92" i="24"/>
  <c r="X92" i="24" s="1"/>
  <c r="W80" i="24"/>
  <c r="X80" i="24" s="1"/>
  <c r="W68" i="24"/>
  <c r="X68" i="24" s="1"/>
  <c r="W56" i="24"/>
  <c r="X56" i="24" s="1"/>
  <c r="W44" i="24"/>
  <c r="W32" i="24"/>
  <c r="W20" i="24"/>
  <c r="W8" i="24"/>
  <c r="T191" i="24"/>
  <c r="U191" i="24" s="1"/>
  <c r="T179" i="24"/>
  <c r="U179" i="24" s="1"/>
  <c r="T167" i="24"/>
  <c r="U167" i="24" s="1"/>
  <c r="T155" i="24"/>
  <c r="U155" i="24" s="1"/>
  <c r="T143" i="24"/>
  <c r="U143" i="24" s="1"/>
  <c r="T131" i="24"/>
  <c r="U131" i="24" s="1"/>
  <c r="T119" i="24"/>
  <c r="U119" i="24" s="1"/>
  <c r="T107" i="24"/>
  <c r="U107" i="24" s="1"/>
  <c r="T95" i="24"/>
  <c r="U95" i="24" s="1"/>
  <c r="T83" i="24"/>
  <c r="U83" i="24" s="1"/>
  <c r="T71" i="24"/>
  <c r="U71" i="24" s="1"/>
  <c r="T59" i="24"/>
  <c r="U59" i="24" s="1"/>
  <c r="T47" i="24"/>
  <c r="T35" i="24"/>
  <c r="T23" i="24"/>
  <c r="T11" i="24"/>
  <c r="W199" i="24"/>
  <c r="X199" i="24" s="1"/>
  <c r="W187" i="24"/>
  <c r="X187" i="24" s="1"/>
  <c r="W175" i="24"/>
  <c r="X175" i="24" s="1"/>
  <c r="W163" i="24"/>
  <c r="X163" i="24" s="1"/>
  <c r="W151" i="24"/>
  <c r="X151" i="24" s="1"/>
  <c r="W139" i="24"/>
  <c r="X139" i="24" s="1"/>
  <c r="W127" i="24"/>
  <c r="X127" i="24" s="1"/>
  <c r="W115" i="24"/>
  <c r="X115" i="24" s="1"/>
  <c r="W103" i="24"/>
  <c r="X103" i="24" s="1"/>
  <c r="W91" i="24"/>
  <c r="X91" i="24" s="1"/>
  <c r="W79" i="24"/>
  <c r="X79" i="24" s="1"/>
  <c r="W67" i="24"/>
  <c r="X67" i="24" s="1"/>
  <c r="W55" i="24"/>
  <c r="X55" i="24" s="1"/>
  <c r="W43" i="24"/>
  <c r="W31" i="24"/>
  <c r="X31" i="24" s="1"/>
  <c r="W19" i="24"/>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U48" i="24" l="1"/>
  <c r="U190" i="24"/>
  <c r="U44" i="24"/>
  <c r="U60" i="24"/>
  <c r="U112" i="24"/>
  <c r="N15" i="24"/>
  <c r="U47" i="24"/>
  <c r="I8" i="19"/>
  <c r="F8" i="19"/>
  <c r="C8" i="19"/>
  <c r="L8" i="19"/>
  <c r="O8" i="19"/>
  <c r="U25" i="24"/>
  <c r="X24" i="24"/>
  <c r="X49" i="24"/>
  <c r="U6" i="24"/>
  <c r="U19" i="24"/>
  <c r="U32" i="24"/>
  <c r="X8" i="24"/>
  <c r="X43" i="24"/>
  <c r="U12" i="24"/>
  <c r="U24" i="24"/>
  <c r="X23" i="24"/>
  <c r="X48" i="24"/>
  <c r="X192" i="24"/>
  <c r="U5" i="24"/>
  <c r="U30" i="24"/>
  <c r="U2" i="24"/>
  <c r="X18" i="24"/>
  <c r="U11" i="24"/>
  <c r="U36" i="24"/>
  <c r="U17" i="24"/>
  <c r="U42" i="24"/>
  <c r="X30" i="24"/>
  <c r="U35" i="24"/>
  <c r="U37" i="24"/>
  <c r="U18" i="24"/>
  <c r="U31" i="24"/>
  <c r="X6" i="24"/>
  <c r="U23" i="24"/>
  <c r="U192" i="24"/>
  <c r="X22" i="24"/>
  <c r="X47" i="24"/>
  <c r="U4" i="24"/>
  <c r="U29" i="24"/>
  <c r="U16" i="24"/>
  <c r="U41" i="24"/>
  <c r="X16" i="24"/>
  <c r="X29" i="24"/>
  <c r="X9" i="24"/>
  <c r="X21" i="24"/>
  <c r="X46" i="24"/>
  <c r="U3" i="24"/>
  <c r="U28" i="24"/>
  <c r="X15" i="24"/>
  <c r="U40" i="24"/>
  <c r="X14" i="24"/>
  <c r="X40" i="24"/>
  <c r="U10" i="24"/>
  <c r="U27" i="24"/>
  <c r="X26" i="24"/>
  <c r="X39" i="24"/>
  <c r="U22" i="24"/>
  <c r="X20" i="24"/>
  <c r="X32" i="24"/>
  <c r="U14" i="24"/>
  <c r="U39" i="24"/>
  <c r="X13" i="24"/>
  <c r="X38" i="24"/>
  <c r="U9" i="24"/>
  <c r="U34" i="24"/>
  <c r="X33" i="24"/>
  <c r="X45" i="24"/>
  <c r="X44" i="24"/>
  <c r="U26" i="24"/>
  <c r="X25" i="24"/>
  <c r="X2" i="24"/>
  <c r="U8" i="24"/>
  <c r="U21" i="24"/>
  <c r="U15" i="24"/>
  <c r="X19" i="24"/>
  <c r="U13" i="24"/>
  <c r="U38" i="24"/>
  <c r="X12" i="24"/>
  <c r="U7" i="24"/>
  <c r="U20" i="24"/>
  <c r="U33" i="24"/>
  <c r="X7" i="24"/>
  <c r="H2" i="1"/>
  <c r="I2" i="1"/>
  <c r="J2" i="1"/>
  <c r="N24" i="24" l="1"/>
  <c r="N25" i="24"/>
  <c r="N26" i="24"/>
  <c r="N27" i="24"/>
  <c r="N28" i="24"/>
  <c r="N29" i="24"/>
  <c r="N30" i="24"/>
  <c r="N31" i="24"/>
  <c r="N32" i="24"/>
  <c r="N23" i="24"/>
  <c r="N8" i="24"/>
  <c r="N9" i="24"/>
  <c r="N10" i="24"/>
  <c r="N11" i="24"/>
  <c r="N12" i="24"/>
  <c r="N13" i="24"/>
  <c r="N14" i="24"/>
  <c r="N6" i="24"/>
  <c r="N5" i="24"/>
  <c r="N7" i="24"/>
  <c r="G12" i="1"/>
  <c r="G18" i="1"/>
  <c r="K2" i="1" a="1"/>
  <c r="K2" i="1" s="1"/>
  <c r="G19" i="1" s="1"/>
  <c r="M25" i="24"/>
  <c r="M26" i="24"/>
  <c r="M27" i="24"/>
  <c r="M28" i="24"/>
  <c r="M29" i="24"/>
  <c r="M30" i="24"/>
  <c r="M31" i="24"/>
  <c r="M32" i="24"/>
  <c r="M23" i="24"/>
  <c r="M24" i="24"/>
  <c r="M10" i="24"/>
  <c r="M11" i="24"/>
  <c r="M12" i="24"/>
  <c r="M13" i="24"/>
  <c r="M14" i="24"/>
  <c r="M5" i="24"/>
  <c r="M6" i="24"/>
  <c r="M7" i="24"/>
  <c r="M8" i="24"/>
  <c r="M9" i="24"/>
  <c r="O9" i="19" l="1"/>
  <c r="I9" i="19"/>
  <c r="C9" i="19"/>
  <c r="L9" i="19"/>
  <c r="F9" i="19"/>
  <c r="O11" i="19"/>
  <c r="L11" i="19"/>
  <c r="I11" i="19"/>
  <c r="F11" i="19"/>
  <c r="C11" i="19"/>
  <c r="O10" i="19"/>
  <c r="L10" i="19"/>
  <c r="I10" i="19"/>
  <c r="F10" i="19"/>
  <c r="C10" i="19"/>
  <c r="X21" i="5"/>
  <c r="Y21" i="5"/>
  <c r="X22" i="5"/>
  <c r="Y22" i="5"/>
  <c r="X23" i="5"/>
  <c r="Y23" i="5"/>
  <c r="X24" i="5"/>
  <c r="Y24" i="5"/>
  <c r="X25" i="5"/>
  <c r="Y25" i="5"/>
  <c r="X26" i="5"/>
  <c r="Y26" i="5"/>
  <c r="X27" i="5"/>
  <c r="Y27" i="5"/>
  <c r="X28" i="5"/>
  <c r="Y28" i="5"/>
  <c r="X29" i="5"/>
  <c r="Y29" i="5"/>
  <c r="X30" i="5"/>
  <c r="Y30" i="5"/>
  <c r="X31" i="5"/>
  <c r="Y31" i="5"/>
  <c r="X32" i="5"/>
  <c r="Y32" i="5"/>
  <c r="X33" i="5"/>
  <c r="Y33" i="5"/>
  <c r="X34" i="5"/>
  <c r="Y34" i="5"/>
  <c r="X35" i="5"/>
  <c r="Y35" i="5"/>
  <c r="X36" i="5"/>
  <c r="Y36" i="5"/>
  <c r="X37" i="5"/>
  <c r="Y37" i="5"/>
  <c r="X38" i="5"/>
  <c r="Y38" i="5"/>
  <c r="X39" i="5"/>
  <c r="Y39" i="5"/>
  <c r="X40" i="5"/>
  <c r="Y40" i="5"/>
  <c r="Z40" i="5"/>
  <c r="X41" i="5"/>
  <c r="Y41" i="5"/>
  <c r="X42" i="5"/>
  <c r="Y42" i="5"/>
  <c r="Z42" i="5" s="1"/>
  <c r="X43" i="5"/>
  <c r="Y43" i="5"/>
  <c r="Z43" i="5"/>
  <c r="V43" i="5" s="1"/>
  <c r="W43" i="5" s="1"/>
  <c r="X44" i="5"/>
  <c r="Y44" i="5"/>
  <c r="X45" i="5"/>
  <c r="Y45" i="5"/>
  <c r="X46" i="5"/>
  <c r="Y46" i="5"/>
  <c r="X47" i="5"/>
  <c r="Y47" i="5"/>
  <c r="X48" i="5"/>
  <c r="Y48" i="5"/>
  <c r="I40" i="17" a="1"/>
  <c r="I40" i="17" s="1"/>
  <c r="I39" i="17" a="1"/>
  <c r="I39" i="17" s="1"/>
  <c r="I38" i="17" a="1"/>
  <c r="I38" i="17" s="1"/>
  <c r="I37" i="17" a="1"/>
  <c r="I37" i="17" s="1"/>
  <c r="I36" i="17" a="1"/>
  <c r="I36" i="17" s="1"/>
  <c r="I35" i="17" a="1"/>
  <c r="I35" i="17" s="1"/>
  <c r="I34" i="17" a="1"/>
  <c r="I34" i="17" s="1"/>
  <c r="I33" i="17" a="1"/>
  <c r="I33" i="17" s="1"/>
  <c r="I32" i="17" a="1"/>
  <c r="I32" i="17" s="1"/>
  <c r="I31" i="17" a="1"/>
  <c r="I31" i="17" s="1"/>
  <c r="I30" i="17" a="1"/>
  <c r="I30" i="17" s="1"/>
  <c r="I29" i="17" a="1"/>
  <c r="I29" i="17" s="1"/>
  <c r="I28" i="17" a="1"/>
  <c r="I28" i="17" s="1"/>
  <c r="I27" i="17" a="1"/>
  <c r="I27" i="17" s="1"/>
  <c r="I26" i="17" a="1"/>
  <c r="I26"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L39" i="17" s="1"/>
  <c r="H40" i="17" a="1"/>
  <c r="H40" i="17" s="1"/>
  <c r="L40" i="17" s="1"/>
  <c r="I2" i="17"/>
  <c r="AG43" i="5" a="1"/>
  <c r="AG43" i="5" l="1"/>
  <c r="Z44" i="5"/>
  <c r="Z27" i="5"/>
  <c r="Z47" i="5"/>
  <c r="Z45" i="5"/>
  <c r="Z46" i="5"/>
  <c r="Z36" i="5"/>
  <c r="Z30" i="5"/>
  <c r="Z23" i="5"/>
  <c r="Z34" i="5"/>
  <c r="Z28" i="5"/>
  <c r="Z41" i="5"/>
  <c r="Z22" i="5"/>
  <c r="Z35" i="5"/>
  <c r="Z39" i="5"/>
  <c r="Z33" i="5"/>
  <c r="Z29" i="5"/>
  <c r="Z48" i="5"/>
  <c r="Z21" i="5"/>
  <c r="Z24" i="5"/>
  <c r="Z32" i="5"/>
  <c r="Z26" i="5"/>
  <c r="Z38" i="5"/>
  <c r="Z37" i="5"/>
  <c r="Z31" i="5"/>
  <c r="Z25" i="5"/>
  <c r="V8" i="18"/>
  <c r="W8" i="18" s="1"/>
  <c r="V6" i="18"/>
  <c r="W6" i="18" s="1"/>
  <c r="U7" i="18"/>
  <c r="U6" i="18"/>
  <c r="U8" i="18"/>
  <c r="U9" i="18"/>
  <c r="V7" i="18"/>
  <c r="W7" i="18" s="1"/>
  <c r="K6" i="18"/>
  <c r="V5" i="18"/>
  <c r="W5" i="18" s="1"/>
  <c r="L14" i="18"/>
  <c r="M14" i="18" s="1"/>
  <c r="V14" i="18"/>
  <c r="W14" i="18" s="1"/>
  <c r="U5" i="18"/>
  <c r="V13" i="18"/>
  <c r="W13" i="18" s="1"/>
  <c r="L8" i="18"/>
  <c r="M8" i="18" s="1"/>
  <c r="U14" i="18"/>
  <c r="V12" i="18"/>
  <c r="W12" i="18" s="1"/>
  <c r="U13" i="18"/>
  <c r="V11" i="18"/>
  <c r="W11" i="18" s="1"/>
  <c r="U12" i="18"/>
  <c r="V10" i="18"/>
  <c r="W10" i="18" s="1"/>
  <c r="U11" i="18"/>
  <c r="V9" i="18"/>
  <c r="W9" i="18" s="1"/>
  <c r="U10" i="18"/>
  <c r="K9" i="18"/>
  <c r="L7" i="18"/>
  <c r="M7" i="18" s="1"/>
  <c r="K8" i="18"/>
  <c r="L6" i="18"/>
  <c r="M6" i="18" s="1"/>
  <c r="K7" i="18"/>
  <c r="L5" i="18"/>
  <c r="M5" i="18" s="1"/>
  <c r="K5" i="18"/>
  <c r="L13" i="18"/>
  <c r="M13" i="18" s="1"/>
  <c r="K14" i="18"/>
  <c r="L12" i="18"/>
  <c r="M12" i="18" s="1"/>
  <c r="K13" i="18"/>
  <c r="L11" i="18"/>
  <c r="M11" i="18" s="1"/>
  <c r="K12" i="18"/>
  <c r="L10" i="18"/>
  <c r="M10" i="18" s="1"/>
  <c r="K11" i="18"/>
  <c r="L9" i="18"/>
  <c r="M9" i="18" s="1"/>
  <c r="K10" i="18"/>
  <c r="H49" i="1" a="1"/>
  <c r="H49" i="1" s="1"/>
  <c r="N33" i="24" s="1"/>
  <c r="H48" i="1" a="1"/>
  <c r="H48" i="1" s="1"/>
  <c r="H47" i="1" a="1"/>
  <c r="H47" i="1" s="1"/>
  <c r="H46" i="1" a="1"/>
  <c r="H46" i="1" s="1"/>
  <c r="H45" i="1" a="1"/>
  <c r="H45" i="1" s="1"/>
  <c r="H44" i="1" a="1"/>
  <c r="H44" i="1" s="1"/>
  <c r="H43" i="1" a="1"/>
  <c r="H43" i="1" s="1"/>
  <c r="H42" i="1" a="1"/>
  <c r="H42" i="1" s="1"/>
  <c r="H41" i="1" a="1"/>
  <c r="H41" i="1" s="1"/>
  <c r="H40" i="1" a="1"/>
  <c r="H40" i="1" s="1"/>
  <c r="H39" i="1" a="1"/>
  <c r="H39" i="1" s="1"/>
  <c r="H38" i="1" a="1"/>
  <c r="H38" i="1" s="1"/>
  <c r="H37" i="1" a="1"/>
  <c r="H37" i="1" s="1"/>
  <c r="G49" i="1" a="1"/>
  <c r="G49" i="1" s="1"/>
  <c r="G48" i="1" a="1"/>
  <c r="G48" i="1" s="1"/>
  <c r="G47" i="1" a="1"/>
  <c r="G47" i="1" s="1"/>
  <c r="G46" i="1" a="1"/>
  <c r="G46" i="1" s="1"/>
  <c r="G45" i="1" a="1"/>
  <c r="G45" i="1" s="1"/>
  <c r="G44" i="1" a="1"/>
  <c r="G44" i="1" s="1"/>
  <c r="G43" i="1" a="1"/>
  <c r="G43" i="1" s="1"/>
  <c r="G42" i="1" a="1"/>
  <c r="G42" i="1" s="1"/>
  <c r="G41" i="1" a="1"/>
  <c r="G41" i="1" s="1"/>
  <c r="G40" i="1" a="1"/>
  <c r="G40" i="1" s="1"/>
  <c r="G39" i="1" a="1"/>
  <c r="G39" i="1" s="1"/>
  <c r="G38" i="1" a="1"/>
  <c r="G38" i="1" s="1"/>
  <c r="G37" i="1" a="1"/>
  <c r="G37" i="1" s="1"/>
  <c r="L33" i="16" l="1" a="1"/>
  <c r="L33" i="16" s="1"/>
  <c r="K33" i="16" a="1"/>
  <c r="K33" i="16" s="1"/>
  <c r="J33" i="16" a="1"/>
  <c r="J33" i="16" s="1"/>
  <c r="L32" i="16" a="1"/>
  <c r="L32" i="16" s="1"/>
  <c r="K32" i="16" a="1"/>
  <c r="K32" i="16" s="1"/>
  <c r="J32" i="16" a="1"/>
  <c r="J32" i="16" s="1"/>
  <c r="L31" i="16" a="1"/>
  <c r="L31" i="16" s="1"/>
  <c r="K31" i="16" a="1"/>
  <c r="K31" i="16" s="1"/>
  <c r="J31" i="16" a="1"/>
  <c r="J31" i="16" s="1"/>
  <c r="L30" i="16" a="1"/>
  <c r="L30" i="16" s="1"/>
  <c r="K30" i="16" a="1"/>
  <c r="K30" i="16" s="1"/>
  <c r="J30" i="16" a="1"/>
  <c r="J30" i="16" s="1"/>
  <c r="L29" i="16" a="1"/>
  <c r="L29" i="16" s="1"/>
  <c r="K29" i="16" a="1"/>
  <c r="K29" i="16" s="1"/>
  <c r="J29" i="16" a="1"/>
  <c r="J29" i="16" s="1"/>
  <c r="L3" i="16"/>
  <c r="K3" i="16"/>
  <c r="J3" i="16"/>
  <c r="I3" i="16"/>
  <c r="U32" i="8" l="1"/>
  <c r="E32" i="2" l="1"/>
  <c r="X3" i="5"/>
  <c r="Y3" i="5"/>
  <c r="X4" i="5"/>
  <c r="Y4" i="5"/>
  <c r="X5" i="5"/>
  <c r="Y5" i="5"/>
  <c r="X6" i="5"/>
  <c r="Y6" i="5"/>
  <c r="X7" i="5"/>
  <c r="Y7" i="5"/>
  <c r="X8" i="5"/>
  <c r="Y8" i="5"/>
  <c r="X9" i="5"/>
  <c r="Y9" i="5"/>
  <c r="X10" i="5"/>
  <c r="Y10" i="5"/>
  <c r="X11" i="5"/>
  <c r="Y11" i="5"/>
  <c r="X12" i="5"/>
  <c r="Y12" i="5"/>
  <c r="X13" i="5"/>
  <c r="Y13" i="5"/>
  <c r="X14" i="5"/>
  <c r="Y14" i="5"/>
  <c r="X15" i="5"/>
  <c r="Y15" i="5"/>
  <c r="X16" i="5"/>
  <c r="Y16" i="5"/>
  <c r="X17" i="5"/>
  <c r="Y17" i="5"/>
  <c r="X18" i="5"/>
  <c r="Y18" i="5"/>
  <c r="X19" i="5"/>
  <c r="Y19" i="5"/>
  <c r="X20" i="5"/>
  <c r="Y20" i="5"/>
  <c r="AG34" i="5" a="1"/>
  <c r="AG35" i="5" a="1"/>
  <c r="AG39" i="5" a="1"/>
  <c r="AG40" i="5" a="1"/>
  <c r="AG42" i="5" a="1"/>
  <c r="AG28" i="5" a="1"/>
  <c r="AG51" i="5" a="1"/>
  <c r="AG5" i="5" a="1"/>
  <c r="AG19" i="5" a="1"/>
  <c r="AG14" i="5" a="1"/>
  <c r="AG33" i="5" a="1"/>
  <c r="AG29" i="5" a="1"/>
  <c r="AG48" i="5" a="1"/>
  <c r="AG22" i="5" a="1"/>
  <c r="AG53" i="5" a="1"/>
  <c r="AG9" i="5" a="1"/>
  <c r="AG26" i="5" a="1"/>
  <c r="AG50" i="5" a="1"/>
  <c r="AG30" i="5" a="1"/>
  <c r="AG49" i="5" a="1"/>
  <c r="AG56" i="5" a="1"/>
  <c r="AG11" i="5" a="1"/>
  <c r="AG31" i="5" a="1"/>
  <c r="AG16" i="5" a="1"/>
  <c r="AG8" i="5" a="1"/>
  <c r="AG36" i="5" a="1"/>
  <c r="AG13" i="5" a="1"/>
  <c r="AG60" i="5" a="1"/>
  <c r="AG17" i="5" a="1"/>
  <c r="AG52" i="5" a="1"/>
  <c r="AG58" i="5" a="1"/>
  <c r="AG41" i="5" a="1"/>
  <c r="AG20" i="5" a="1"/>
  <c r="AG7" i="5" a="1"/>
  <c r="AG12" i="5" a="1"/>
  <c r="AG3" i="5" a="1"/>
  <c r="AG38" i="5" a="1"/>
  <c r="AG57" i="5" a="1"/>
  <c r="AG24" i="5" a="1"/>
  <c r="AG4" i="5" a="1"/>
  <c r="AG44" i="5" a="1"/>
  <c r="AG10" i="5" a="1"/>
  <c r="AG25" i="5" a="1"/>
  <c r="AG46" i="5" a="1"/>
  <c r="AG21" i="5" a="1"/>
  <c r="AG32" i="5" a="1"/>
  <c r="AG59" i="5" a="1"/>
  <c r="AG54" i="5" a="1"/>
  <c r="AG55" i="5" a="1"/>
  <c r="AG61" i="5" a="1"/>
  <c r="AG6" i="5" a="1"/>
  <c r="AG37" i="5" a="1"/>
  <c r="AG18" i="5" a="1"/>
  <c r="AG27" i="5" a="1"/>
  <c r="AG23" i="5" a="1"/>
  <c r="AG47" i="5" a="1"/>
  <c r="AG15" i="5" a="1"/>
  <c r="AG45" i="5" a="1"/>
  <c r="AG42" i="5" l="1"/>
  <c r="AG40" i="5"/>
  <c r="AG39" i="5"/>
  <c r="AG35" i="5"/>
  <c r="AG34" i="5"/>
  <c r="AG7" i="5"/>
  <c r="AG18" i="5"/>
  <c r="AG12" i="5"/>
  <c r="AG6" i="5"/>
  <c r="AG19" i="5"/>
  <c r="AG17" i="5"/>
  <c r="AG11" i="5"/>
  <c r="AG5" i="5"/>
  <c r="AG13" i="5"/>
  <c r="AG16" i="5"/>
  <c r="AG10" i="5"/>
  <c r="AG4" i="5"/>
  <c r="AG15" i="5"/>
  <c r="AG9" i="5"/>
  <c r="AG3" i="5"/>
  <c r="C9" i="32" s="1"/>
  <c r="AG60" i="5"/>
  <c r="AG59" i="5"/>
  <c r="AG61" i="5"/>
  <c r="AG58" i="5"/>
  <c r="AG50" i="5"/>
  <c r="AG53" i="5"/>
  <c r="AG56" i="5"/>
  <c r="AG51" i="5"/>
  <c r="AG54" i="5"/>
  <c r="AG57" i="5"/>
  <c r="AG49" i="5"/>
  <c r="AG52" i="5"/>
  <c r="AG55" i="5"/>
  <c r="AG25" i="5"/>
  <c r="AG31" i="5"/>
  <c r="AG37" i="5"/>
  <c r="AG48" i="5"/>
  <c r="AG26" i="5"/>
  <c r="AG32" i="5"/>
  <c r="AG38" i="5"/>
  <c r="AG30" i="5"/>
  <c r="AG47" i="5"/>
  <c r="AG21" i="5"/>
  <c r="AG27" i="5"/>
  <c r="AG33" i="5"/>
  <c r="AG44" i="5"/>
  <c r="AG46" i="5"/>
  <c r="AG22" i="5"/>
  <c r="AG28" i="5"/>
  <c r="AG45" i="5"/>
  <c r="AG24" i="5"/>
  <c r="AG23" i="5"/>
  <c r="AG29" i="5"/>
  <c r="AG41" i="5"/>
  <c r="AG36" i="5"/>
  <c r="AG20" i="5"/>
  <c r="AG14" i="5"/>
  <c r="AG8" i="5"/>
  <c r="Z18" i="5"/>
  <c r="Z12" i="5"/>
  <c r="Z6" i="5"/>
  <c r="Z13" i="5"/>
  <c r="Z19" i="5"/>
  <c r="Z17" i="5"/>
  <c r="Z11" i="5"/>
  <c r="Z5" i="5"/>
  <c r="Z16" i="5"/>
  <c r="Z10" i="5"/>
  <c r="Z4" i="5"/>
  <c r="Z15" i="5"/>
  <c r="Z9" i="5"/>
  <c r="Z3" i="5"/>
  <c r="V42" i="5" s="1"/>
  <c r="Z7" i="5"/>
  <c r="Z20" i="5"/>
  <c r="Z14" i="5"/>
  <c r="Z8" i="5"/>
  <c r="B41" i="4"/>
  <c r="F41" i="4"/>
  <c r="V35" i="5" l="1"/>
  <c r="V40" i="5"/>
  <c r="V34" i="5"/>
  <c r="V11" i="5"/>
  <c r="V17" i="5"/>
  <c r="V19" i="5"/>
  <c r="V39" i="5"/>
  <c r="V4" i="5"/>
  <c r="AD17" i="32"/>
  <c r="AA16" i="32"/>
  <c r="X15" i="32"/>
  <c r="U14" i="32"/>
  <c r="R13" i="32"/>
  <c r="O12" i="32"/>
  <c r="L11" i="32"/>
  <c r="I10" i="32"/>
  <c r="F9" i="32"/>
  <c r="AD16" i="32"/>
  <c r="AA15" i="32"/>
  <c r="X14" i="32"/>
  <c r="U13" i="32"/>
  <c r="R12" i="32"/>
  <c r="O11" i="32"/>
  <c r="L10" i="32"/>
  <c r="I8" i="32"/>
  <c r="F8" i="32"/>
  <c r="O16" i="32"/>
  <c r="X17" i="32"/>
  <c r="AD15" i="32"/>
  <c r="AA14" i="32"/>
  <c r="X13" i="32"/>
  <c r="U12" i="32"/>
  <c r="R11" i="32"/>
  <c r="O10" i="32"/>
  <c r="L9" i="32"/>
  <c r="I14" i="32"/>
  <c r="U16" i="32"/>
  <c r="AD14" i="32"/>
  <c r="AA13" i="32"/>
  <c r="X12" i="32"/>
  <c r="U11" i="32"/>
  <c r="R10" i="32"/>
  <c r="O9" i="32"/>
  <c r="L8" i="32"/>
  <c r="I9" i="32"/>
  <c r="C17" i="32"/>
  <c r="R17" i="32"/>
  <c r="R15" i="32"/>
  <c r="AD13" i="32"/>
  <c r="AA12" i="32"/>
  <c r="X11" i="32"/>
  <c r="U10" i="32"/>
  <c r="R9" i="32"/>
  <c r="O8" i="32"/>
  <c r="F17" i="32"/>
  <c r="C16" i="32"/>
  <c r="AA8" i="32"/>
  <c r="O14" i="32"/>
  <c r="AD12" i="32"/>
  <c r="AA11" i="32"/>
  <c r="X10" i="32"/>
  <c r="U9" i="32"/>
  <c r="I17" i="32"/>
  <c r="F16" i="32"/>
  <c r="C15" i="32"/>
  <c r="C12" i="32"/>
  <c r="AD11" i="32"/>
  <c r="AA10" i="32"/>
  <c r="X9" i="32"/>
  <c r="U8" i="32"/>
  <c r="R8" i="32"/>
  <c r="L17" i="32"/>
  <c r="I16" i="32"/>
  <c r="F15" i="32"/>
  <c r="C14" i="32"/>
  <c r="L15" i="32"/>
  <c r="L13" i="32"/>
  <c r="AD10" i="32"/>
  <c r="AA9" i="32"/>
  <c r="X8" i="32"/>
  <c r="O17" i="32"/>
  <c r="L16" i="32"/>
  <c r="I15" i="32"/>
  <c r="F14" i="32"/>
  <c r="C13" i="32"/>
  <c r="F13" i="32"/>
  <c r="I12" i="32"/>
  <c r="AD8" i="32"/>
  <c r="Z6" i="32"/>
  <c r="U17" i="32"/>
  <c r="R16" i="32"/>
  <c r="O15" i="32"/>
  <c r="L14" i="32"/>
  <c r="I13" i="32"/>
  <c r="F12" i="32"/>
  <c r="C8" i="32"/>
  <c r="AC6" i="32"/>
  <c r="AA17" i="32"/>
  <c r="X16" i="32"/>
  <c r="U15" i="32"/>
  <c r="R14" i="32"/>
  <c r="O13" i="32"/>
  <c r="L12" i="32"/>
  <c r="I11" i="32"/>
  <c r="F10" i="32"/>
  <c r="AD9" i="32"/>
  <c r="F11" i="32"/>
  <c r="C11" i="32"/>
  <c r="C10" i="32"/>
  <c r="V58" i="5"/>
  <c r="V14" i="5"/>
  <c r="W34" i="5" s="1"/>
  <c r="Q6" i="32" s="1"/>
  <c r="V20" i="5"/>
  <c r="V13" i="5"/>
  <c r="V15" i="5"/>
  <c r="V23" i="5"/>
  <c r="V60" i="5"/>
  <c r="V24" i="5"/>
  <c r="V55" i="5"/>
  <c r="V5" i="5"/>
  <c r="V6" i="5"/>
  <c r="W35" i="5" s="1"/>
  <c r="V41" i="5"/>
  <c r="V45" i="5"/>
  <c r="V36" i="5"/>
  <c r="V32" i="5"/>
  <c r="V28" i="5"/>
  <c r="V47" i="5"/>
  <c r="V38" i="5"/>
  <c r="V7" i="5"/>
  <c r="V3" i="5"/>
  <c r="W42" i="5" s="1"/>
  <c r="V10" i="5"/>
  <c r="V29" i="5"/>
  <c r="V48" i="5"/>
  <c r="V57" i="5"/>
  <c r="V46" i="5"/>
  <c r="V50" i="5"/>
  <c r="V54" i="5"/>
  <c r="V16" i="5"/>
  <c r="V44" i="5"/>
  <c r="V33" i="5"/>
  <c r="V22" i="5"/>
  <c r="V31" i="5"/>
  <c r="V53" i="5"/>
  <c r="V49" i="5"/>
  <c r="V51" i="5"/>
  <c r="V25" i="5"/>
  <c r="V59" i="5"/>
  <c r="V18" i="5"/>
  <c r="V30" i="5"/>
  <c r="V61" i="5"/>
  <c r="V9" i="5"/>
  <c r="W39" i="5" s="1"/>
  <c r="V12" i="5"/>
  <c r="V26" i="5"/>
  <c r="V8" i="5"/>
  <c r="V27" i="5"/>
  <c r="V52" i="5"/>
  <c r="V21" i="5"/>
  <c r="V37" i="5"/>
  <c r="V56" i="5"/>
  <c r="M31" i="20"/>
  <c r="A41" i="4"/>
  <c r="W40" i="5" l="1"/>
  <c r="H6" i="32" s="1"/>
  <c r="W21" i="5"/>
  <c r="W12" i="5"/>
  <c r="B6" i="32" s="1"/>
  <c r="W52" i="5"/>
  <c r="W60" i="5"/>
  <c r="W44" i="5"/>
  <c r="W47" i="5"/>
  <c r="W16" i="5"/>
  <c r="T6" i="32" s="1"/>
  <c r="W28" i="5"/>
  <c r="W5" i="5"/>
  <c r="W23" i="5"/>
  <c r="W36" i="5"/>
  <c r="W45" i="5"/>
  <c r="W58" i="5"/>
  <c r="W53" i="5"/>
  <c r="W24" i="5"/>
  <c r="W22" i="5"/>
  <c r="W30" i="5"/>
  <c r="W54" i="5"/>
  <c r="W26" i="5"/>
  <c r="W38" i="5"/>
  <c r="E6" i="32" s="1"/>
  <c r="W56" i="5"/>
  <c r="W57" i="5"/>
  <c r="W27" i="5"/>
  <c r="N6" i="32" s="1"/>
  <c r="W18" i="5"/>
  <c r="W50" i="5"/>
  <c r="W7" i="5"/>
  <c r="W37" i="5"/>
  <c r="W10" i="5"/>
  <c r="W9" i="5"/>
  <c r="W25" i="5"/>
  <c r="K6" i="32" s="1"/>
  <c r="W46" i="5"/>
  <c r="W55" i="5"/>
  <c r="W3" i="5"/>
  <c r="W6" i="5"/>
  <c r="W59" i="5"/>
  <c r="W4" i="5"/>
  <c r="F57" i="7" s="1"/>
  <c r="W49" i="5"/>
  <c r="W8" i="5"/>
  <c r="W29" i="5"/>
  <c r="W61" i="5"/>
  <c r="W31" i="5"/>
  <c r="W13" i="5"/>
  <c r="W41" i="5"/>
  <c r="W14" i="5"/>
  <c r="W33" i="5"/>
  <c r="W19" i="5"/>
  <c r="W20" i="5"/>
  <c r="W48" i="5"/>
  <c r="W51" i="5"/>
  <c r="W15" i="5"/>
  <c r="W6" i="32" s="1"/>
  <c r="W11" i="5"/>
  <c r="W17" i="5"/>
  <c r="W32" i="5"/>
  <c r="F43" i="7" l="1"/>
  <c r="D58" i="7"/>
  <c r="M47" i="7"/>
  <c r="P36" i="7"/>
  <c r="J40" i="7"/>
  <c r="P9" i="7"/>
  <c r="B37" i="23"/>
  <c r="G42" i="7" s="1" a="1"/>
  <c r="G42" i="7" s="1"/>
  <c r="B47" i="23"/>
  <c r="G52" i="7" s="1" a="1"/>
  <c r="G52" i="7" s="1"/>
  <c r="R52" i="7" s="1"/>
  <c r="K57" i="7"/>
  <c r="M20" i="7"/>
  <c r="J55" i="7"/>
  <c r="I36" i="7"/>
  <c r="M49" i="7"/>
  <c r="B44" i="23"/>
  <c r="G49" i="7" s="1" a="1"/>
  <c r="G49" i="7" s="1"/>
  <c r="I53" i="7"/>
  <c r="N35" i="7"/>
  <c r="M34" i="7"/>
  <c r="B38" i="23"/>
  <c r="G43" i="7" s="1" a="1"/>
  <c r="G43" i="7" s="1"/>
  <c r="B11" i="23"/>
  <c r="G16" i="7" s="1" a="1"/>
  <c r="G16" i="7" s="1"/>
  <c r="K43" i="7"/>
  <c r="G31" i="23"/>
  <c r="H31" i="23" s="1"/>
  <c r="J58" i="7"/>
  <c r="F53" i="7"/>
  <c r="P45" i="7"/>
  <c r="L38" i="7"/>
  <c r="B42" i="23"/>
  <c r="G47" i="7" s="1" a="1"/>
  <c r="G47" i="7" s="1"/>
  <c r="G16" i="23"/>
  <c r="H16" i="23" s="1"/>
  <c r="K22" i="7"/>
  <c r="P38" i="7"/>
  <c r="B40" i="23"/>
  <c r="G45" i="7" s="1" a="1"/>
  <c r="G45" i="7" s="1"/>
  <c r="F22" i="7"/>
  <c r="G42" i="23"/>
  <c r="H42" i="23" s="1"/>
  <c r="B6" i="23"/>
  <c r="G11" i="7" s="1" a="1"/>
  <c r="G11" i="7" s="1"/>
  <c r="I38" i="7"/>
  <c r="I34" i="7"/>
  <c r="B5" i="23"/>
  <c r="G10" i="7" s="1" a="1"/>
  <c r="G10" i="7" s="1"/>
  <c r="G40" i="23"/>
  <c r="H40" i="23" s="1"/>
  <c r="B54" i="23"/>
  <c r="G59" i="7" s="1" a="1"/>
  <c r="G59" i="7" s="1"/>
  <c r="R59" i="7" s="1"/>
  <c r="F8" i="7"/>
  <c r="B50" i="23"/>
  <c r="G55" i="7" s="1" a="1"/>
  <c r="G55" i="7" s="1"/>
  <c r="R55" i="7" s="1"/>
  <c r="B59" i="23"/>
  <c r="F34" i="7"/>
  <c r="G46" i="23"/>
  <c r="H46" i="23" s="1"/>
  <c r="G3" i="23"/>
  <c r="H3" i="23" s="1"/>
  <c r="D52" i="7"/>
  <c r="C61" i="7"/>
  <c r="P57" i="7"/>
  <c r="K45" i="7"/>
  <c r="J36" i="7"/>
  <c r="L57" i="7"/>
  <c r="I45" i="7"/>
  <c r="M55" i="7"/>
  <c r="L17" i="7"/>
  <c r="P15" i="7"/>
  <c r="L58" i="7"/>
  <c r="J25" i="7"/>
  <c r="I60" i="7"/>
  <c r="N58" i="7"/>
  <c r="N15" i="7"/>
  <c r="L45" i="7"/>
  <c r="K47" i="7"/>
  <c r="B30" i="23"/>
  <c r="G35" i="7" s="1" a="1"/>
  <c r="G35" i="7" s="1"/>
  <c r="B52" i="23"/>
  <c r="G57" i="7" s="1" a="1"/>
  <c r="G57" i="7" s="1"/>
  <c r="R57" i="7" s="1"/>
  <c r="F15" i="7"/>
  <c r="B35" i="23"/>
  <c r="G40" i="7" s="1" a="1"/>
  <c r="G40" i="7" s="1"/>
  <c r="F10" i="7"/>
  <c r="G38" i="23"/>
  <c r="H38" i="23" s="1"/>
  <c r="G20" i="23"/>
  <c r="H20" i="23" s="1"/>
  <c r="C55" i="7"/>
  <c r="F52" i="7"/>
  <c r="P21" i="7"/>
  <c r="L52" i="7"/>
  <c r="N40" i="7"/>
  <c r="N21" i="7"/>
  <c r="I52" i="7"/>
  <c r="N62" i="7"/>
  <c r="K34" i="7"/>
  <c r="J8" i="7"/>
  <c r="L11" i="7"/>
  <c r="J49" i="7"/>
  <c r="L8" i="7"/>
  <c r="L35" i="7"/>
  <c r="L25" i="7"/>
  <c r="I58" i="7"/>
  <c r="J52" i="7"/>
  <c r="D51" i="7"/>
  <c r="P52" i="7"/>
  <c r="J35" i="7"/>
  <c r="F31" i="7"/>
  <c r="B16" i="23"/>
  <c r="G21" i="7" s="1" a="1"/>
  <c r="G21" i="7" s="1"/>
  <c r="B25" i="23"/>
  <c r="G30" i="7" s="1" a="1"/>
  <c r="G30" i="7" s="1"/>
  <c r="F48" i="7"/>
  <c r="B20" i="23"/>
  <c r="G25" i="7" s="1" a="1"/>
  <c r="G25" i="7" s="1"/>
  <c r="G30" i="23"/>
  <c r="H30" i="23" s="1"/>
  <c r="G8" i="23"/>
  <c r="H8" i="23" s="1"/>
  <c r="C52" i="7"/>
  <c r="F58" i="7"/>
  <c r="I20" i="7"/>
  <c r="P20" i="7"/>
  <c r="M45" i="7"/>
  <c r="M38" i="7"/>
  <c r="I16" i="7"/>
  <c r="P40" i="7"/>
  <c r="N43" i="7"/>
  <c r="K15" i="7"/>
  <c r="I49" i="7"/>
  <c r="N53" i="7"/>
  <c r="M15" i="7"/>
  <c r="I55" i="7"/>
  <c r="L37" i="7"/>
  <c r="I22" i="7"/>
  <c r="P34" i="7"/>
  <c r="P43" i="7"/>
  <c r="F36" i="7"/>
  <c r="G35" i="23"/>
  <c r="H35" i="23" s="1"/>
  <c r="G52" i="23"/>
  <c r="H52" i="23" s="1"/>
  <c r="D53" i="7"/>
  <c r="C53" i="7"/>
  <c r="I8" i="7"/>
  <c r="P8" i="7"/>
  <c r="N52" i="7"/>
  <c r="L43" i="7"/>
  <c r="J10" i="7"/>
  <c r="L21" i="7"/>
  <c r="K46" i="7"/>
  <c r="J20" i="7"/>
  <c r="I25" i="7"/>
  <c r="M58" i="7"/>
  <c r="L20" i="7"/>
  <c r="N11" i="7"/>
  <c r="J47" i="7"/>
  <c r="I10" i="7"/>
  <c r="P22" i="7"/>
  <c r="B4" i="23"/>
  <c r="G9" i="7" s="1" a="1"/>
  <c r="G9" i="7" s="1"/>
  <c r="L42" i="7"/>
  <c r="M36" i="7"/>
  <c r="B53" i="23"/>
  <c r="G58" i="7" s="1" a="1"/>
  <c r="G58" i="7" s="1"/>
  <c r="R58" i="7" s="1"/>
  <c r="F38" i="7"/>
  <c r="F45" i="7"/>
  <c r="B29" i="23"/>
  <c r="G34" i="7" s="1" a="1"/>
  <c r="G34" i="7" s="1"/>
  <c r="B2" i="23"/>
  <c r="G7" i="7" s="1" a="1"/>
  <c r="G7" i="7" s="1"/>
  <c r="B60" i="23"/>
  <c r="B46" i="23"/>
  <c r="G51" i="7" s="1" a="1"/>
  <c r="G51" i="7" s="1"/>
  <c r="R51" i="7" s="1"/>
  <c r="F21" i="7"/>
  <c r="G17" i="23"/>
  <c r="H17" i="23" s="1"/>
  <c r="G48" i="23"/>
  <c r="H48" i="23" s="1"/>
  <c r="F51" i="7"/>
  <c r="C58" i="7"/>
  <c r="M11" i="7"/>
  <c r="I33" i="7"/>
  <c r="K55" i="7"/>
  <c r="N45" i="7"/>
  <c r="J22" i="7"/>
  <c r="K38" i="7"/>
  <c r="J51" i="7"/>
  <c r="L22" i="7"/>
  <c r="I13" i="7"/>
  <c r="L63" i="7"/>
  <c r="N22" i="7"/>
  <c r="N47" i="7"/>
  <c r="L49" i="7"/>
  <c r="N8" i="7"/>
  <c r="P10" i="7"/>
  <c r="P46" i="7"/>
  <c r="F17" i="7"/>
  <c r="B17" i="23"/>
  <c r="G22" i="7" s="1" a="1"/>
  <c r="G22" i="7" s="1"/>
  <c r="B15" i="23"/>
  <c r="G20" i="7" s="1" a="1"/>
  <c r="G20" i="7" s="1"/>
  <c r="B48" i="23"/>
  <c r="G53" i="7" s="1" a="1"/>
  <c r="G53" i="7" s="1"/>
  <c r="R53" i="7" s="1"/>
  <c r="B10" i="23"/>
  <c r="G15" i="7" s="1" a="1"/>
  <c r="G15" i="7" s="1"/>
  <c r="F9" i="7"/>
  <c r="G5" i="23"/>
  <c r="H5" i="23" s="1"/>
  <c r="G44" i="23"/>
  <c r="H44" i="23" s="1"/>
  <c r="D55" i="7"/>
  <c r="C51" i="7"/>
  <c r="K21" i="7"/>
  <c r="L47" i="7"/>
  <c r="M57" i="7"/>
  <c r="M50" i="7"/>
  <c r="J34" i="7"/>
  <c r="M52" i="7"/>
  <c r="L53" i="7"/>
  <c r="L34" i="7"/>
  <c r="K8" i="7"/>
  <c r="P49" i="7"/>
  <c r="K25" i="7"/>
  <c r="I47" i="7"/>
  <c r="N51" i="7"/>
  <c r="K11" i="7"/>
  <c r="G34" i="23"/>
  <c r="H34" i="23" s="1"/>
  <c r="K36" i="7"/>
  <c r="J57" i="7"/>
  <c r="G53" i="23"/>
  <c r="H53" i="23" s="1"/>
  <c r="J43" i="7"/>
  <c r="J53" i="7"/>
  <c r="L36" i="7"/>
  <c r="N55" i="7"/>
  <c r="P25" i="7"/>
  <c r="N34" i="7"/>
  <c r="I35" i="7"/>
  <c r="K66" i="7"/>
  <c r="N20" i="7"/>
  <c r="I40" i="7"/>
  <c r="N10" i="7"/>
  <c r="F47" i="7"/>
  <c r="I21" i="7"/>
  <c r="N64" i="7"/>
  <c r="M10" i="7"/>
  <c r="F42" i="7"/>
  <c r="F40" i="7"/>
  <c r="F49" i="7"/>
  <c r="F35" i="7"/>
  <c r="G10" i="23"/>
  <c r="H10" i="23" s="1"/>
  <c r="G33" i="23"/>
  <c r="H33" i="23" s="1"/>
  <c r="G32" i="23"/>
  <c r="H32" i="23" s="1"/>
  <c r="D57" i="7"/>
  <c r="N25" i="7"/>
  <c r="M35" i="7"/>
  <c r="P55" i="7"/>
  <c r="N49" i="7"/>
  <c r="L55" i="7"/>
  <c r="N38" i="7"/>
  <c r="I15" i="7"/>
  <c r="K58" i="7"/>
  <c r="J44" i="7"/>
  <c r="L15" i="7"/>
  <c r="I57" i="7"/>
  <c r="K49" i="7"/>
  <c r="I11" i="7"/>
  <c r="P47" i="7"/>
  <c r="M25" i="7"/>
  <c r="L51" i="7"/>
  <c r="B3" i="23"/>
  <c r="G8" i="7" s="1" a="1"/>
  <c r="G8" i="7" s="1"/>
  <c r="C63" i="7"/>
  <c r="N36" i="7"/>
  <c r="B31" i="23"/>
  <c r="G36" i="7" s="1" a="1"/>
  <c r="G36" i="7" s="1"/>
  <c r="F28" i="7"/>
  <c r="F25" i="7"/>
  <c r="F11" i="7"/>
  <c r="G6" i="23"/>
  <c r="H6" i="23" s="1"/>
  <c r="G29" i="23"/>
  <c r="H29" i="23" s="1"/>
  <c r="F60" i="23"/>
  <c r="C57" i="7"/>
  <c r="K40" i="7"/>
  <c r="J38" i="7"/>
  <c r="K7" i="7"/>
  <c r="I43" i="7"/>
  <c r="N57" i="7"/>
  <c r="M43" i="7"/>
  <c r="K10" i="7"/>
  <c r="P51" i="7"/>
  <c r="K51" i="7"/>
  <c r="K20" i="7"/>
  <c r="J21" i="7"/>
  <c r="M51" i="7"/>
  <c r="M8" i="7"/>
  <c r="P35" i="7"/>
  <c r="K35" i="7"/>
  <c r="L10" i="7"/>
  <c r="P58" i="7"/>
  <c r="B12" i="23"/>
  <c r="G17" i="7" s="1" a="1"/>
  <c r="G17" i="7" s="1"/>
  <c r="G47" i="23"/>
  <c r="H47" i="23" s="1"/>
  <c r="M23" i="7"/>
  <c r="I51" i="7"/>
  <c r="F44" i="7"/>
  <c r="B62" i="23"/>
  <c r="F20" i="7"/>
  <c r="B33" i="23"/>
  <c r="G38" i="7" s="1" a="1"/>
  <c r="G38" i="7" s="1"/>
  <c r="G50" i="23"/>
  <c r="H50" i="23" s="1"/>
  <c r="G15" i="23"/>
  <c r="H15" i="23" s="1"/>
  <c r="F51" i="23"/>
  <c r="F55" i="7"/>
  <c r="K52" i="7"/>
  <c r="L40" i="7"/>
  <c r="M21" i="7"/>
  <c r="M40" i="7"/>
  <c r="P53" i="7"/>
  <c r="K53" i="7"/>
  <c r="J15" i="7"/>
  <c r="P27" i="7"/>
  <c r="M53" i="7"/>
  <c r="M22" i="7"/>
  <c r="J45" i="7"/>
  <c r="J54" i="7"/>
  <c r="J11" i="7"/>
  <c r="P11" i="7"/>
  <c r="G14" i="23"/>
  <c r="H14" i="23" s="1"/>
  <c r="G9" i="23"/>
  <c r="H9" i="23" s="1"/>
  <c r="G12" i="23"/>
  <c r="H12" i="23" s="1"/>
  <c r="G36" i="23"/>
  <c r="H36" i="23" s="1"/>
  <c r="F64" i="23"/>
  <c r="F55" i="23"/>
  <c r="F63" i="7"/>
  <c r="D62" i="7"/>
  <c r="J50" i="7"/>
  <c r="I18" i="7"/>
  <c r="M33" i="7"/>
  <c r="L62" i="7"/>
  <c r="L19" i="7"/>
  <c r="K48" i="7"/>
  <c r="P17" i="7"/>
  <c r="I28" i="7"/>
  <c r="M31" i="7"/>
  <c r="L60" i="7"/>
  <c r="P39" i="7"/>
  <c r="N12" i="7"/>
  <c r="M41" i="7"/>
  <c r="P50" i="7"/>
  <c r="K32" i="7"/>
  <c r="J61" i="7"/>
  <c r="P7" i="7"/>
  <c r="N13" i="7"/>
  <c r="N63" i="7"/>
  <c r="L33" i="7"/>
  <c r="J16" i="7"/>
  <c r="N44" i="7"/>
  <c r="G73" i="23"/>
  <c r="H73" i="23" s="1"/>
  <c r="G2" i="23"/>
  <c r="H2" i="23" s="1"/>
  <c r="G4" i="23"/>
  <c r="H4" i="23" s="1"/>
  <c r="G28" i="23"/>
  <c r="H28" i="23" s="1"/>
  <c r="F56" i="23"/>
  <c r="F43" i="23"/>
  <c r="F66" i="7"/>
  <c r="F59" i="7"/>
  <c r="I56" i="7"/>
  <c r="J26" i="7"/>
  <c r="N54" i="7"/>
  <c r="L23" i="7"/>
  <c r="M9" i="7"/>
  <c r="P66" i="7"/>
  <c r="I65" i="7"/>
  <c r="K24" i="7"/>
  <c r="K16" i="7"/>
  <c r="M7" i="7"/>
  <c r="K65" i="7"/>
  <c r="N19" i="7"/>
  <c r="M48" i="7"/>
  <c r="M17" i="7"/>
  <c r="L46" i="7"/>
  <c r="P26" i="7"/>
  <c r="J37" i="7"/>
  <c r="N65" i="7"/>
  <c r="I48" i="7"/>
  <c r="M27" i="7"/>
  <c r="L56" i="7"/>
  <c r="N39" i="7"/>
  <c r="P59" i="7"/>
  <c r="L18" i="7"/>
  <c r="B13" i="23"/>
  <c r="G18" i="7" s="1" a="1"/>
  <c r="G18" i="7" s="1"/>
  <c r="M3" i="16"/>
  <c r="G72" i="23"/>
  <c r="H72" i="23" s="1"/>
  <c r="F70" i="23"/>
  <c r="F74" i="23"/>
  <c r="F56" i="7"/>
  <c r="D64" i="7"/>
  <c r="I44" i="7"/>
  <c r="L28" i="7"/>
  <c r="J12" i="7"/>
  <c r="P54" i="7"/>
  <c r="M26" i="7"/>
  <c r="J33" i="7"/>
  <c r="P64" i="7"/>
  <c r="P19" i="7"/>
  <c r="K50" i="7"/>
  <c r="N48" i="7"/>
  <c r="P14" i="7"/>
  <c r="L39" i="7"/>
  <c r="P61" i="7"/>
  <c r="J30" i="7"/>
  <c r="L13" i="7"/>
  <c r="K42" i="7"/>
  <c r="K62" i="7"/>
  <c r="K23" i="7"/>
  <c r="F37" i="7"/>
  <c r="F23" i="7"/>
  <c r="G23" i="23"/>
  <c r="H23" i="23" s="1"/>
  <c r="B65" i="23"/>
  <c r="B51" i="23"/>
  <c r="G56" i="7" s="1" a="1"/>
  <c r="G56" i="7" s="1"/>
  <c r="R56" i="7" s="1"/>
  <c r="F50" i="7"/>
  <c r="F24" i="7"/>
  <c r="B55" i="23"/>
  <c r="G19" i="23"/>
  <c r="H19" i="23" s="1"/>
  <c r="G14" i="1"/>
  <c r="B64" i="23"/>
  <c r="B14" i="23"/>
  <c r="G19" i="7" s="1" a="1"/>
  <c r="G19" i="7" s="1"/>
  <c r="F13" i="7"/>
  <c r="B67" i="23"/>
  <c r="B68" i="23"/>
  <c r="G71" i="23"/>
  <c r="H71" i="23" s="1"/>
  <c r="G70" i="23"/>
  <c r="H70" i="23" s="1"/>
  <c r="G7" i="23"/>
  <c r="H7" i="23" s="1"/>
  <c r="G65" i="23"/>
  <c r="H65" i="23" s="1"/>
  <c r="G68" i="23"/>
  <c r="H68" i="23" s="1"/>
  <c r="F58" i="23"/>
  <c r="F62" i="23"/>
  <c r="C64" i="7"/>
  <c r="F62" i="7"/>
  <c r="C54" i="7"/>
  <c r="I32" i="7"/>
  <c r="N30" i="7"/>
  <c r="M59" i="7"/>
  <c r="L9" i="7"/>
  <c r="L14" i="7"/>
  <c r="P42" i="7"/>
  <c r="I41" i="7"/>
  <c r="J29" i="7"/>
  <c r="M54" i="7"/>
  <c r="L12" i="7"/>
  <c r="K41" i="7"/>
  <c r="I63" i="7"/>
  <c r="M24" i="7"/>
  <c r="P31" i="7"/>
  <c r="J13" i="7"/>
  <c r="N41" i="7"/>
  <c r="I24" i="7"/>
  <c r="L32" i="7"/>
  <c r="K61" i="7"/>
  <c r="M44" i="7"/>
  <c r="L54" i="7"/>
  <c r="B63" i="23"/>
  <c r="B26" i="23"/>
  <c r="G31" i="7" s="1" a="1"/>
  <c r="G31" i="7" s="1"/>
  <c r="G11" i="23"/>
  <c r="H11" i="23" s="1"/>
  <c r="G74" i="23"/>
  <c r="H74" i="23" s="1"/>
  <c r="G69" i="23"/>
  <c r="H69" i="23" s="1"/>
  <c r="B39" i="23"/>
  <c r="G44" i="7" s="1" a="1"/>
  <c r="G44" i="7" s="1"/>
  <c r="F12" i="7"/>
  <c r="B19" i="23"/>
  <c r="G24" i="7" s="1" a="1"/>
  <c r="G24" i="7" s="1"/>
  <c r="B41" i="23"/>
  <c r="G46" i="7" s="1" a="1"/>
  <c r="G46" i="7" s="1"/>
  <c r="B27" i="23"/>
  <c r="G32" i="7" s="1" a="1"/>
  <c r="G32" i="7" s="1"/>
  <c r="F7" i="7"/>
  <c r="F26" i="7"/>
  <c r="B7" i="23"/>
  <c r="G12" i="7" s="1" a="1"/>
  <c r="G12" i="7" s="1"/>
  <c r="B43" i="23"/>
  <c r="G48" i="7" s="1" a="1"/>
  <c r="G48" i="7" s="1"/>
  <c r="B69" i="23"/>
  <c r="B56" i="23"/>
  <c r="G59" i="23"/>
  <c r="H59" i="23" s="1"/>
  <c r="G66" i="23"/>
  <c r="H66" i="23" s="1"/>
  <c r="G63" i="23"/>
  <c r="H63" i="23" s="1"/>
  <c r="G61" i="23"/>
  <c r="H61" i="23" s="1"/>
  <c r="G67" i="23"/>
  <c r="H67" i="23" s="1"/>
  <c r="G64" i="23"/>
  <c r="H64" i="23" s="1"/>
  <c r="F61" i="23"/>
  <c r="F69" i="23"/>
  <c r="F60" i="7"/>
  <c r="F61" i="7"/>
  <c r="D61" i="7"/>
  <c r="K33" i="7"/>
  <c r="J62" i="7"/>
  <c r="K26" i="7"/>
  <c r="N16" i="7"/>
  <c r="P30" i="7"/>
  <c r="I29" i="7"/>
  <c r="L31" i="7"/>
  <c r="K60" i="7"/>
  <c r="I31" i="7"/>
  <c r="N14" i="7"/>
  <c r="J27" i="7"/>
  <c r="I62" i="7"/>
  <c r="N24" i="7"/>
  <c r="M42" i="7"/>
  <c r="K44" i="7"/>
  <c r="P37" i="7"/>
  <c r="I12" i="7"/>
  <c r="M63" i="7"/>
  <c r="J31" i="7"/>
  <c r="K18" i="7"/>
  <c r="P23" i="7"/>
  <c r="I46" i="7"/>
  <c r="J28" i="7"/>
  <c r="N56" i="7"/>
  <c r="F32" i="7"/>
  <c r="F39" i="7"/>
  <c r="F14" i="7"/>
  <c r="B57" i="23"/>
  <c r="G62" i="23"/>
  <c r="H62" i="23" s="1"/>
  <c r="G51" i="23"/>
  <c r="H51" i="23" s="1"/>
  <c r="G57" i="23"/>
  <c r="H57" i="23" s="1"/>
  <c r="G55" i="23"/>
  <c r="H55" i="23" s="1"/>
  <c r="G60" i="23"/>
  <c r="H60" i="23" s="1"/>
  <c r="F66" i="23"/>
  <c r="F57" i="23"/>
  <c r="F65" i="7"/>
  <c r="D60" i="7"/>
  <c r="L64" i="7"/>
  <c r="K19" i="7"/>
  <c r="J48" i="7"/>
  <c r="P18" i="7"/>
  <c r="I17" i="7"/>
  <c r="N33" i="7"/>
  <c r="M62" i="7"/>
  <c r="J19" i="7"/>
  <c r="K17" i="7"/>
  <c r="J46" i="7"/>
  <c r="P28" i="7"/>
  <c r="I39" i="7"/>
  <c r="L29" i="7"/>
  <c r="I50" i="7"/>
  <c r="K27" i="7"/>
  <c r="J56" i="7"/>
  <c r="I7" i="7"/>
  <c r="N17" i="7"/>
  <c r="M46" i="7"/>
  <c r="K37" i="7"/>
  <c r="J66" i="7"/>
  <c r="L30" i="7"/>
  <c r="K59" i="7"/>
  <c r="F19" i="7"/>
  <c r="B70" i="23"/>
  <c r="B66" i="23"/>
  <c r="B28" i="23"/>
  <c r="G33" i="7" s="1" a="1"/>
  <c r="G33" i="7" s="1"/>
  <c r="F27" i="7"/>
  <c r="B72" i="23"/>
  <c r="B71" i="23"/>
  <c r="B58" i="23"/>
  <c r="B45" i="23"/>
  <c r="G50" i="7" s="1" a="1"/>
  <c r="G50" i="7" s="1"/>
  <c r="B32" i="23"/>
  <c r="G37" i="7" s="1" a="1"/>
  <c r="G37" i="7" s="1"/>
  <c r="G39" i="23"/>
  <c r="H39" i="23" s="1"/>
  <c r="G58" i="23"/>
  <c r="H58" i="23" s="1"/>
  <c r="G43" i="23"/>
  <c r="H43" i="23" s="1"/>
  <c r="G56" i="23"/>
  <c r="H56" i="23" s="1"/>
  <c r="F54" i="23"/>
  <c r="F49" i="23"/>
  <c r="C59" i="7"/>
  <c r="C56" i="7"/>
  <c r="D65" i="7"/>
  <c r="K64" i="7"/>
  <c r="K9" i="7"/>
  <c r="N66" i="7"/>
  <c r="L50" i="7"/>
  <c r="I9" i="7"/>
  <c r="L7" i="7"/>
  <c r="J65" i="7"/>
  <c r="M19" i="7"/>
  <c r="L48" i="7"/>
  <c r="P16" i="7"/>
  <c r="I27" i="7"/>
  <c r="N31" i="7"/>
  <c r="M60" i="7"/>
  <c r="M29" i="7"/>
  <c r="M28" i="7"/>
  <c r="P13" i="7"/>
  <c r="M39" i="7"/>
  <c r="P60" i="7"/>
  <c r="M64" i="7"/>
  <c r="J23" i="7"/>
  <c r="M18" i="7"/>
  <c r="N32" i="7"/>
  <c r="M61" i="7"/>
  <c r="G27" i="23"/>
  <c r="H27" i="23" s="1"/>
  <c r="G54" i="23"/>
  <c r="H54" i="23" s="1"/>
  <c r="G25" i="23"/>
  <c r="H25" i="23" s="1"/>
  <c r="G49" i="23"/>
  <c r="H49" i="23" s="1"/>
  <c r="F73" i="23"/>
  <c r="F71" i="23"/>
  <c r="F54" i="7"/>
  <c r="D54" i="7"/>
  <c r="M66" i="7"/>
  <c r="P56" i="7"/>
  <c r="I66" i="7"/>
  <c r="J24" i="7"/>
  <c r="K28" i="7"/>
  <c r="N9" i="7"/>
  <c r="P65" i="7"/>
  <c r="N59" i="7"/>
  <c r="N50" i="7"/>
  <c r="J9" i="7"/>
  <c r="J63" i="7"/>
  <c r="I26" i="7"/>
  <c r="J32" i="7"/>
  <c r="N60" i="7"/>
  <c r="K13" i="7"/>
  <c r="J42" i="7"/>
  <c r="P48" i="7"/>
  <c r="I59" i="7"/>
  <c r="K54" i="7"/>
  <c r="N37" i="7"/>
  <c r="J64" i="7"/>
  <c r="B34" i="23"/>
  <c r="G39" i="7" s="1" a="1"/>
  <c r="G39" i="7" s="1"/>
  <c r="B21" i="23"/>
  <c r="G26" i="7" s="1" a="1"/>
  <c r="G26" i="7" s="1"/>
  <c r="B8" i="23"/>
  <c r="G13" i="7" s="1" a="1"/>
  <c r="G13" i="7" s="1"/>
  <c r="G26" i="23"/>
  <c r="H26" i="23" s="1"/>
  <c r="G21" i="23"/>
  <c r="H21" i="23" s="1"/>
  <c r="G45" i="23"/>
  <c r="H45" i="23" s="1"/>
  <c r="G24" i="23"/>
  <c r="H24" i="23" s="1"/>
  <c r="F65" i="23"/>
  <c r="F67" i="23"/>
  <c r="D56" i="7"/>
  <c r="D63" i="7"/>
  <c r="J14" i="7"/>
  <c r="N42" i="7"/>
  <c r="P44" i="7"/>
  <c r="I54" i="7"/>
  <c r="L26" i="7"/>
  <c r="K12" i="7"/>
  <c r="J41" i="7"/>
  <c r="I64" i="7"/>
  <c r="L24" i="7"/>
  <c r="M30" i="7"/>
  <c r="N7" i="7"/>
  <c r="L65" i="7"/>
  <c r="I14" i="7"/>
  <c r="K63" i="7"/>
  <c r="I61" i="7"/>
  <c r="L44" i="7"/>
  <c r="N27" i="7"/>
  <c r="M56" i="7"/>
  <c r="L59" i="7"/>
  <c r="M37" i="7"/>
  <c r="L66" i="7"/>
  <c r="B73" i="23"/>
  <c r="F16" i="7"/>
  <c r="G41" i="23"/>
  <c r="H41" i="23" s="1"/>
  <c r="F72" i="23"/>
  <c r="F63" i="23"/>
  <c r="F64" i="7"/>
  <c r="C60" i="7"/>
  <c r="D66" i="7"/>
  <c r="L16" i="7"/>
  <c r="P32" i="7"/>
  <c r="I42" i="7"/>
  <c r="N28" i="7"/>
  <c r="M14" i="7"/>
  <c r="P41" i="7"/>
  <c r="N26" i="7"/>
  <c r="N61" i="7"/>
  <c r="J39" i="7"/>
  <c r="P63" i="7"/>
  <c r="M65" i="7"/>
  <c r="L27" i="7"/>
  <c r="K56" i="7"/>
  <c r="J18" i="7"/>
  <c r="N46" i="7"/>
  <c r="P24" i="7"/>
  <c r="K30" i="7"/>
  <c r="J59" i="7"/>
  <c r="I19" i="7"/>
  <c r="F30" i="7"/>
  <c r="F41" i="7"/>
  <c r="B61" i="23"/>
  <c r="B36" i="23"/>
  <c r="G41" i="7" s="1" a="1"/>
  <c r="G41" i="7" s="1"/>
  <c r="B22" i="23"/>
  <c r="G27" i="7" s="1" a="1"/>
  <c r="G27" i="7" s="1"/>
  <c r="B9" i="23"/>
  <c r="G14" i="7" s="1" a="1"/>
  <c r="G14" i="7" s="1"/>
  <c r="G22" i="23"/>
  <c r="H22" i="23" s="1"/>
  <c r="B18" i="23"/>
  <c r="G23" i="7" s="1" a="1"/>
  <c r="G23" i="7" s="1"/>
  <c r="F18" i="7"/>
  <c r="F29" i="7"/>
  <c r="B74" i="23"/>
  <c r="B49" i="23"/>
  <c r="G54" i="7" s="1" a="1"/>
  <c r="G54" i="7" s="1"/>
  <c r="R54" i="7" s="1"/>
  <c r="B24" i="23"/>
  <c r="G29" i="7" s="1" a="1"/>
  <c r="G29" i="7" s="1"/>
  <c r="B23" i="23"/>
  <c r="G28" i="7" s="1" a="1"/>
  <c r="G28" i="7" s="1"/>
  <c r="F46" i="7"/>
  <c r="F33" i="7"/>
  <c r="G18" i="23"/>
  <c r="H18" i="23" s="1"/>
  <c r="G13" i="23"/>
  <c r="H13" i="23" s="1"/>
  <c r="G37" i="23"/>
  <c r="H37" i="23" s="1"/>
  <c r="F68" i="23"/>
  <c r="F59" i="23"/>
  <c r="D59" i="7"/>
  <c r="C62" i="7"/>
  <c r="C65" i="7"/>
  <c r="C66" i="7"/>
  <c r="P33" i="7"/>
  <c r="N18" i="7"/>
  <c r="I30" i="7"/>
  <c r="K31" i="7"/>
  <c r="J60" i="7"/>
  <c r="N23" i="7"/>
  <c r="J17" i="7"/>
  <c r="P29" i="7"/>
  <c r="K29" i="7"/>
  <c r="J7" i="7"/>
  <c r="M12" i="7"/>
  <c r="L41" i="7"/>
  <c r="K39" i="7"/>
  <c r="P62" i="7"/>
  <c r="I37" i="7"/>
  <c r="N29" i="7"/>
  <c r="M16" i="7"/>
  <c r="P12" i="7"/>
  <c r="I23" i="7"/>
  <c r="M32" i="7"/>
  <c r="L61" i="7"/>
  <c r="K14" i="7"/>
  <c r="M13" i="7"/>
  <c r="AA3" i="5"/>
  <c r="AA4" i="5"/>
  <c r="F44" i="23" s="1"/>
  <c r="AA5" i="5"/>
  <c r="AA6" i="5"/>
  <c r="AA7" i="5"/>
  <c r="AA8" i="5"/>
  <c r="AA9" i="5"/>
  <c r="AA10" i="5"/>
  <c r="AA11" i="5"/>
  <c r="AA12" i="5"/>
  <c r="F53" i="23" s="1"/>
  <c r="AA13" i="5"/>
  <c r="AA14" i="5"/>
  <c r="F47" i="23" s="1"/>
  <c r="AA15" i="5"/>
  <c r="AA16" i="5"/>
  <c r="F52" i="23" s="1"/>
  <c r="AA17" i="5"/>
  <c r="F50" i="23" s="1"/>
  <c r="AA18" i="5"/>
  <c r="AA19" i="5"/>
  <c r="AA20" i="5"/>
  <c r="AA21" i="5"/>
  <c r="AA22" i="5"/>
  <c r="AA23" i="5"/>
  <c r="AA24" i="5"/>
  <c r="F46" i="23" s="1"/>
  <c r="AA25" i="5"/>
  <c r="AA26" i="5"/>
  <c r="AA27" i="5"/>
  <c r="O57" i="7" l="1"/>
  <c r="O55" i="7"/>
  <c r="O51" i="7"/>
  <c r="O58" i="7"/>
  <c r="O59" i="7"/>
  <c r="O54" i="7"/>
  <c r="O56" i="7"/>
  <c r="O53" i="7"/>
  <c r="O52" i="7"/>
  <c r="F40" i="23"/>
  <c r="F48" i="23"/>
  <c r="F5" i="23"/>
  <c r="F10" i="23"/>
  <c r="F39" i="23"/>
  <c r="U3"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2" i="8"/>
  <c r="X3" i="8"/>
  <c r="J2" i="17" l="1"/>
  <c r="G30" i="1"/>
  <c r="G29" i="1"/>
  <c r="AA28" i="5" l="1"/>
  <c r="AA29" i="5"/>
  <c r="AA30" i="5"/>
  <c r="AA31" i="5"/>
  <c r="AA32" i="5"/>
  <c r="F2" i="23" s="1"/>
  <c r="AA33" i="5"/>
  <c r="F31" i="23" s="1"/>
  <c r="AA34" i="5"/>
  <c r="AA35" i="5"/>
  <c r="AA36" i="5"/>
  <c r="AA37" i="5"/>
  <c r="AA38" i="5"/>
  <c r="AA39" i="5"/>
  <c r="AA40" i="5"/>
  <c r="AA41" i="5"/>
  <c r="AA42" i="5"/>
  <c r="AA43" i="5"/>
  <c r="AA44" i="5"/>
  <c r="AA45" i="5"/>
  <c r="AA46" i="5"/>
  <c r="AA47" i="5"/>
  <c r="AA48" i="5"/>
  <c r="F25" i="23" l="1"/>
  <c r="F41" i="23"/>
  <c r="F19" i="23"/>
  <c r="F45" i="23"/>
  <c r="F35" i="23"/>
  <c r="F33" i="23"/>
  <c r="F42" i="23"/>
  <c r="F20" i="23"/>
  <c r="F36" i="23"/>
  <c r="F9" i="23"/>
  <c r="F38" i="23"/>
  <c r="F15" i="23"/>
  <c r="F21" i="23"/>
  <c r="F12" i="23"/>
  <c r="F3" i="23"/>
  <c r="F11" i="23"/>
  <c r="F27" i="23"/>
  <c r="F14" i="23"/>
  <c r="F17" i="23"/>
  <c r="F32" i="23"/>
  <c r="F37" i="23"/>
  <c r="F13" i="23"/>
  <c r="F16" i="23"/>
  <c r="F30" i="23"/>
  <c r="F18" i="23"/>
  <c r="F4" i="23"/>
  <c r="F29" i="23"/>
  <c r="F28" i="23"/>
  <c r="F22" i="23"/>
  <c r="F7" i="23"/>
  <c r="F26" i="23"/>
  <c r="F6" i="23"/>
  <c r="F24" i="23"/>
  <c r="F8" i="23"/>
  <c r="F23" i="23"/>
  <c r="F34" i="23"/>
  <c r="D11" i="7"/>
  <c r="C11" i="7"/>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2" i="2"/>
  <c r="G31" i="1"/>
  <c r="B24" i="4" l="1"/>
  <c r="F24" i="4"/>
  <c r="B12" i="4"/>
  <c r="F12" i="4"/>
  <c r="B25" i="4"/>
  <c r="F25" i="4"/>
  <c r="B34" i="4"/>
  <c r="F34" i="4"/>
  <c r="B22" i="4"/>
  <c r="F22" i="4"/>
  <c r="B21" i="4"/>
  <c r="F21" i="4"/>
  <c r="B23" i="4"/>
  <c r="F23" i="4"/>
  <c r="B33" i="4"/>
  <c r="F33" i="4"/>
  <c r="B32" i="4"/>
  <c r="F32" i="4"/>
  <c r="B20" i="4"/>
  <c r="F20" i="4"/>
  <c r="B31" i="4"/>
  <c r="F31" i="4"/>
  <c r="B19" i="4"/>
  <c r="F19" i="4"/>
  <c r="B30" i="4"/>
  <c r="F30" i="4"/>
  <c r="B18" i="4"/>
  <c r="F18" i="4"/>
  <c r="M8" i="20" s="1"/>
  <c r="B29" i="4"/>
  <c r="F29" i="4"/>
  <c r="B17" i="4"/>
  <c r="F17" i="4"/>
  <c r="B37" i="4"/>
  <c r="F37" i="4"/>
  <c r="B36" i="4"/>
  <c r="F36" i="4"/>
  <c r="B40" i="4"/>
  <c r="F40" i="4"/>
  <c r="B28" i="4"/>
  <c r="F28" i="4"/>
  <c r="B16" i="4"/>
  <c r="F16" i="4"/>
  <c r="B13" i="4"/>
  <c r="F13" i="4"/>
  <c r="B11" i="4"/>
  <c r="F11" i="4"/>
  <c r="B39" i="4"/>
  <c r="F39" i="4"/>
  <c r="M29" i="20" s="1"/>
  <c r="B27" i="4"/>
  <c r="F27" i="4"/>
  <c r="B15" i="4"/>
  <c r="F15" i="4"/>
  <c r="B35" i="4"/>
  <c r="F35" i="4"/>
  <c r="B38" i="4"/>
  <c r="F38" i="4"/>
  <c r="B26" i="4"/>
  <c r="F26" i="4"/>
  <c r="B14" i="4"/>
  <c r="F14" i="4"/>
  <c r="B6" i="19"/>
  <c r="H6" i="19"/>
  <c r="E6" i="19"/>
  <c r="K6" i="19"/>
  <c r="N6" i="19"/>
  <c r="G15" i="3"/>
  <c r="I19" i="3"/>
  <c r="G19" i="3"/>
  <c r="I34" i="3"/>
  <c r="G34" i="3"/>
  <c r="I18" i="3"/>
  <c r="G18" i="3"/>
  <c r="I41" i="3"/>
  <c r="G41" i="3"/>
  <c r="I33" i="3"/>
  <c r="G33" i="3"/>
  <c r="I25" i="3"/>
  <c r="F25" i="3" s="1"/>
  <c r="G25" i="3"/>
  <c r="I17" i="3"/>
  <c r="G17" i="3"/>
  <c r="I35" i="3"/>
  <c r="G35" i="3"/>
  <c r="I11" i="3"/>
  <c r="A11" i="3" s="1"/>
  <c r="G11" i="3"/>
  <c r="I26" i="3"/>
  <c r="G26" i="3"/>
  <c r="I32" i="3"/>
  <c r="G32" i="3"/>
  <c r="I24" i="3"/>
  <c r="G24" i="3"/>
  <c r="I16" i="3"/>
  <c r="G16" i="3"/>
  <c r="I31" i="3"/>
  <c r="G31" i="3"/>
  <c r="I14" i="3"/>
  <c r="G14" i="3"/>
  <c r="I39" i="3"/>
  <c r="F39" i="3" s="1"/>
  <c r="G39" i="3"/>
  <c r="I15" i="3"/>
  <c r="I38" i="3"/>
  <c r="G38" i="3"/>
  <c r="I22" i="3"/>
  <c r="G22" i="3"/>
  <c r="I37" i="3"/>
  <c r="G37" i="3"/>
  <c r="I29" i="3"/>
  <c r="G29" i="3"/>
  <c r="I21" i="3"/>
  <c r="G21" i="3"/>
  <c r="I13" i="3"/>
  <c r="G13" i="3"/>
  <c r="I27" i="3"/>
  <c r="G27" i="3"/>
  <c r="I23" i="3"/>
  <c r="G23" i="3"/>
  <c r="I30" i="3"/>
  <c r="G30" i="3"/>
  <c r="I36" i="3"/>
  <c r="G36" i="3"/>
  <c r="I28" i="3"/>
  <c r="G28" i="3"/>
  <c r="I20" i="3"/>
  <c r="G20" i="3"/>
  <c r="I12" i="3"/>
  <c r="G12" i="3"/>
  <c r="I40" i="3"/>
  <c r="G40" i="3"/>
  <c r="H18" i="3"/>
  <c r="H12" i="3"/>
  <c r="H36" i="3"/>
  <c r="H28" i="3"/>
  <c r="H20" i="3"/>
  <c r="H35" i="3"/>
  <c r="H27" i="3"/>
  <c r="H19" i="3"/>
  <c r="H11" i="3"/>
  <c r="H34" i="3"/>
  <c r="H26" i="3"/>
  <c r="H41" i="3"/>
  <c r="H33" i="3"/>
  <c r="H25" i="3"/>
  <c r="H17" i="3"/>
  <c r="H40" i="3"/>
  <c r="H32" i="3"/>
  <c r="H24" i="3"/>
  <c r="H16" i="3"/>
  <c r="H39" i="3"/>
  <c r="H31" i="3"/>
  <c r="H23" i="3"/>
  <c r="H15" i="3"/>
  <c r="H38" i="3"/>
  <c r="H30" i="3"/>
  <c r="H22" i="3"/>
  <c r="H14" i="3"/>
  <c r="H37" i="3"/>
  <c r="H29" i="3"/>
  <c r="H21" i="3"/>
  <c r="H13" i="3"/>
  <c r="F28" i="3" l="1"/>
  <c r="F21" i="3"/>
  <c r="M4" i="20"/>
  <c r="A14" i="4"/>
  <c r="M26" i="20"/>
  <c r="M9" i="20"/>
  <c r="M11" i="20"/>
  <c r="A21" i="4"/>
  <c r="F13" i="3"/>
  <c r="F14" i="3"/>
  <c r="F18" i="3"/>
  <c r="F20" i="3"/>
  <c r="F36" i="3"/>
  <c r="M16" i="20"/>
  <c r="M1" i="20"/>
  <c r="A11" i="4"/>
  <c r="A15" i="4" s="1"/>
  <c r="M27" i="20"/>
  <c r="A37" i="4"/>
  <c r="M21" i="20"/>
  <c r="A31" i="4"/>
  <c r="M12" i="20"/>
  <c r="F31" i="3"/>
  <c r="F35" i="3"/>
  <c r="F34" i="3"/>
  <c r="F30" i="3"/>
  <c r="F17" i="3"/>
  <c r="F19" i="3"/>
  <c r="F40" i="3"/>
  <c r="M25" i="20"/>
  <c r="A35" i="4"/>
  <c r="M6" i="20"/>
  <c r="A16" i="4"/>
  <c r="M19" i="20"/>
  <c r="M22" i="20"/>
  <c r="A32" i="4"/>
  <c r="A39" i="4" s="1"/>
  <c r="M15" i="20"/>
  <c r="A25" i="4"/>
  <c r="M28" i="20"/>
  <c r="A38" i="4"/>
  <c r="M3" i="20"/>
  <c r="A13" i="4"/>
  <c r="A18" i="4" s="1"/>
  <c r="M7" i="20"/>
  <c r="A17" i="4"/>
  <c r="M24" i="20"/>
  <c r="A34" i="4"/>
  <c r="F12" i="3"/>
  <c r="F27" i="3"/>
  <c r="F38" i="3"/>
  <c r="M5" i="20"/>
  <c r="M18" i="20"/>
  <c r="A28" i="4"/>
  <c r="M23" i="20"/>
  <c r="M2" i="20"/>
  <c r="A12" i="4"/>
  <c r="F37" i="3"/>
  <c r="M10" i="20"/>
  <c r="A20" i="4"/>
  <c r="F16" i="3"/>
  <c r="F15" i="3"/>
  <c r="F32" i="3"/>
  <c r="F33" i="3"/>
  <c r="M17" i="20"/>
  <c r="A27" i="4"/>
  <c r="M30" i="20"/>
  <c r="M20" i="20"/>
  <c r="A30" i="4"/>
  <c r="M13" i="20"/>
  <c r="A23" i="4"/>
  <c r="M14" i="20"/>
  <c r="A24" i="4"/>
  <c r="F26" i="3"/>
  <c r="F41" i="3"/>
  <c r="E15" i="4"/>
  <c r="E23" i="4"/>
  <c r="E31" i="4"/>
  <c r="E39" i="4"/>
  <c r="E16" i="4"/>
  <c r="E24" i="4"/>
  <c r="E32" i="4"/>
  <c r="E40" i="4"/>
  <c r="E17" i="4"/>
  <c r="E25" i="4"/>
  <c r="E33" i="4"/>
  <c r="E41" i="4"/>
  <c r="E20" i="4"/>
  <c r="E14" i="4"/>
  <c r="E18" i="4"/>
  <c r="E26" i="4"/>
  <c r="E34" i="4"/>
  <c r="E11" i="4"/>
  <c r="E38" i="4"/>
  <c r="E19" i="4"/>
  <c r="E27" i="4"/>
  <c r="E35" i="4"/>
  <c r="E22" i="4"/>
  <c r="E12" i="4"/>
  <c r="E28" i="4"/>
  <c r="E36" i="4"/>
  <c r="E13" i="4"/>
  <c r="E21" i="4"/>
  <c r="E29" i="4"/>
  <c r="E37" i="4"/>
  <c r="E30" i="4"/>
  <c r="D39" i="3"/>
  <c r="B39" i="3" s="1"/>
  <c r="E39" i="3"/>
  <c r="D40" i="3"/>
  <c r="B40" i="3" s="1"/>
  <c r="E40" i="3"/>
  <c r="D41" i="3"/>
  <c r="B41" i="3" s="1"/>
  <c r="E41" i="3"/>
  <c r="A19" i="4" l="1"/>
  <c r="A22" i="4"/>
  <c r="D38" i="3"/>
  <c r="B38" i="3" s="1"/>
  <c r="E38" i="3"/>
  <c r="A26" i="4" l="1"/>
  <c r="A33" i="4" s="1"/>
  <c r="A29" i="4"/>
  <c r="A36" i="4" s="1"/>
  <c r="U11" i="4"/>
  <c r="U10" i="4"/>
  <c r="G23" i="1"/>
  <c r="D12" i="3"/>
  <c r="B12" i="3" s="1"/>
  <c r="D13" i="3"/>
  <c r="B13" i="3" s="1"/>
  <c r="D14" i="3"/>
  <c r="B14" i="3" s="1"/>
  <c r="D15" i="3"/>
  <c r="B15" i="3" s="1"/>
  <c r="D16" i="3"/>
  <c r="B16" i="3" s="1"/>
  <c r="D17" i="3"/>
  <c r="B17" i="3" s="1"/>
  <c r="D18" i="3"/>
  <c r="B18" i="3" s="1"/>
  <c r="D19" i="3"/>
  <c r="B19" i="3" s="1"/>
  <c r="D20" i="3"/>
  <c r="B20" i="3" s="1"/>
  <c r="D21" i="3"/>
  <c r="B21" i="3" s="1"/>
  <c r="D22" i="3"/>
  <c r="B22" i="3" s="1"/>
  <c r="D23" i="3"/>
  <c r="B23" i="3" s="1"/>
  <c r="D24" i="3"/>
  <c r="B24" i="3" s="1"/>
  <c r="D25" i="3"/>
  <c r="B25" i="3" s="1"/>
  <c r="D26" i="3"/>
  <c r="B26" i="3" s="1"/>
  <c r="D27" i="3"/>
  <c r="B27" i="3" s="1"/>
  <c r="D28" i="3"/>
  <c r="B28" i="3" s="1"/>
  <c r="D29" i="3"/>
  <c r="B29" i="3" s="1"/>
  <c r="D30" i="3"/>
  <c r="B30" i="3" s="1"/>
  <c r="D31" i="3"/>
  <c r="B31" i="3" s="1"/>
  <c r="D32" i="3"/>
  <c r="B32" i="3" s="1"/>
  <c r="D33" i="3"/>
  <c r="B33" i="3" s="1"/>
  <c r="D34" i="3"/>
  <c r="B34" i="3" s="1"/>
  <c r="D35" i="3"/>
  <c r="B35" i="3" s="1"/>
  <c r="D36" i="3"/>
  <c r="B36" i="3" s="1"/>
  <c r="D37" i="3"/>
  <c r="B37" i="3" s="1"/>
  <c r="D11" i="3"/>
  <c r="B11" i="3" s="1"/>
  <c r="E12" i="3"/>
  <c r="E13" i="3"/>
  <c r="E14" i="3"/>
  <c r="E15" i="3"/>
  <c r="E16" i="3"/>
  <c r="E17" i="3"/>
  <c r="E18" i="3"/>
  <c r="E19" i="3"/>
  <c r="E20" i="3"/>
  <c r="E21" i="3"/>
  <c r="E22" i="3"/>
  <c r="F22" i="3" s="1"/>
  <c r="E23" i="3"/>
  <c r="F23" i="3" s="1"/>
  <c r="E24" i="3"/>
  <c r="F24" i="3" s="1"/>
  <c r="E25" i="3"/>
  <c r="E26" i="3"/>
  <c r="E27" i="3"/>
  <c r="E28" i="3"/>
  <c r="E29" i="3"/>
  <c r="F29" i="3" s="1"/>
  <c r="E30" i="3"/>
  <c r="E31" i="3"/>
  <c r="E32" i="3"/>
  <c r="E33" i="3"/>
  <c r="E34" i="3"/>
  <c r="E35" i="3"/>
  <c r="E36" i="3"/>
  <c r="E37" i="3"/>
  <c r="E11" i="3"/>
  <c r="F11" i="3" s="1"/>
  <c r="H1" i="2"/>
  <c r="A40" i="4" l="1"/>
  <c r="M29" i="17"/>
  <c r="H2" i="17"/>
  <c r="C10" i="3"/>
  <c r="M28" i="17"/>
  <c r="Q22" i="30"/>
  <c r="C33" i="20"/>
  <c r="C34" i="20" s="1"/>
  <c r="B46" i="4"/>
  <c r="N5" i="14"/>
  <c r="P5" i="14" s="1" a="1"/>
  <c r="P5" i="14" s="1"/>
  <c r="A1" i="16"/>
  <c r="G11" i="1"/>
  <c r="N4" i="24"/>
  <c r="O5" i="15"/>
  <c r="O6" i="15" s="1"/>
  <c r="O7" i="15" s="1"/>
  <c r="O8" i="15" s="1"/>
  <c r="O9" i="15" s="1"/>
  <c r="O10" i="15" s="1"/>
  <c r="O11" i="15" s="1"/>
  <c r="O12" i="15" s="1"/>
  <c r="O13" i="15" s="1"/>
  <c r="O14" i="15" s="1"/>
  <c r="O15" i="15" s="1"/>
  <c r="O16" i="15" s="1"/>
  <c r="O17" i="15" s="1"/>
  <c r="O18" i="15" s="1"/>
  <c r="O19" i="15" s="1"/>
  <c r="O20" i="15" s="1"/>
  <c r="O21" i="15" s="1"/>
  <c r="O22" i="15" s="1"/>
  <c r="O23" i="15" s="1"/>
  <c r="O24" i="15" s="1"/>
  <c r="O25" i="15" s="1"/>
  <c r="O26" i="15" s="1"/>
  <c r="O27" i="15" s="1"/>
  <c r="O28" i="15" s="1"/>
  <c r="O29" i="15" s="1"/>
  <c r="O30" i="15" s="1"/>
  <c r="O31" i="15" s="1"/>
  <c r="O32" i="15" s="1"/>
  <c r="O33" i="15" s="1"/>
  <c r="O34" i="15" s="1"/>
  <c r="O35" i="15" s="1"/>
  <c r="O36" i="15" s="1"/>
  <c r="O37" i="15" s="1"/>
  <c r="O38" i="15" s="1"/>
  <c r="O39" i="15" s="1"/>
  <c r="O40" i="15" s="1"/>
  <c r="O41" i="15" s="1"/>
  <c r="N22" i="24"/>
  <c r="N5" i="15"/>
  <c r="O5" i="14"/>
  <c r="O6" i="14" s="1"/>
  <c r="O7" i="14" s="1"/>
  <c r="O8" i="14" s="1"/>
  <c r="O9" i="14" s="1"/>
  <c r="O10" i="14" s="1"/>
  <c r="O11" i="14" s="1"/>
  <c r="O12" i="14" s="1"/>
  <c r="O13" i="14" s="1"/>
  <c r="O14" i="14" s="1"/>
  <c r="O15" i="14" s="1"/>
  <c r="O16" i="14" s="1"/>
  <c r="O17" i="14" s="1"/>
  <c r="O18" i="14" s="1"/>
  <c r="O19" i="14" s="1"/>
  <c r="O20" i="14" s="1"/>
  <c r="O21" i="14" s="1"/>
  <c r="O22" i="14" s="1"/>
  <c r="O23" i="14" s="1"/>
  <c r="O24" i="14" s="1"/>
  <c r="O25" i="14" s="1"/>
  <c r="O26" i="14" s="1"/>
  <c r="O27" i="14" s="1"/>
  <c r="O28" i="14" s="1"/>
  <c r="O29" i="14" s="1"/>
  <c r="O30" i="14" s="1"/>
  <c r="O31" i="14" s="1"/>
  <c r="O32" i="14" s="1"/>
  <c r="O33" i="14" s="1"/>
  <c r="O34" i="14" s="1"/>
  <c r="O35" i="14" s="1"/>
  <c r="O36" i="14" s="1"/>
  <c r="O37" i="14" s="1"/>
  <c r="O38" i="14" s="1"/>
  <c r="O39" i="14" s="1"/>
  <c r="O40" i="14" s="1"/>
  <c r="O41" i="14" s="1"/>
  <c r="G2" i="1"/>
  <c r="H3" i="16"/>
  <c r="Y1" i="8"/>
  <c r="V1" i="4"/>
  <c r="H3" i="2"/>
  <c r="X1" i="8"/>
  <c r="G7" i="1"/>
  <c r="I7" i="1" s="1"/>
  <c r="U9" i="4"/>
  <c r="G24" i="1"/>
  <c r="D10" i="3"/>
  <c r="E10" i="3"/>
  <c r="U8" i="4"/>
  <c r="U1" i="4"/>
  <c r="D3" i="4"/>
  <c r="H2" i="2"/>
  <c r="R8" i="3" s="1"/>
  <c r="C35" i="20" l="1"/>
  <c r="C5" i="20" a="1"/>
  <c r="C5" i="20" s="1"/>
  <c r="D33" i="20"/>
  <c r="N6" i="14"/>
  <c r="P6" i="14" s="1" a="1"/>
  <c r="P6" i="14" s="1"/>
  <c r="M5" i="1"/>
  <c r="P5" i="15" a="1"/>
  <c r="P5" i="15" s="1"/>
  <c r="N6" i="15"/>
  <c r="J28" i="16" a="1"/>
  <c r="J28" i="16" s="1"/>
  <c r="L28" i="16" a="1"/>
  <c r="L28" i="16" s="1"/>
  <c r="K28" i="16" a="1"/>
  <c r="K28" i="16" s="1"/>
  <c r="D2" i="4"/>
  <c r="V13" i="4"/>
  <c r="G13" i="1"/>
  <c r="D2" i="3"/>
  <c r="D3" i="3"/>
  <c r="D5" i="20" a="1"/>
  <c r="D5" i="20" l="1"/>
  <c r="E33" i="20"/>
  <c r="D35" i="20"/>
  <c r="D34" i="20"/>
  <c r="N7" i="14"/>
  <c r="P7" i="14" s="1" a="1"/>
  <c r="P7" i="14" s="1"/>
  <c r="N7" i="15"/>
  <c r="P6" i="15" a="1"/>
  <c r="P6" i="15" s="1"/>
  <c r="O9" i="7"/>
  <c r="D9" i="7"/>
  <c r="D17" i="7"/>
  <c r="D25" i="7"/>
  <c r="D33" i="7"/>
  <c r="D41" i="7"/>
  <c r="D49" i="7"/>
  <c r="C13" i="7"/>
  <c r="C21" i="7"/>
  <c r="C29" i="7"/>
  <c r="C37" i="7"/>
  <c r="C45" i="7"/>
  <c r="C10" i="7"/>
  <c r="C50" i="7"/>
  <c r="D10" i="7"/>
  <c r="D18" i="7"/>
  <c r="D26" i="7"/>
  <c r="D34" i="7"/>
  <c r="D42" i="7"/>
  <c r="D50" i="7"/>
  <c r="C14" i="7"/>
  <c r="C22" i="7"/>
  <c r="C30" i="7"/>
  <c r="C38" i="7"/>
  <c r="C46" i="7"/>
  <c r="D38" i="7"/>
  <c r="C34" i="7"/>
  <c r="D19" i="7"/>
  <c r="D27" i="7"/>
  <c r="D35" i="7"/>
  <c r="D43" i="7"/>
  <c r="D7" i="7"/>
  <c r="C15" i="7"/>
  <c r="C23" i="7"/>
  <c r="C31" i="7"/>
  <c r="C39" i="7"/>
  <c r="C47" i="7"/>
  <c r="C48" i="7"/>
  <c r="D22" i="7"/>
  <c r="C18" i="7"/>
  <c r="D12" i="7"/>
  <c r="D20" i="7"/>
  <c r="D28" i="7"/>
  <c r="D36" i="7"/>
  <c r="D44" i="7"/>
  <c r="C8" i="7"/>
  <c r="C16" i="7"/>
  <c r="C24" i="7"/>
  <c r="C32" i="7"/>
  <c r="C40" i="7"/>
  <c r="D30" i="7"/>
  <c r="C42" i="7"/>
  <c r="D13" i="7"/>
  <c r="D21" i="7"/>
  <c r="D29" i="7"/>
  <c r="D37" i="7"/>
  <c r="D45" i="7"/>
  <c r="C9" i="7"/>
  <c r="C17" i="7"/>
  <c r="C25" i="7"/>
  <c r="C33" i="7"/>
  <c r="C41" i="7"/>
  <c r="C49" i="7"/>
  <c r="D14" i="7"/>
  <c r="D46" i="7"/>
  <c r="C26" i="7"/>
  <c r="D8" i="7"/>
  <c r="D40" i="7"/>
  <c r="C28" i="7"/>
  <c r="D47" i="7"/>
  <c r="D24" i="7"/>
  <c r="C44" i="7"/>
  <c r="C19" i="7"/>
  <c r="D15" i="7"/>
  <c r="C35" i="7"/>
  <c r="C7" i="7"/>
  <c r="C27" i="7"/>
  <c r="D16" i="7"/>
  <c r="D48" i="7"/>
  <c r="C36" i="7"/>
  <c r="D23" i="7"/>
  <c r="C43" i="7"/>
  <c r="C12" i="7"/>
  <c r="D31" i="7"/>
  <c r="D39" i="7"/>
  <c r="D32" i="7"/>
  <c r="C20" i="7"/>
  <c r="E5" i="20" a="1"/>
  <c r="E5" i="20" l="1"/>
  <c r="F33" i="20"/>
  <c r="F5" i="20" s="1" a="1"/>
  <c r="E35" i="20"/>
  <c r="E34" i="20"/>
  <c r="N8" i="14"/>
  <c r="P8" i="14" s="1" a="1"/>
  <c r="P8" i="14" s="1"/>
  <c r="N8" i="15"/>
  <c r="P7" i="15" a="1"/>
  <c r="P7" i="15" s="1"/>
  <c r="R40" i="7"/>
  <c r="R48" i="7"/>
  <c r="R39" i="7"/>
  <c r="R31" i="7"/>
  <c r="R47" i="7"/>
  <c r="R45" i="7"/>
  <c r="R32" i="7"/>
  <c r="R46" i="7"/>
  <c r="R50" i="7"/>
  <c r="R29" i="7"/>
  <c r="R36" i="7"/>
  <c r="R44" i="7"/>
  <c r="R43" i="7"/>
  <c r="R38" i="7"/>
  <c r="R35" i="7"/>
  <c r="R49" i="7"/>
  <c r="R37" i="7"/>
  <c r="R42" i="7"/>
  <c r="R41" i="7"/>
  <c r="R30" i="7"/>
  <c r="R34" i="7"/>
  <c r="R33" i="7"/>
  <c r="R21" i="7"/>
  <c r="R7" i="7"/>
  <c r="R26" i="7"/>
  <c r="R25" i="7"/>
  <c r="R23" i="7"/>
  <c r="R14" i="7"/>
  <c r="R13" i="7"/>
  <c r="R18" i="7"/>
  <c r="R17" i="7"/>
  <c r="R8" i="7"/>
  <c r="R10" i="7"/>
  <c r="R9" i="7"/>
  <c r="R15" i="7"/>
  <c r="R28" i="7"/>
  <c r="R27" i="7"/>
  <c r="R20" i="7"/>
  <c r="R19" i="7"/>
  <c r="R22" i="7"/>
  <c r="R11" i="7"/>
  <c r="R12" i="7"/>
  <c r="R16" i="7"/>
  <c r="R24" i="7"/>
  <c r="C3" i="7"/>
  <c r="O44" i="7"/>
  <c r="O43" i="7"/>
  <c r="O47" i="7"/>
  <c r="O36" i="7"/>
  <c r="O35" i="7"/>
  <c r="O31" i="7"/>
  <c r="O30" i="7"/>
  <c r="O40" i="7"/>
  <c r="O39" i="7"/>
  <c r="O38" i="7"/>
  <c r="O32" i="7"/>
  <c r="O37" i="7"/>
  <c r="O42" i="7"/>
  <c r="O41" i="7"/>
  <c r="O48" i="7"/>
  <c r="O46" i="7"/>
  <c r="O45" i="7"/>
  <c r="O50" i="7"/>
  <c r="O49" i="7"/>
  <c r="O29" i="7"/>
  <c r="O34" i="7"/>
  <c r="O33" i="7"/>
  <c r="O24" i="7"/>
  <c r="O27" i="7"/>
  <c r="O19" i="7"/>
  <c r="O17" i="7"/>
  <c r="O15" i="7"/>
  <c r="O23" i="7"/>
  <c r="O12" i="7"/>
  <c r="O25" i="7"/>
  <c r="O16" i="7"/>
  <c r="O22" i="7"/>
  <c r="O18" i="7"/>
  <c r="O21" i="7"/>
  <c r="O28" i="7"/>
  <c r="O10" i="7"/>
  <c r="O11" i="7"/>
  <c r="O26" i="7"/>
  <c r="O8" i="7"/>
  <c r="O14" i="7"/>
  <c r="O13" i="7"/>
  <c r="O20" i="7"/>
  <c r="O7" i="7"/>
  <c r="N9" i="14" l="1"/>
  <c r="P9" i="14" s="1" a="1"/>
  <c r="P9" i="14" s="1"/>
  <c r="F5" i="20"/>
  <c r="G33" i="20"/>
  <c r="F35" i="20"/>
  <c r="F34" i="20"/>
  <c r="N9" i="15"/>
  <c r="P8" i="15" a="1"/>
  <c r="P8" i="15" s="1"/>
  <c r="N10" i="14"/>
  <c r="P10" i="14" s="1" a="1"/>
  <c r="P10" i="14" s="1"/>
  <c r="C2" i="7"/>
  <c r="G5" i="20" a="1"/>
  <c r="G5" i="20" l="1"/>
  <c r="H33" i="20"/>
  <c r="G35" i="20"/>
  <c r="G34" i="20"/>
  <c r="N10" i="15"/>
  <c r="P9" i="15" a="1"/>
  <c r="P9" i="15" s="1"/>
  <c r="N11" i="14"/>
  <c r="P11" i="14" s="1" a="1"/>
  <c r="P11" i="14" s="1"/>
  <c r="H5" i="20" a="1"/>
  <c r="H5" i="20" l="1"/>
  <c r="I33" i="20"/>
  <c r="H35" i="20"/>
  <c r="H34" i="20"/>
  <c r="N11" i="15"/>
  <c r="P10" i="15" a="1"/>
  <c r="P10" i="15" s="1"/>
  <c r="N12" i="14"/>
  <c r="P12" i="14" s="1" a="1"/>
  <c r="P12" i="14" s="1"/>
  <c r="I5" i="20" a="1"/>
  <c r="I5" i="20" l="1"/>
  <c r="I35" i="20"/>
  <c r="I34" i="20"/>
  <c r="C36" i="20"/>
  <c r="N12" i="15"/>
  <c r="P11" i="15" a="1"/>
  <c r="P11" i="15" s="1"/>
  <c r="N13" i="14"/>
  <c r="P13" i="14" s="1" a="1"/>
  <c r="P13" i="14" s="1"/>
  <c r="C8" i="20" a="1"/>
  <c r="C8" i="20" l="1"/>
  <c r="D36" i="20"/>
  <c r="C37" i="20"/>
  <c r="C38" i="20"/>
  <c r="N13" i="15"/>
  <c r="P12" i="15" a="1"/>
  <c r="P12" i="15" s="1"/>
  <c r="N14" i="14"/>
  <c r="P14" i="14" s="1" a="1"/>
  <c r="P14" i="14" s="1"/>
  <c r="D8" i="20" a="1"/>
  <c r="D8" i="20" l="1"/>
  <c r="E36" i="20"/>
  <c r="D37" i="20"/>
  <c r="D38" i="20"/>
  <c r="N14" i="15"/>
  <c r="P13" i="15" a="1"/>
  <c r="P13" i="15" s="1"/>
  <c r="N15" i="14"/>
  <c r="P15" i="14" s="1" a="1"/>
  <c r="P15" i="14" s="1"/>
  <c r="E8" i="20" a="1"/>
  <c r="E8" i="20" l="1"/>
  <c r="F36" i="20"/>
  <c r="E38" i="20"/>
  <c r="E37" i="20"/>
  <c r="N15" i="15"/>
  <c r="P14" i="15" a="1"/>
  <c r="P14" i="15" s="1"/>
  <c r="N16" i="14"/>
  <c r="P16" i="14" s="1" a="1"/>
  <c r="P16" i="14" s="1"/>
  <c r="F8" i="20" a="1"/>
  <c r="F8" i="20" l="1"/>
  <c r="G36" i="20"/>
  <c r="F38" i="20"/>
  <c r="F37" i="20"/>
  <c r="N16" i="15"/>
  <c r="P15" i="15" a="1"/>
  <c r="P15" i="15" s="1"/>
  <c r="N17" i="14"/>
  <c r="P17" i="14" s="1" a="1"/>
  <c r="P17" i="14" s="1"/>
  <c r="G8" i="20" a="1"/>
  <c r="G8" i="20" l="1"/>
  <c r="H36" i="20"/>
  <c r="G38" i="20"/>
  <c r="G37" i="20"/>
  <c r="N17" i="15"/>
  <c r="P16" i="15" a="1"/>
  <c r="P16" i="15" s="1"/>
  <c r="N18" i="14"/>
  <c r="P18" i="14" s="1" a="1"/>
  <c r="P18" i="14" s="1"/>
  <c r="H8" i="20" a="1"/>
  <c r="H8" i="20" l="1"/>
  <c r="I36" i="20"/>
  <c r="H38" i="20"/>
  <c r="H37" i="20"/>
  <c r="N18" i="15"/>
  <c r="P17" i="15" a="1"/>
  <c r="P17" i="15" s="1"/>
  <c r="N19" i="14"/>
  <c r="P19" i="14" s="1" a="1"/>
  <c r="P19" i="14" s="1"/>
  <c r="I8" i="20" a="1"/>
  <c r="I8" i="20" l="1"/>
  <c r="C39" i="20"/>
  <c r="I38" i="20"/>
  <c r="I37" i="20"/>
  <c r="N19" i="15"/>
  <c r="P18" i="15" a="1"/>
  <c r="P18" i="15" s="1"/>
  <c r="N20" i="14"/>
  <c r="P20" i="14" s="1" a="1"/>
  <c r="P20" i="14" s="1"/>
  <c r="C11" i="20" a="1"/>
  <c r="C11" i="20" l="1"/>
  <c r="D39" i="20"/>
  <c r="C40" i="20"/>
  <c r="C41" i="20"/>
  <c r="N20" i="15"/>
  <c r="P19" i="15" a="1"/>
  <c r="P19" i="15" s="1"/>
  <c r="N21" i="14"/>
  <c r="P21" i="14" s="1" a="1"/>
  <c r="P21" i="14" s="1"/>
  <c r="D11" i="20" a="1"/>
  <c r="D11" i="20" l="1"/>
  <c r="E39" i="20"/>
  <c r="D40" i="20"/>
  <c r="D41" i="20"/>
  <c r="N21" i="15"/>
  <c r="P20" i="15" a="1"/>
  <c r="P20" i="15" s="1"/>
  <c r="N22" i="14"/>
  <c r="P22" i="14" s="1" a="1"/>
  <c r="P22" i="14" s="1"/>
  <c r="E11" i="20" a="1"/>
  <c r="E11" i="20" l="1"/>
  <c r="F39" i="20"/>
  <c r="E41" i="20"/>
  <c r="E40" i="20"/>
  <c r="N22" i="15"/>
  <c r="P21" i="15" a="1"/>
  <c r="P21" i="15" s="1"/>
  <c r="N23" i="14"/>
  <c r="P23" i="14" s="1" a="1"/>
  <c r="P23" i="14" s="1"/>
  <c r="F11" i="20" a="1"/>
  <c r="F11" i="20" l="1"/>
  <c r="G39" i="20"/>
  <c r="F40" i="20"/>
  <c r="F41" i="20"/>
  <c r="N23" i="15"/>
  <c r="P22" i="15" a="1"/>
  <c r="P22" i="15" s="1"/>
  <c r="N24" i="14"/>
  <c r="P24" i="14" s="1" a="1"/>
  <c r="P24" i="14" s="1"/>
  <c r="G11" i="20" a="1"/>
  <c r="G11" i="20" l="1"/>
  <c r="H39" i="20"/>
  <c r="G40" i="20"/>
  <c r="G41" i="20"/>
  <c r="N24" i="15"/>
  <c r="P23" i="15" a="1"/>
  <c r="P23" i="15" s="1"/>
  <c r="N25" i="14"/>
  <c r="P25" i="14" s="1" a="1"/>
  <c r="P25" i="14" s="1"/>
  <c r="H11" i="20" a="1"/>
  <c r="H11" i="20" l="1"/>
  <c r="I39" i="20"/>
  <c r="H40" i="20"/>
  <c r="H41" i="20"/>
  <c r="N25" i="15"/>
  <c r="P24" i="15" a="1"/>
  <c r="P24" i="15" s="1"/>
  <c r="N26" i="14"/>
  <c r="P26" i="14" s="1" a="1"/>
  <c r="P26" i="14" s="1"/>
  <c r="I11" i="20" a="1"/>
  <c r="I11" i="20" l="1"/>
  <c r="I40" i="20"/>
  <c r="C42" i="20"/>
  <c r="I41" i="20"/>
  <c r="N26" i="15"/>
  <c r="P25" i="15" a="1"/>
  <c r="P25" i="15" s="1"/>
  <c r="N27" i="14"/>
  <c r="P27" i="14" s="1" a="1"/>
  <c r="P27" i="14" s="1"/>
  <c r="C14" i="20" a="1"/>
  <c r="C14" i="20" l="1"/>
  <c r="D42" i="20"/>
  <c r="C44" i="20"/>
  <c r="C43" i="20"/>
  <c r="N27" i="15"/>
  <c r="P26" i="15" a="1"/>
  <c r="P26" i="15" s="1"/>
  <c r="N28" i="14"/>
  <c r="P28" i="14" s="1" a="1"/>
  <c r="P28" i="14" s="1"/>
  <c r="D14" i="20" a="1"/>
  <c r="D14" i="20" l="1"/>
  <c r="E42" i="20"/>
  <c r="D44" i="20"/>
  <c r="D43" i="20"/>
  <c r="N28" i="15"/>
  <c r="P27" i="15" a="1"/>
  <c r="P27" i="15" s="1"/>
  <c r="N29" i="14"/>
  <c r="P29" i="14" s="1" a="1"/>
  <c r="P29" i="14" s="1"/>
  <c r="E14" i="20" a="1"/>
  <c r="E14" i="20" l="1"/>
  <c r="F42" i="20"/>
  <c r="E43" i="20"/>
  <c r="E44" i="20"/>
  <c r="N29" i="15"/>
  <c r="P28" i="15" a="1"/>
  <c r="P28" i="15" s="1"/>
  <c r="N30" i="14"/>
  <c r="P30" i="14" s="1" a="1"/>
  <c r="P30" i="14" s="1"/>
  <c r="F14" i="20" a="1"/>
  <c r="F14" i="20" l="1"/>
  <c r="G42" i="20"/>
  <c r="F44" i="20"/>
  <c r="F43" i="20"/>
  <c r="N30" i="15"/>
  <c r="P29" i="15" a="1"/>
  <c r="P29" i="15" s="1"/>
  <c r="N31" i="14"/>
  <c r="P31" i="14" s="1" a="1"/>
  <c r="P31" i="14" s="1"/>
  <c r="G14" i="20" a="1"/>
  <c r="G14" i="20" l="1"/>
  <c r="H42" i="20"/>
  <c r="G43" i="20"/>
  <c r="G44" i="20"/>
  <c r="N31" i="15"/>
  <c r="P30" i="15" a="1"/>
  <c r="P30" i="15" s="1"/>
  <c r="N32" i="14"/>
  <c r="P32" i="14" s="1" a="1"/>
  <c r="P32" i="14" s="1"/>
  <c r="H14" i="20" a="1"/>
  <c r="H14" i="20" l="1"/>
  <c r="I42" i="20"/>
  <c r="H44" i="20"/>
  <c r="H43" i="20"/>
  <c r="N32" i="15"/>
  <c r="P31" i="15" a="1"/>
  <c r="P31" i="15" s="1"/>
  <c r="N33" i="14"/>
  <c r="P33" i="14" s="1" a="1"/>
  <c r="P33" i="14" s="1"/>
  <c r="I14" i="20" a="1"/>
  <c r="I14" i="20" l="1"/>
  <c r="I44" i="20"/>
  <c r="I43" i="20"/>
  <c r="C45" i="20"/>
  <c r="N33" i="15"/>
  <c r="P32" i="15" a="1"/>
  <c r="P32" i="15" s="1"/>
  <c r="N34" i="14"/>
  <c r="P34" i="14" s="1" a="1"/>
  <c r="P34" i="14" s="1"/>
  <c r="C17" i="20" a="1"/>
  <c r="C17" i="20" l="1"/>
  <c r="D45" i="20"/>
  <c r="C47" i="20"/>
  <c r="C46" i="20"/>
  <c r="N34" i="15"/>
  <c r="P33" i="15" a="1"/>
  <c r="P33" i="15" s="1"/>
  <c r="N35" i="14"/>
  <c r="P35" i="14" s="1" a="1"/>
  <c r="P35" i="14" s="1"/>
  <c r="D17" i="20" a="1"/>
  <c r="D17" i="20" l="1"/>
  <c r="E45" i="20"/>
  <c r="D46" i="20"/>
  <c r="D47" i="20"/>
  <c r="N35" i="15"/>
  <c r="P34" i="15" a="1"/>
  <c r="P34" i="15" s="1"/>
  <c r="N36" i="14"/>
  <c r="P36" i="14" s="1" a="1"/>
  <c r="P36" i="14" s="1"/>
  <c r="E17" i="20" a="1"/>
  <c r="E17" i="20" l="1"/>
  <c r="F45" i="20"/>
  <c r="E47" i="20"/>
  <c r="E46" i="20"/>
  <c r="N36" i="15"/>
  <c r="P35" i="15" a="1"/>
  <c r="P35" i="15" s="1"/>
  <c r="N37" i="14"/>
  <c r="P37" i="14" s="1" a="1"/>
  <c r="P37" i="14" s="1"/>
  <c r="F17" i="20" a="1"/>
  <c r="F17" i="20" l="1"/>
  <c r="G45" i="20"/>
  <c r="F47" i="20"/>
  <c r="F46" i="20"/>
  <c r="N37" i="15"/>
  <c r="P36" i="15" a="1"/>
  <c r="P36" i="15" s="1"/>
  <c r="N38" i="14"/>
  <c r="P38" i="14" s="1" a="1"/>
  <c r="P38" i="14" s="1"/>
  <c r="G17" i="20" a="1"/>
  <c r="G17" i="20" l="1"/>
  <c r="H45" i="20"/>
  <c r="G47" i="20"/>
  <c r="G46" i="20"/>
  <c r="N38" i="15"/>
  <c r="P37" i="15" a="1"/>
  <c r="P37" i="15" s="1"/>
  <c r="N39" i="14"/>
  <c r="P39" i="14" s="1" a="1"/>
  <c r="P39" i="14" s="1"/>
  <c r="H17" i="20" a="1"/>
  <c r="H17" i="20" l="1"/>
  <c r="I45" i="20"/>
  <c r="H47" i="20"/>
  <c r="H46" i="20"/>
  <c r="N39" i="15"/>
  <c r="P38" i="15" a="1"/>
  <c r="P38" i="15" s="1"/>
  <c r="N40" i="14"/>
  <c r="P40" i="14" s="1" a="1"/>
  <c r="P40" i="14" s="1"/>
  <c r="I17" i="20" a="1"/>
  <c r="I17" i="20" l="1"/>
  <c r="C48" i="20"/>
  <c r="I46" i="20"/>
  <c r="I47" i="20"/>
  <c r="N40" i="15"/>
  <c r="P39" i="15" a="1"/>
  <c r="P39" i="15" s="1"/>
  <c r="N41" i="14"/>
  <c r="P41" i="14" s="1" a="1"/>
  <c r="P41" i="14" s="1"/>
  <c r="C20" i="20" l="1" a="1"/>
  <c r="C20" i="20" s="1"/>
  <c r="D48" i="20"/>
  <c r="C49" i="20"/>
  <c r="C50" i="20"/>
  <c r="N41" i="15"/>
  <c r="P41" i="15" s="1" a="1"/>
  <c r="P41" i="15" s="1"/>
  <c r="P40" i="15" a="1"/>
  <c r="P40" i="15" s="1"/>
  <c r="D20" i="20" l="1" a="1"/>
  <c r="D20" i="20" s="1"/>
  <c r="E48" i="20"/>
  <c r="D49" i="20"/>
  <c r="D50" i="20"/>
  <c r="D4" i="3"/>
  <c r="H7" i="1"/>
  <c r="E20" i="20" l="1" a="1"/>
  <c r="E20" i="20" s="1"/>
  <c r="F48" i="20"/>
  <c r="E50" i="20"/>
  <c r="E49" i="20"/>
  <c r="F20" i="20" l="1" a="1"/>
  <c r="F20" i="20" s="1"/>
  <c r="G48" i="20"/>
  <c r="F49" i="20"/>
  <c r="F50" i="20"/>
  <c r="G20" i="20" l="1" a="1"/>
  <c r="G20" i="20" s="1"/>
  <c r="H48" i="20"/>
  <c r="G49" i="20"/>
  <c r="G50" i="20"/>
  <c r="H20" i="20" l="1" a="1"/>
  <c r="H20" i="20" s="1"/>
  <c r="I48" i="20"/>
  <c r="H50" i="20"/>
  <c r="H49" i="20"/>
  <c r="I20" i="20" l="1" a="1"/>
  <c r="I20" i="20" s="1"/>
  <c r="I50" i="20"/>
  <c r="I49"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<sst xmlns="http://schemas.openxmlformats.org/spreadsheetml/2006/main" count="2913" uniqueCount="1177">
  <si>
    <t>Date</t>
  </si>
  <si>
    <t>Sponsored followers</t>
  </si>
  <si>
    <t>Organic followers</t>
  </si>
  <si>
    <t>Total followers</t>
  </si>
  <si>
    <t>월</t>
    <phoneticPr fontId="2" type="noConversion"/>
  </si>
  <si>
    <t>오가닉</t>
    <phoneticPr fontId="2" type="noConversion"/>
  </si>
  <si>
    <t>광고</t>
    <phoneticPr fontId="2" type="noConversion"/>
  </si>
  <si>
    <t>총 팔로워</t>
    <phoneticPr fontId="2" type="noConversion"/>
  </si>
  <si>
    <t>월</t>
    <phoneticPr fontId="2" type="noConversion"/>
  </si>
  <si>
    <t>총합계</t>
    <phoneticPr fontId="2" type="noConversion"/>
  </si>
  <si>
    <t>복사용 (값만 붙여넣기!)</t>
    <phoneticPr fontId="2" type="noConversion"/>
  </si>
  <si>
    <t>월</t>
    <phoneticPr fontId="2" type="noConversion"/>
  </si>
  <si>
    <t>총합계</t>
    <phoneticPr fontId="2" type="noConversion"/>
  </si>
  <si>
    <t>전월+오가닉</t>
    <phoneticPr fontId="2" type="noConversion"/>
  </si>
  <si>
    <t>*SK 하이닉스 링크드인 페이지</t>
  </si>
  <si>
    <t>*SK 하이닉스 링크드인 페이지</t>
    <phoneticPr fontId="2" type="noConversion"/>
  </si>
  <si>
    <t>당월</t>
    <phoneticPr fontId="2" type="noConversion"/>
  </si>
  <si>
    <t>표-당월</t>
    <phoneticPr fontId="2" type="noConversion"/>
  </si>
  <si>
    <t>표-전월</t>
    <phoneticPr fontId="2" type="noConversion"/>
  </si>
  <si>
    <t>페이지 관련 지표 증감 (전월 대비)</t>
    <phoneticPr fontId="2" type="noConversion"/>
  </si>
  <si>
    <t>콘텐츠 관련 오가닉 지표 증감 (전월 대비)</t>
    <phoneticPr fontId="2" type="noConversion"/>
  </si>
  <si>
    <t>이탈자</t>
    <phoneticPr fontId="2" type="noConversion"/>
  </si>
  <si>
    <t>위 표 왼쪽에 값붙하고 나면 총합계, 전월오가닉 없어짐</t>
    <phoneticPr fontId="2" type="noConversion"/>
  </si>
  <si>
    <t>Post title</t>
  </si>
  <si>
    <t>Campaign name</t>
  </si>
  <si>
    <t>Created date</t>
  </si>
  <si>
    <t>Campaign start date</t>
  </si>
  <si>
    <t>Campaign end date</t>
  </si>
  <si>
    <t>Audience</t>
  </si>
  <si>
    <t>Impressions</t>
  </si>
  <si>
    <t>Clicks</t>
  </si>
  <si>
    <t>Click through rate (CTR)</t>
  </si>
  <si>
    <t>Likes</t>
  </si>
  <si>
    <t>Comments</t>
  </si>
  <si>
    <t>Reposts</t>
  </si>
  <si>
    <t>Follows</t>
  </si>
  <si>
    <t>Content Type</t>
  </si>
  <si>
    <t>Organic</t>
  </si>
  <si>
    <t/>
  </si>
  <si>
    <t>All followers</t>
  </si>
  <si>
    <t>Video</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</si>
  <si>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</si>
  <si>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</si>
  <si>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</si>
  <si>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</si>
  <si>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</si>
  <si>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</si>
  <si>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</si>
  <si>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</si>
  <si>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</si>
  <si>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</si>
  <si>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</si>
  <si>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</si>
  <si>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</si>
  <si>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</si>
  <si>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</si>
  <si>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</si>
  <si>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</si>
  <si>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</si>
  <si>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</si>
  <si>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</si>
  <si>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</si>
  <si>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</si>
  <si>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</si>
  <si>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</si>
  <si>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총 PV</t>
    <phoneticPr fontId="2" type="noConversion"/>
  </si>
  <si>
    <t>총 UV</t>
    <phoneticPr fontId="2" type="noConversion"/>
  </si>
  <si>
    <t>PC PV</t>
    <phoneticPr fontId="2" type="noConversion"/>
  </si>
  <si>
    <t>모바일 PV</t>
    <phoneticPr fontId="2" type="noConversion"/>
  </si>
  <si>
    <t>#</t>
  </si>
  <si>
    <t>Source</t>
  </si>
  <si>
    <t>Contents</t>
  </si>
  <si>
    <t>Category</t>
  </si>
  <si>
    <r>
      <t xml:space="preserve">CTR </t>
    </r>
    <r>
      <rPr>
        <b/>
        <sz val="7"/>
        <color rgb="FF000000"/>
        <rFont val="나눔바른고딕"/>
        <family val="3"/>
        <charset val="129"/>
      </rPr>
      <t>(%)</t>
    </r>
  </si>
  <si>
    <t>Like</t>
  </si>
  <si>
    <t>Share</t>
  </si>
  <si>
    <t>Engagements</t>
  </si>
  <si>
    <t>Engagement Rate (%)</t>
    <phoneticPr fontId="2" type="noConversion"/>
  </si>
  <si>
    <t xml:space="preserve">    Date</t>
    <phoneticPr fontId="2" type="noConversion"/>
  </si>
  <si>
    <t>DESKTOP</t>
    <phoneticPr fontId="2" type="noConversion"/>
  </si>
  <si>
    <t>MOBILE</t>
    <phoneticPr fontId="2" type="noConversion"/>
  </si>
  <si>
    <t>* Impression 수 Top 5 콘텐츠 게재 일자 표시</t>
  </si>
  <si>
    <t>전월이탈자</t>
    <phoneticPr fontId="2" type="noConversion"/>
  </si>
  <si>
    <t xml:space="preserve"> </t>
    <phoneticPr fontId="2" type="noConversion"/>
  </si>
  <si>
    <t>ER설정</t>
    <phoneticPr fontId="2" type="noConversion"/>
  </si>
  <si>
    <t>최종순위</t>
    <phoneticPr fontId="2" type="noConversion"/>
  </si>
  <si>
    <t>engagement</t>
    <phoneticPr fontId="2" type="noConversion"/>
  </si>
  <si>
    <t>유튜브?</t>
    <phoneticPr fontId="2" type="noConversion"/>
  </si>
  <si>
    <t>업로드?</t>
    <phoneticPr fontId="2" type="noConversion"/>
  </si>
  <si>
    <t>업로드?</t>
    <phoneticPr fontId="2" type="noConversion"/>
  </si>
  <si>
    <t>광고 집행 시작일</t>
    <phoneticPr fontId="2"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</si>
  <si>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</si>
  <si>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</si>
  <si>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</si>
  <si>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</si>
  <si>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</si>
  <si>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</si>
  <si>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</si>
  <si>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</si>
  <si>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</si>
  <si>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</si>
  <si>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</si>
  <si>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</si>
  <si>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</si>
  <si>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</si>
  <si>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</si>
  <si>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</si>
  <si>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</si>
  <si>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</si>
  <si>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</si>
  <si>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contents</t>
    <phoneticPr fontId="2" type="noConversion"/>
  </si>
  <si>
    <t>카테고리</t>
    <phoneticPr fontId="2" type="noConversion"/>
  </si>
  <si>
    <t>오가닉</t>
    <phoneticPr fontId="2" type="noConversion"/>
  </si>
  <si>
    <t>좋아요</t>
    <phoneticPr fontId="2" type="noConversion"/>
  </si>
  <si>
    <t xml:space="preserve"> </t>
    <phoneticPr fontId="2" type="noConversion"/>
  </si>
  <si>
    <t>목</t>
  </si>
  <si>
    <t>화</t>
  </si>
  <si>
    <t>금</t>
  </si>
  <si>
    <t>수</t>
  </si>
  <si>
    <t>월</t>
  </si>
  <si>
    <t>목</t>
    <phoneticPr fontId="2" type="noConversion"/>
  </si>
  <si>
    <t>금</t>
    <phoneticPr fontId="2" type="noConversion"/>
  </si>
  <si>
    <t>토</t>
  </si>
  <si>
    <t>토</t>
    <phoneticPr fontId="2" type="noConversion"/>
  </si>
  <si>
    <t>일</t>
  </si>
  <si>
    <t>일</t>
    <phoneticPr fontId="2" type="noConversion"/>
  </si>
  <si>
    <t>화</t>
    <phoneticPr fontId="2" type="noConversion"/>
  </si>
  <si>
    <t>1월</t>
    <phoneticPr fontId="2" type="noConversion"/>
  </si>
  <si>
    <t>12월</t>
    <phoneticPr fontId="2" type="noConversion"/>
  </si>
  <si>
    <t>첫째주</t>
    <phoneticPr fontId="2" type="noConversion"/>
  </si>
  <si>
    <t>셋째주</t>
    <phoneticPr fontId="2" type="noConversion"/>
  </si>
  <si>
    <t>둘째주</t>
    <phoneticPr fontId="2" type="noConversion"/>
  </si>
  <si>
    <t>넷째주</t>
    <phoneticPr fontId="2" type="noConversion"/>
  </si>
  <si>
    <t>다섯째주</t>
    <phoneticPr fontId="2" type="noConversion"/>
  </si>
  <si>
    <t>날짜</t>
  </si>
  <si>
    <t>날짜</t>
    <phoneticPr fontId="2" type="noConversion"/>
  </si>
  <si>
    <t>요일</t>
  </si>
  <si>
    <t>요일</t>
    <phoneticPr fontId="2" type="noConversion"/>
  </si>
  <si>
    <t>수치</t>
  </si>
  <si>
    <t>수치</t>
    <phoneticPr fontId="2" type="noConversion"/>
  </si>
  <si>
    <t>주차</t>
    <phoneticPr fontId="2" type="noConversion"/>
  </si>
  <si>
    <t>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t>
    <phoneticPr fontId="2" type="noConversion"/>
  </si>
  <si>
    <t>Total</t>
  </si>
  <si>
    <r>
      <t>10</t>
    </r>
    <r>
      <rPr>
        <sz val="10"/>
        <rFont val="돋움"/>
        <family val="3"/>
        <charset val="129"/>
      </rPr>
      <t>월</t>
    </r>
  </si>
  <si>
    <r>
      <t>11</t>
    </r>
    <r>
      <rPr>
        <sz val="10"/>
        <rFont val="돋움"/>
        <family val="3"/>
        <charset val="129"/>
      </rPr>
      <t>월</t>
    </r>
  </si>
  <si>
    <r>
      <t>12</t>
    </r>
    <r>
      <rPr>
        <sz val="10"/>
        <rFont val="돋움"/>
        <family val="3"/>
        <charset val="129"/>
      </rPr>
      <t>월</t>
    </r>
  </si>
  <si>
    <t>Total Page Views</t>
  </si>
  <si>
    <t>PC Page Views</t>
  </si>
  <si>
    <t>Mobile Page Views</t>
  </si>
  <si>
    <t>Total Page Visitors</t>
  </si>
  <si>
    <t>콘텐츠 건 수</t>
    <phoneticPr fontId="2" type="noConversion"/>
  </si>
  <si>
    <t>1월</t>
  </si>
  <si>
    <t>Impression</t>
  </si>
  <si>
    <t>Engagement</t>
  </si>
  <si>
    <t>Job Function</t>
    <phoneticPr fontId="2" type="noConversion"/>
  </si>
  <si>
    <t>Job function</t>
  </si>
  <si>
    <t>Total views</t>
  </si>
  <si>
    <t>Industry</t>
  </si>
  <si>
    <t>Industry</t>
    <phoneticPr fontId="2" type="noConversion"/>
  </si>
  <si>
    <t>Total Views</t>
    <phoneticPr fontId="2" type="noConversion"/>
  </si>
  <si>
    <t>Percentage</t>
    <phoneticPr fontId="2" type="noConversion"/>
  </si>
  <si>
    <t>조회 수</t>
    <phoneticPr fontId="2" type="noConversion"/>
  </si>
  <si>
    <t>노출 수</t>
    <phoneticPr fontId="2" type="noConversion"/>
  </si>
  <si>
    <t>조회수 반영 E/R</t>
    <phoneticPr fontId="2" type="noConversion"/>
  </si>
  <si>
    <t>1주차</t>
    <phoneticPr fontId="2" type="noConversion"/>
  </si>
  <si>
    <t>유형</t>
    <phoneticPr fontId="2" type="noConversion"/>
  </si>
  <si>
    <t>2주차</t>
    <phoneticPr fontId="2" type="noConversion"/>
  </si>
  <si>
    <t>3주차</t>
    <phoneticPr fontId="2" type="noConversion"/>
  </si>
  <si>
    <t>4주차</t>
    <phoneticPr fontId="2" type="noConversion"/>
  </si>
  <si>
    <t>5주차</t>
    <phoneticPr fontId="2" type="noConversion"/>
  </si>
  <si>
    <t>수</t>
    <phoneticPr fontId="2" type="noConversion"/>
  </si>
  <si>
    <t>6주차</t>
    <phoneticPr fontId="2" type="noConversion"/>
  </si>
  <si>
    <t>조회 Top 1</t>
    <phoneticPr fontId="2" type="noConversion"/>
  </si>
  <si>
    <t>조회 Top 2</t>
    <phoneticPr fontId="2" type="noConversion"/>
  </si>
  <si>
    <t>조회 Top 3</t>
    <phoneticPr fontId="2" type="noConversion"/>
  </si>
  <si>
    <t>조회 Top 4</t>
    <phoneticPr fontId="2" type="noConversion"/>
  </si>
  <si>
    <t>조회 Top 5</t>
    <phoneticPr fontId="2" type="noConversion"/>
  </si>
  <si>
    <t>New Followers</t>
  </si>
  <si>
    <t>SK hynix</t>
  </si>
  <si>
    <t>Micron Technology</t>
  </si>
  <si>
    <t>Intel Corporation</t>
  </si>
  <si>
    <t>KIOXIA America, Inc.</t>
  </si>
  <si>
    <t>Western Digital</t>
  </si>
  <si>
    <t>SK hynix America</t>
  </si>
  <si>
    <t>Solidigm</t>
  </si>
  <si>
    <t>Samsung Semiconductor</t>
  </si>
  <si>
    <t>NVIDIA</t>
  </si>
  <si>
    <t>기업명</t>
    <phoneticPr fontId="2" type="noConversion"/>
  </si>
  <si>
    <t>No.</t>
    <phoneticPr fontId="2" type="noConversion"/>
  </si>
  <si>
    <t>자동생성열</t>
    <phoneticPr fontId="2" type="noConversion"/>
  </si>
  <si>
    <t>Post link</t>
  </si>
  <si>
    <t>Post type</t>
  </si>
  <si>
    <t>Posted by</t>
  </si>
  <si>
    <t>Offsite Views</t>
  </si>
  <si>
    <t>간단한 제목</t>
    <phoneticPr fontId="2" type="noConversion"/>
  </si>
  <si>
    <t>소스</t>
    <phoneticPr fontId="2" type="noConversion"/>
  </si>
  <si>
    <t>2월</t>
  </si>
  <si>
    <t>2월</t>
    <phoneticPr fontId="2" type="noConversion"/>
  </si>
  <si>
    <t>당월 복붙용</t>
    <phoneticPr fontId="2" type="noConversion"/>
  </si>
  <si>
    <t>Total page views (desktop)</t>
    <phoneticPr fontId="2" type="noConversion"/>
  </si>
  <si>
    <t>No.</t>
  </si>
  <si>
    <t>국가명</t>
  </si>
  <si>
    <t>India</t>
  </si>
  <si>
    <t>China</t>
  </si>
  <si>
    <t>Taiwan</t>
  </si>
  <si>
    <t>Italy</t>
  </si>
  <si>
    <t>United Kingdom</t>
  </si>
  <si>
    <t>Netherlands</t>
  </si>
  <si>
    <t>국가명</t>
    <phoneticPr fontId="2" type="noConversion"/>
  </si>
  <si>
    <t>visitors location</t>
    <phoneticPr fontId="2" type="noConversion"/>
  </si>
  <si>
    <t>visitors total view</t>
    <phoneticPr fontId="2" type="noConversion"/>
  </si>
  <si>
    <t>followers location</t>
    <phoneticPr fontId="2" type="noConversion"/>
  </si>
  <si>
    <t>followers number</t>
    <phoneticPr fontId="2" type="noConversion"/>
  </si>
  <si>
    <t>Austria</t>
    <phoneticPr fontId="2" type="noConversion"/>
  </si>
  <si>
    <t>Bulgaria</t>
    <phoneticPr fontId="2" type="noConversion"/>
  </si>
  <si>
    <t>Hungary</t>
    <phoneticPr fontId="2" type="noConversion"/>
  </si>
  <si>
    <t>Slovak Republic</t>
    <phoneticPr fontId="2" type="noConversion"/>
  </si>
  <si>
    <t>Canada</t>
    <phoneticPr fontId="2" type="noConversion"/>
  </si>
  <si>
    <t>Singapore</t>
    <phoneticPr fontId="2" type="noConversion"/>
  </si>
  <si>
    <t>Louisiana</t>
  </si>
  <si>
    <t>Australia</t>
  </si>
  <si>
    <t>Belgium</t>
  </si>
  <si>
    <t>Switzerland</t>
  </si>
  <si>
    <t>Germany</t>
  </si>
  <si>
    <t>Spain</t>
  </si>
  <si>
    <t>France</t>
  </si>
  <si>
    <t>Norway</t>
  </si>
  <si>
    <t>Mexico</t>
  </si>
  <si>
    <t>Brazil</t>
  </si>
  <si>
    <t>Portugal</t>
  </si>
  <si>
    <t>Romania</t>
  </si>
  <si>
    <t>Turkey</t>
  </si>
  <si>
    <t>Japan</t>
  </si>
  <si>
    <t>Korea</t>
  </si>
  <si>
    <t>Malaysia</t>
  </si>
  <si>
    <t>Moldova</t>
  </si>
  <si>
    <t>Sweden</t>
  </si>
  <si>
    <t>Poland</t>
  </si>
  <si>
    <t>Indonesia</t>
  </si>
  <si>
    <t>Czech Republic</t>
  </si>
  <si>
    <t>Philippines</t>
  </si>
  <si>
    <t>Thailand</t>
  </si>
  <si>
    <t>Denmark</t>
  </si>
  <si>
    <t>Finland</t>
  </si>
  <si>
    <t>Colombia</t>
  </si>
  <si>
    <t>Morocco</t>
  </si>
  <si>
    <t>Ireland</t>
  </si>
  <si>
    <t>Pakistan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</si>
  <si>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</si>
  <si>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</si>
  <si>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</si>
  <si>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</si>
  <si>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</si>
  <si>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</si>
  <si>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</si>
  <si>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</si>
  <si>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</si>
  <si>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</si>
  <si>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</si>
  <si>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</si>
  <si>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</si>
  <si>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</si>
  <si>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</si>
  <si>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</si>
  <si>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</si>
  <si>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</si>
  <si>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</si>
  <si>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</si>
  <si>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</si>
  <si>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</si>
  <si>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</si>
  <si>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</si>
  <si>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</si>
  <si>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</si>
  <si>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</si>
  <si>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</si>
  <si>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</si>
  <si>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</si>
  <si>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</si>
  <si>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</si>
  <si>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</si>
  <si>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</si>
  <si>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</si>
  <si>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</si>
  <si>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</si>
  <si>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</si>
  <si>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</si>
  <si>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</si>
  <si>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</si>
  <si>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</si>
  <si>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</si>
  <si>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</si>
  <si>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</si>
  <si>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</si>
  <si>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</si>
  <si>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</si>
  <si>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</si>
  <si>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Hong Kong</t>
    <phoneticPr fontId="2" type="noConversion"/>
  </si>
  <si>
    <t>국가이름</t>
    <phoneticPr fontId="2" type="noConversion"/>
  </si>
  <si>
    <t>미국지역</t>
    <phoneticPr fontId="2" type="noConversion"/>
  </si>
  <si>
    <t>Egypt</t>
    <phoneticPr fontId="2" type="noConversion"/>
  </si>
  <si>
    <t>Argentina</t>
    <phoneticPr fontId="2" type="noConversion"/>
  </si>
  <si>
    <t>Kenya</t>
    <phoneticPr fontId="2" type="noConversion"/>
  </si>
  <si>
    <t>Chile</t>
    <phoneticPr fontId="2" type="noConversion"/>
  </si>
  <si>
    <t>Vietnam</t>
    <phoneticPr fontId="2" type="noConversion"/>
  </si>
  <si>
    <t>Peru</t>
    <phoneticPr fontId="2" type="noConversion"/>
  </si>
  <si>
    <t>South Africa</t>
    <phoneticPr fontId="2" type="noConversion"/>
  </si>
  <si>
    <t>Afghanistan</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</si>
  <si>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</si>
  <si>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</si>
  <si>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</si>
  <si>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</si>
  <si>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</si>
  <si>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</si>
  <si>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</si>
  <si>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</si>
  <si>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</si>
  <si>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</si>
  <si>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</si>
  <si>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</si>
  <si>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</si>
  <si>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</si>
  <si>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</si>
  <si>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</si>
  <si>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</si>
  <si>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</si>
  <si>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</si>
  <si>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</si>
  <si>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</si>
  <si>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</si>
  <si>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</si>
  <si>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</si>
  <si>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</si>
  <si>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</si>
  <si>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</si>
  <si>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</si>
  <si>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</si>
  <si>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</si>
  <si>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</si>
  <si>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</si>
  <si>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</si>
  <si>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</si>
  <si>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</si>
  <si>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</si>
  <si>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</si>
  <si>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</si>
  <si>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</si>
  <si>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</si>
  <si>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</si>
  <si>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</si>
  <si>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</si>
  <si>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</si>
  <si>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</si>
  <si>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</si>
  <si>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</si>
  <si>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</si>
  <si>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</si>
  <si>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</si>
  <si>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</si>
  <si>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</si>
  <si>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</si>
  <si>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</si>
  <si>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</si>
  <si>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</si>
  <si>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</si>
  <si>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</si>
  <si>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</si>
  <si>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</si>
  <si>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</si>
  <si>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</si>
  <si>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</si>
  <si>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</si>
  <si>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</si>
  <si>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</si>
  <si>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</si>
  <si>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</si>
  <si>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</si>
  <si>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</si>
  <si>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</si>
  <si>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</si>
  <si>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</si>
  <si>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</si>
  <si>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</si>
  <si>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</si>
  <si>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</si>
  <si>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</si>
  <si>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</si>
  <si>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</si>
  <si>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</si>
  <si>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</si>
  <si>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</si>
  <si>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</si>
  <si>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</si>
  <si>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</si>
  <si>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</si>
  <si>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</si>
  <si>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</si>
  <si>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</si>
  <si>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</si>
  <si>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</si>
  <si>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</si>
  <si>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</si>
  <si>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</si>
  <si>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</si>
  <si>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</si>
  <si>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</si>
  <si>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</si>
  <si>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</si>
  <si>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</si>
  <si>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</si>
  <si>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</si>
  <si>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</si>
  <si>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</si>
  <si>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</si>
  <si>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</si>
  <si>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</si>
  <si>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</si>
  <si>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</si>
  <si>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</si>
  <si>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</si>
  <si>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</si>
  <si>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</si>
  <si>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</si>
  <si>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</si>
  <si>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</si>
  <si>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</si>
  <si>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</si>
  <si>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</si>
  <si>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</si>
  <si>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</si>
  <si>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</si>
  <si>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</si>
  <si>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</si>
  <si>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</si>
  <si>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</si>
  <si>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</si>
  <si>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</si>
  <si>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</si>
  <si>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</si>
  <si>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</si>
  <si>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</si>
  <si>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</si>
  <si>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</si>
  <si>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</si>
  <si>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</si>
  <si>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</si>
  <si>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</si>
  <si>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</si>
  <si>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</si>
  <si>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</si>
  <si>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</si>
  <si>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</si>
  <si>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</si>
  <si>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</si>
  <si>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</si>
  <si>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</si>
  <si>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삽입될 국가 이름</t>
    <phoneticPr fontId="2" type="noConversion"/>
  </si>
  <si>
    <t>방문자</t>
    <phoneticPr fontId="2" type="noConversion"/>
  </si>
  <si>
    <t>팔로워</t>
    <phoneticPr fontId="2" type="noConversion"/>
  </si>
  <si>
    <t>방문자순위</t>
    <phoneticPr fontId="2" type="noConversion"/>
  </si>
  <si>
    <t>팔로워순위</t>
    <phoneticPr fontId="2" type="noConversion"/>
  </si>
  <si>
    <t>조회정리</t>
    <phoneticPr fontId="2" type="noConversion"/>
  </si>
  <si>
    <t>조회순위</t>
    <phoneticPr fontId="2" type="noConversion"/>
  </si>
  <si>
    <t>링크</t>
    <phoneticPr fontId="2" type="noConversion"/>
  </si>
  <si>
    <t>기업명</t>
  </si>
  <si>
    <t>Visitor</t>
    <phoneticPr fontId="2" type="noConversion"/>
  </si>
  <si>
    <t>Follower</t>
    <phoneticPr fontId="2" type="noConversion"/>
  </si>
  <si>
    <t>·</t>
    <phoneticPr fontId="2" type="noConversion"/>
  </si>
  <si>
    <t>3월</t>
  </si>
  <si>
    <t>프로젝트명</t>
    <phoneticPr fontId="2" type="noConversion"/>
  </si>
  <si>
    <t>캠페인 그룹 시작일</t>
    <phoneticPr fontId="2" type="noConversion"/>
  </si>
  <si>
    <t>캠페인 그룹 종료일</t>
    <phoneticPr fontId="2" type="noConversion"/>
  </si>
  <si>
    <t>노출</t>
    <phoneticPr fontId="2" type="noConversion"/>
  </si>
  <si>
    <t>No</t>
  </si>
  <si>
    <t>유형</t>
  </si>
  <si>
    <t>비용 (원)</t>
  </si>
  <si>
    <t>타깃</t>
  </si>
  <si>
    <t>기간</t>
  </si>
  <si>
    <t>노출</t>
  </si>
  <si>
    <t>클릭수</t>
  </si>
  <si>
    <t>팔로워 수</t>
    <phoneticPr fontId="2" type="noConversion"/>
  </si>
  <si>
    <t>클릭/팔로우 전환율</t>
    <phoneticPr fontId="2" type="noConversion"/>
  </si>
  <si>
    <t>1인당 비용</t>
    <phoneticPr fontId="2" type="noConversion"/>
  </si>
  <si>
    <t>Option</t>
  </si>
  <si>
    <t>시작일</t>
  </si>
  <si>
    <t>종료일</t>
  </si>
  <si>
    <t>클릭수</t>
    <phoneticPr fontId="2" type="noConversion"/>
  </si>
  <si>
    <t>CTR</t>
    <phoneticPr fontId="2" type="noConversion"/>
  </si>
  <si>
    <t>평균 CPM</t>
    <phoneticPr fontId="2" type="noConversion"/>
  </si>
  <si>
    <t>평균 CPC</t>
    <phoneticPr fontId="2" type="noConversion"/>
  </si>
  <si>
    <t>평균 CPM</t>
  </si>
  <si>
    <t>평균 CPC</t>
  </si>
  <si>
    <t>&lt;광고전체취합에 사용하는 데이터!!!</t>
    <phoneticPr fontId="2" type="noConversion"/>
  </si>
  <si>
    <t>아래는 "광고 전체취합" 시트에 복붙용</t>
    <phoneticPr fontId="2" type="noConversion"/>
  </si>
  <si>
    <t>참여율</t>
  </si>
  <si>
    <t>오늘자 환율</t>
    <phoneticPr fontId="2" type="noConversion"/>
  </si>
  <si>
    <t>작업 시간</t>
    <phoneticPr fontId="2" type="noConversion"/>
  </si>
  <si>
    <t>4월</t>
  </si>
  <si>
    <t>5월</t>
  </si>
  <si>
    <t>1일 팔로워 수</t>
    <phoneticPr fontId="2" type="noConversion"/>
  </si>
  <si>
    <t>트윗 ID</t>
  </si>
  <si>
    <t>트윗 고유 주소</t>
  </si>
  <si>
    <t>트윗 문구</t>
  </si>
  <si>
    <t>시간</t>
  </si>
  <si>
    <t>노출수</t>
  </si>
  <si>
    <t>참여</t>
  </si>
  <si>
    <t>리트윗</t>
  </si>
  <si>
    <t>답글</t>
  </si>
  <si>
    <t>마음</t>
  </si>
  <si>
    <t>사용자 프로필 클릭수</t>
  </si>
  <si>
    <t>URL 클릭 수</t>
  </si>
  <si>
    <t>해시태그 클릭수</t>
  </si>
  <si>
    <t xml:space="preserve">상세 정보 조회 수 </t>
  </si>
  <si>
    <t>고유 주소 클릭 수</t>
  </si>
  <si>
    <t>앱 열기</t>
  </si>
  <si>
    <t>앱 설치 수</t>
  </si>
  <si>
    <t>팔로우</t>
  </si>
  <si>
    <t>트윗을 이메일로 전송</t>
  </si>
  <si>
    <t>전화 걸기</t>
  </si>
  <si>
    <t>미디어 조회수</t>
  </si>
  <si>
    <t>미디어 참여</t>
  </si>
  <si>
    <t>노출수 프로모션</t>
  </si>
  <si>
    <t>참여 프로모션</t>
  </si>
  <si>
    <t>참여율 프로모션</t>
  </si>
  <si>
    <t>리트윗 프로모션</t>
  </si>
  <si>
    <t>답글 프로모션</t>
  </si>
  <si>
    <t>마음 프로모션</t>
  </si>
  <si>
    <t>사용자 프로필 클릭수 프로모션</t>
  </si>
  <si>
    <t>URL 클릭 수 프로모션</t>
  </si>
  <si>
    <t>해시태그 클릭수 프로모션</t>
  </si>
  <si>
    <t>상세 정보 조회 수  프로모션</t>
  </si>
  <si>
    <t>고유 주소 클릭 수 프로모션</t>
  </si>
  <si>
    <t>앱 열기 프로모션</t>
  </si>
  <si>
    <t>앱 설치 수 프로모션</t>
  </si>
  <si>
    <t>팔로우 프로모션</t>
  </si>
  <si>
    <t>트윗을 이메일로 전송 프로모션</t>
  </si>
  <si>
    <t>전화 걸기 프로모션</t>
  </si>
  <si>
    <t>미디어 조회수 프로모션</t>
  </si>
  <si>
    <t>미디어 참여 프로모션</t>
  </si>
  <si>
    <t>https://twitter.com/SKhynix/status/1796504400409612630</t>
  </si>
  <si>
    <t>Hello, I'm #ZUFS 4.0, @SKhynix's next-gen mobile #NAND solution! Optimized for on-device #AI, I improve performance degradation and extend lifespan by 40% over traditional UFS. Perfect for the growing memory needs of smartphone users!
Curious about me? Check out the video! https://t.co/AORUUo4iU4</t>
  </si>
  <si>
    <t>-</t>
  </si>
  <si>
    <t>https://twitter.com/SKhynix/status/1796474198304461191</t>
  </si>
  <si>
    <t>Big News! 🎉Kangwook Lee, head of Package Development at @SKhynix, is the first South Korean to win the IEEE Electronics Manufacturing Technology Award!
Read more: https://t.co/03w7GlcxCC
#SKhynix #IEEE #HBM #HBM2E #AI #Memory #3D #Packaging #News</t>
  </si>
  <si>
    <t>https://twitter.com/SKhynix/status/1796142008559616314</t>
  </si>
  <si>
    <t>Many of us remember displaying "Hello, World!" on our screens for the first time. 🌍
Dennis Ritchie, creator of C and Unix, laid the foundation for modern programming and continues to shape our digital world. His legacy lives on.
"Goodbye, World." 🖥️
#SKhynix #DennisRitchie https://t.co/PeOyH3izEU</t>
  </si>
  <si>
    <t>https://twitter.com/SKhynix/status/1796126912244314357</t>
  </si>
  <si>
    <t>Experience the future with @SKhynix at COMPUTEX TAIPEI 2024! We're ready to welcome you. Visit us anytime at booth #N0230 on the 4th floor of TaiNEX 1.
Immerse yourself in cutting-edge tech and witness it up close. See you there!
#SKhynix #COMPUTEX #COMPUTEX2024 https://t.co/0RTQgzmeal</t>
  </si>
  <si>
    <t>https://twitter.com/SKhynix/status/1796112201318580404</t>
  </si>
  <si>
    <t>Curious how @SKhynix leads in the AI era? 
SK hynix is the first to mass-produce HBM3E and is fast-tracking HBM4 to 2025. Discover how our tech innovations and global partnerships drive us forward.
https://t.co/a2BHLfiihs
#SKhynix #NAND #HBM #AI #Memory #Leadership #Spotlight</t>
  </si>
  <si>
    <t>https://twitter.com/SKhynix/status/1795787184005595207</t>
  </si>
  <si>
    <t>Meet @SKhynix's PCB01! 👀
PCIe Gen5X4, designed for AI PCs, offers unparalleled performance and efficiency. Loads large language models(#LLMs) in seconds, perfect for gaming and high-performance computing. 
Experience cutting-edge technology with #PCB01!
#SKhynix https://t.co/tFq6IliwnV</t>
  </si>
  <si>
    <t>https://twitter.com/SKhynix/status/1795734324962046330</t>
  </si>
  <si>
    <t>Excited for the latest #AI server and PC solutions? 
Visit @SKhynix at COMPUTEX TAIPEI 2024! 🖥️✨
📅 June 4-7 | 🕤 9:30 AM - 5:30 PM
📍 TaiNEX 1, 4F #N0230, Taipei Nangang Exhibition Center
Don't miss the future of tech!
#SKhynix #COMPUTEX #COMPUTEX2024 https://t.co/tz5xXJGgPi</t>
  </si>
  <si>
    <t>https://twitter.com/SKhynix/status/1795447433633411249</t>
  </si>
  <si>
    <t>Boost productivity, optimize operations, and elevate your gaming with @SKhynix's latest PC memory!
Experience high speed, high bandwidth, and energy efficiency, transforming your workspace.
Time to accelerate! 💪
#SKhynix #PC #Memory #Solution https://t.co/BXuK2Vki2Y</t>
  </si>
  <si>
    <t>https://twitter.com/SKhynix/status/1795417234783027602</t>
  </si>
  <si>
    <t>Looking for the ultimate memory chip? Check out @SKhynix's HBM3E! 
With up to 12 stacks, 36GB capacity, and over 1.18TB/s+ bandwidth, it's perfect for AI, high-performance computing, and more. 
Upgrade your tech now!
#SKhynix #HBM3E #AI #Memory https://t.co/j4Ky8H19lf</t>
  </si>
  <si>
    <t>1948009.0</t>
  </si>
  <si>
    <t>5143.0</t>
  </si>
  <si>
    <t>0.0026401315394333396</t>
  </si>
  <si>
    <t>13.0</t>
  </si>
  <si>
    <t>0.0</t>
  </si>
  <si>
    <t>130.0</t>
  </si>
  <si>
    <t>419.0</t>
  </si>
  <si>
    <t>80.0</t>
  </si>
  <si>
    <t>3300.0</t>
  </si>
  <si>
    <t>0</t>
  </si>
  <si>
    <t>14</t>
  </si>
  <si>
    <t>175426</t>
  </si>
  <si>
    <t>1187</t>
  </si>
  <si>
    <t>https://twitter.com/SKhynix/status/1795014993500373089</t>
  </si>
  <si>
    <t>Join @SKhynix at COMPUTEX TAIPEI 2024, June 4-7, at the Taipei Nangang Exhibition Center 1! 
Explore the latest in #AI server and PC solutions.
🌐 Boost your edge with our cutting-edge memory solutions. 
Visit us at our booth #N0230 on 4F!
#SKhynix #COMPUTEX #COMPUTEX2024 https://t.co/JYAULb71RD</t>
  </si>
  <si>
    <t>https://twitter.com/SKhynix/status/1793998539305140280</t>
  </si>
  <si>
    <t>Q. What was the most interesting SK hynix product at Dell Technologies World 2024?
#SKhynix #DTW2024 #DellTechWorld</t>
  </si>
  <si>
    <t>https://twitter.com/SKhynix/status/1793967681319665664</t>
  </si>
  <si>
    <t>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t>
  </si>
  <si>
    <t>https://twitter.com/SKhynix/status/1793605296666886225</t>
  </si>
  <si>
    <t>With #AI market growth, demand for high-capacity, high-performance storage memory is soaring!
@SKhynix leads with top-performing 4D #NAND and advanced solutions like #ZUFS 4.0 for mobile &amp;amp; PC AI, plus #PCB01.🌐
👀 Discover our tech innovations in AI!
#SKhynix #4DNAND https://t.co/9r5sD6ZoM2</t>
  </si>
  <si>
    <t>https://twitter.com/SKhynix/status/1793244583423627611</t>
  </si>
  <si>
    <t>🌟Big thanks to everyone who visited us at the @SKhynix booth during Dell Technologies World 2024! Enjoyed sharing insights on leading #AI memory tech. 
Join us tomorrow for exciting updates and more!
#SKhynix #DTW #DTW2024 https://t.co/bcrMpSYOyu</t>
  </si>
  <si>
    <t>https://twitter.com/SKhynix/status/1793244443149230118</t>
  </si>
  <si>
    <t>🌟Big thanks to everyone who visited us at the @SKhynix booth during Dell Technologies World 2024! Enjoyed sharing insights on leading #AI memory tech. 
Join us tomorrow for exciting updates and more!
#SKhynix #DTW #DTW2024 https://t.co/Y8BhrBOCuf</t>
  </si>
  <si>
    <t>https://twitter.com/SKhynix/status/1793244300165451885</t>
  </si>
  <si>
    <t>🌟Big thanks to everyone who visited us at the @SKhynix booth during Dell Technologies World 2024! Enjoyed sharing insights on leading #AI memory tech. 
Join us tomorrow for exciting updates and more!
#SKhynix #DTW #DTW2024 https://t.co/2dL9kBFsqI</t>
  </si>
  <si>
    <t>https://twitter.com/SKhynix/status/1793220917193277447</t>
  </si>
  <si>
    <t>Discover cutting-edge memory tech!
@SKhynix showcased its innovation at the 16th International Memory Workshop in Seoul, May 12-15, 2024.
Missed it? Click the link below for the latest breakthroughs and papers!
https://t.co/lLHinGjqH8
#SKhynix #GlobalRTC #IMW2024 #IMW https://t.co/QoZOflFAJm</t>
  </si>
  <si>
    <t>https://twitter.com/SKhynix/status/1792910717466939644</t>
  </si>
  <si>
    <t>🌟@SKhynix shines at #DellTechWorld2024 in Vegas! Showcasing cutting-edge SSD, HBM, &amp;amp; CXL® tech with Dell.
#PS1010 &amp;amp; #PCB01 boost Dell's performance, while #LPCAMM2 &amp;amp; #CMM-DDR5 push the limits on AI &amp;amp; computing.
Join us in leading the tech revolution!
https://t.co/V6cbiCLzEU</t>
  </si>
  <si>
    <t>https://twitter.com/SKhynix/status/1792874075188048119</t>
  </si>
  <si>
    <t>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t>
  </si>
  <si>
    <t>https://twitter.com/SKhynix/status/1792548331220046087</t>
  </si>
  <si>
    <t>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t>
  </si>
  <si>
    <t>https://twitter.com/SKhynix/status/1792517560065474632</t>
  </si>
  <si>
    <t>🌐In today’s digital world, SSDs are essential.
Meet @SKhynix's eSSD 'kicking off' series with the PE8000 and SE5000 – your go-to for efficiency and power, handling the toughest server workloads seamlessly!
#SKhynix #SSD #Essd #SATA #PCIe https://t.co/dvpmkX7ZMW</t>
  </si>
  <si>
    <t>https://twitter.com/SKhynix/status/1792475969137365416</t>
  </si>
  <si>
    <t>🎉@SKhynix has just reopened their revamped America’s HQ in Silicon Valley! 
With the “re:Open re:Connect 2024” theme, it is set to boost its #AI memory market leadership and strengthen local partnerships.
https://t.co/fZcWuUY5iB
#SKhynix #SKhynixAmerica #SKHYA #SiliconValley</t>
  </si>
  <si>
    <t>https://twitter.com/SKhynix/status/1791430966415884502</t>
  </si>
  <si>
    <t>Just 3 days to go until #DellTechWorld2024!
Dive into the future of #AI with @SKhynix at booth #633. 
Don't miss out on experiencing our innovative tech firsthand! Discover the heart of AI innovation with us.
#SKhynix #DTW #DTW2024 https://t.co/3fXC4tt0pd</t>
  </si>
  <si>
    <t>https://twitter.com/SKhynix/status/1791400770048532666</t>
  </si>
  <si>
    <t>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t>
  </si>
  <si>
    <t>https://twitter.com/SKhynix/status/1791093050707677532</t>
  </si>
  <si>
    <t>Level up with @SKhynix's #PC Memory solutions!
Boost your PC with #DDR5, #LPCAMM2, #GDDR7, #LPDDR5T, &amp;amp; #SSD for unmatched speed and performance. 
Dominate the game and win every battle.
Choose the best, choose SK hynix!
#SKhynix https://t.co/9yMPdQtqdn</t>
  </si>
  <si>
    <t>https://twitter.com/SKhynix/status/1791000632750399840</t>
  </si>
  <si>
    <t>New Standard in AI Memory? @SK hynix's HBM3E.
Memory, the Power of #AI
https://t.co/x8meAdvjOS
#SKhynix #HBM3E https://t.co/iNrmZ2lB8F</t>
  </si>
  <si>
    <t>https://twitter.com/SKhynix/status/1790706191250939973</t>
  </si>
  <si>
    <t>Explore the unity of families in the micro world of the chip at @SKhynix! 🔍
In our fast-paced world, family harmony is priceless. We treat our employees' families like our own and are committed to enhancing their well-being with more benefits.
#SKhynix #FamilyDay #IDOF https://t.co/t5MudrMOlv</t>
  </si>
  <si>
    <t>https://twitter.com/SKhynix/status/1790343805834559882</t>
  </si>
  <si>
    <t>What is the most important thing in #AI?
Low Power 🌱
High Bandwidth 🚀
High Capacity 📈
Now, Introducing @SKhynix new form factor memory module, #LPCAMM2 — experience extremely reduced power consumption and higher speed with just a single memory module.
#SKhynix #LPDDR5X https://t.co/77CvGuujNs</t>
  </si>
  <si>
    <t>3404145.0</t>
  </si>
  <si>
    <t>8106.0</t>
  </si>
  <si>
    <t>0.0023812146662377776</t>
  </si>
  <si>
    <t>19.0</t>
  </si>
  <si>
    <t>1.0</t>
  </si>
  <si>
    <t>172.0</t>
  </si>
  <si>
    <t>709.0</t>
  </si>
  <si>
    <t>254.0</t>
  </si>
  <si>
    <t>5330.0</t>
  </si>
  <si>
    <t>13</t>
  </si>
  <si>
    <t>389366</t>
  </si>
  <si>
    <t>1608</t>
  </si>
  <si>
    <t>https://twitter.com/SKhynix/status/1789981418099265699</t>
  </si>
  <si>
    <t>Exciting partnership alert! @SKhynix has teamed up with @TSMC to innovate on #HBM4 and advanced packaging tech.
A strategic leap in #AI memory solutions! 
For more details, check below.
#SKhynix #TSMC #MOU https://t.co/LcXyXRnOqw</t>
  </si>
  <si>
    <t>https://twitter.com/SKhynix/status/1789943674329244015</t>
  </si>
  <si>
    <t>Join us at #DellTechWorld 2024🌐 May 20-23, The Venetian, Las Vegas.
Dive into #AI innovation with @SKhynix at Booth #633! Explore how our "Memory, the Power of AI" is transforming life and tech.
Don't miss out!
#SKhynix #DTW2024 https://t.co/1xWsHlVJHT</t>
  </si>
  <si>
    <t>https://twitter.com/SKhynix/status/1789058596015050770</t>
  </si>
  <si>
    <t>Q. What's the biggest way you kill time at the office on Friday at 4 PM?</t>
  </si>
  <si>
    <t>https://twitter.com/SKhynix/status/1788859661644694005</t>
  </si>
  <si>
    <t>@SKhynix unveils #ZUFS 4.0, a cutting-edge mobile #NAND optimized for On-Device AI! 
With industry-leading performance, it's set to dominate the #AI memory market, following their #HBM success. 
Dive into the details 👉
https://t.co/l6RdjCxwnN
#SKhynix #ZUFS4.0 #Mobile</t>
  </si>
  <si>
    <t>https://twitter.com/SKhynix/status/1788169478389313710</t>
  </si>
  <si>
    <t>Overwhelmed? Don’t let a slow, low-capacity #PC hold you back. 
Discover @SKhynix's cutting-edge memory solutions for PCs—speed up with our next-gen tech for desktops and laptops. 
Dive into the future with our image below!
#SKhynix #SSD #Memory #cSSD #eSSD https://t.co/nezFDnBCjh</t>
  </si>
  <si>
    <t>https://twitter.com/SKhynix/status/1787809202708320702</t>
  </si>
  <si>
    <t>Explore the future at Dell Technologies World!
@SKhynix leads with next-gen AI tech.
📅 May 20-23, 2024
✈️ The Venetian, Las Vegas
🔍 "Memory, the Power of AI"
Join us to see how we're driving innovation!
#SKhynix #DTW2024 #Memory #Dell https://t.co/YK0GAvRLOD</t>
  </si>
  <si>
    <t>https://twitter.com/SKhynix/status/1787444703002296339</t>
  </si>
  <si>
    <t>How will our daily lives change with on-device AI? 🤖 @SKhynix is maximizing PC performance through #AI memory. 
Get ready for a smarter, faster life with @SKhynix!
#SKhynix #OnDeviceAI #PC https://t.co/ttzPWsi3lf</t>
  </si>
  <si>
    <t>https://twitter.com/SKhynix/status/1786367143937986827</t>
  </si>
  <si>
    <t>Boost your #data performance with @SKhynix #DDR5 DRAM!
Leading the charge in data centers with top speeds and lower power use.
Check out how in our latest video!
#SKhynix #AI #Server #DRAM https://t.co/OkUUcXS2TN</t>
  </si>
  <si>
    <t>https://twitter.com/SKhynix/status/1786327338944520598</t>
  </si>
  <si>
    <t>How much do you know about #semiconductors? 👀
True or False! "Does Moore's Law still apply to the semiconductor industry?"
Dive into the secrets of chips! Five questions to enhance your knowledge of the semiconductor industry are waiting for you! 🔍
https://t.co/iZiMm3J8I6</t>
  </si>
  <si>
    <t>https://twitter.com/SKhynix/status/1786017798596300806</t>
  </si>
  <si>
    <t>@SKhynix showcased its latest technologies at the #CXL #DevCon 2024 held in Santa Clara, alongside leaders from 240 semiconductor companies worldwide.
If you're curious about how SK hynix's #CXL technology is leading the #AI era, click the link below!
https://t.co/c8p3ZCgbOf</t>
  </si>
  <si>
    <t>https://twitter.com/SKhynix/status/1785995150243799179</t>
  </si>
  <si>
    <t>At #DevCon 2024, @SKhynix's Thomas Won Ha Choi dives into "Enabling CXL® Memory Module" - a game changer for data center efficiency and high-performance computing.
Future of hardware and software? Massively impacted by #CXL tech!
#SKhynix #Server #CMM https://t.co/PHgaZe6oQL</t>
  </si>
  <si>
    <t>https://twitter.com/SKhynix/status/1785957405496590626</t>
  </si>
  <si>
    <t>#DevCon2024 wrapped up! 🎉 Thanks to everyone who explored the latest #AI &amp;amp; #CXL trends with us at booth #7. 
Shoutout to our amazing @SKhynix team! 
Got questions? Just ask – we’re here to help!
#SKhynix #Server #CMM https://t.co/5mYj1z0JSV</t>
  </si>
  <si>
    <t>https://twitter.com/SKhynix/status/1785655416418091040</t>
  </si>
  <si>
    <t>Ready to power up the #AI era? 
Dive into @SKhynix server solutions! Mastering large-scale #data, #HPC, scalability, and more.🔒💡
Check out our latest video to see how we're setting the standards!
#SKhynix #Server https://t.co/XZYaIW6JC0</t>
  </si>
  <si>
    <t>https://twitter.com/SKhynix/status/1785625218507317303</t>
  </si>
  <si>
    <t>Dive into @SKhynix Niagara 2.0 at #DevCon 2024! Boosting #AI and data systems with #CXL tech to cut bottlenecks and ramp up efficiency.
Curious? We offer you a sneak peek!
#SKhynix #Server #CMM #Niagara2.0 https://t.co/eumabRfeUL</t>
  </si>
  <si>
    <t>참여순위</t>
    <phoneticPr fontId="2" type="noConversion"/>
  </si>
  <si>
    <t>Start Date (in UTC)</t>
  </si>
  <si>
    <t>Account Name</t>
  </si>
  <si>
    <t>Currency</t>
  </si>
  <si>
    <t>Campaign Group ID</t>
  </si>
  <si>
    <t>Campaign Group Name</t>
  </si>
  <si>
    <t>Campaign Group Status</t>
  </si>
  <si>
    <t>Campaign Group Start Date</t>
  </si>
  <si>
    <t>Campaign Group End Date</t>
  </si>
  <si>
    <t>Campaign Group Objective Type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</si>
  <si>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</si>
  <si>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</si>
  <si>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</si>
  <si>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</si>
  <si>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</si>
  <si>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</si>
  <si>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</si>
  <si>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</si>
  <si>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</si>
  <si>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</si>
  <si>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</si>
  <si>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</si>
  <si>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</si>
  <si>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</si>
  <si>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</si>
  <si>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</si>
  <si>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</si>
  <si>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</si>
  <si>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</si>
  <si>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Conversions</t>
  </si>
  <si>
    <t>Post-Click Conversions</t>
  </si>
  <si>
    <t>View-Through Conversions</t>
  </si>
  <si>
    <t>Conversion Rate</t>
  </si>
  <si>
    <t>Cost per Conversion</t>
  </si>
  <si>
    <t>Total Conversion Value</t>
  </si>
  <si>
    <t>Return on Ad Spend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</si>
  <si>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</si>
  <si>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</si>
  <si>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</si>
  <si>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</si>
  <si>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</si>
  <si>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</si>
  <si>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</si>
  <si>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</si>
  <si>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</si>
  <si>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</si>
  <si>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</si>
  <si>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</si>
  <si>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Member Follows</t>
  </si>
  <si>
    <t>Impressions</t>
    <phoneticPr fontId="2" type="noConversion"/>
  </si>
  <si>
    <t>clicks</t>
    <phoneticPr fontId="2" type="noConversion"/>
  </si>
  <si>
    <t>follows</t>
    <phoneticPr fontId="2" type="noConversion"/>
  </si>
  <si>
    <t>Total Spent</t>
    <phoneticPr fontId="2" type="noConversion"/>
  </si>
  <si>
    <t xml:space="preserve"> </t>
  </si>
  <si>
    <t>Date</t>
    <phoneticPr fontId="2" type="noConversion"/>
  </si>
  <si>
    <t>Contents</t>
    <phoneticPr fontId="2" type="noConversion"/>
  </si>
  <si>
    <t>마음</t>
    <phoneticPr fontId="2" type="noConversion"/>
  </si>
  <si>
    <t>참여</t>
    <phoneticPr fontId="2" type="noConversion"/>
  </si>
  <si>
    <t>노출수</t>
    <phoneticPr fontId="2" type="noConversion"/>
  </si>
  <si>
    <t>Jeehyun Shin</t>
  </si>
  <si>
    <t>Seoul Incheon Metropolitan Area, South Korea</t>
  </si>
  <si>
    <t>San Francisco Bay Area</t>
  </si>
  <si>
    <t>Greater Bengaluru Area, India</t>
  </si>
  <si>
    <t>Greater Delhi Area, India</t>
  </si>
  <si>
    <t>Taipei–Keelung Metropolitan area, Taiwan</t>
  </si>
  <si>
    <t>Greater Hyderabad Area, India</t>
  </si>
  <si>
    <t>Shenzhen, China</t>
  </si>
  <si>
    <t>Singapore</t>
  </si>
  <si>
    <t>Mumbai Metropolitan Region, India</t>
  </si>
  <si>
    <t>Greater Chennai Area, India</t>
  </si>
  <si>
    <t>Greater São Paulo Area, Brazil</t>
  </si>
  <si>
    <t>Shanghai, China</t>
  </si>
  <si>
    <t>New York City Metropolitan Area</t>
  </si>
  <si>
    <t>Los Angeles Metropolitan Area</t>
  </si>
  <si>
    <t>Pune/Pimpri-Chinchwad Area, India</t>
  </si>
  <si>
    <t>London Area, United Kingdom, United Kingdom</t>
  </si>
  <si>
    <t>Austin, Texas Metropolitan Area</t>
  </si>
  <si>
    <t>Daejeon Metropolitan Area, South Korea</t>
  </si>
  <si>
    <t>Greater Sacramento</t>
  </si>
  <si>
    <t>Greater Milan Metropolitan Area, Italy</t>
  </si>
  <si>
    <t>Noida, India</t>
  </si>
  <si>
    <t>Greater Kolkata Area, India</t>
  </si>
  <si>
    <t>Portland, Oregon Metropolitan Area</t>
  </si>
  <si>
    <t>Greater Paris Metropolitan Region, France</t>
  </si>
  <si>
    <t>Cairo, Egypt</t>
  </si>
  <si>
    <t>Greater Tokyo Area, Japan</t>
  </si>
  <si>
    <t>Changzhou-Wuxi-Suzhou Metropolitan Area, China</t>
  </si>
  <si>
    <t>Dallas-Fort Worth Metroplex</t>
  </si>
  <si>
    <t>Greater Boston</t>
  </si>
  <si>
    <t>Washington DC-Baltimore Area</t>
  </si>
  <si>
    <t>Greater Phoenix Area</t>
  </si>
  <si>
    <t>Beijing, China</t>
  </si>
  <si>
    <t>Greater Ahmedabad Area, India</t>
  </si>
  <si>
    <t>Hong Kong SAR, China</t>
  </si>
  <si>
    <t>Hsinchu Metropolitan Area, Taiwan</t>
  </si>
  <si>
    <t>Gwangju Metropolitan Area, South Korea</t>
  </si>
  <si>
    <t>Greater Seattle Area</t>
  </si>
  <si>
    <t>Brabantine City Row, Netherlands</t>
  </si>
  <si>
    <t>San Diego Metropolitan Area</t>
  </si>
  <si>
    <t>Atlanta Metropolitan Area</t>
  </si>
  <si>
    <t>The Randstad, Netherlands, Netherlands</t>
  </si>
  <si>
    <t>Greater Munich Metropolitan Area, Germany</t>
  </si>
  <si>
    <t>Greater Toronto Area, Canada, Canada</t>
  </si>
  <si>
    <t>Greater Dublin, Ireland</t>
  </si>
  <si>
    <t>Bogotá D.C. Metropolitan Area, Colombia</t>
  </si>
  <si>
    <t>Ulsan Metropolitan Area, South Korea</t>
  </si>
  <si>
    <t>Greater Madrid Metropolitan Area, Spain</t>
  </si>
  <si>
    <t>Greater Buenos Aires, Argentina</t>
  </si>
  <si>
    <t>Greater Chicago Area</t>
  </si>
  <si>
    <t>Mexico City Metropolitan Area, Mexico</t>
  </si>
  <si>
    <t>Greater Rio de Janeiro, Brazil</t>
  </si>
  <si>
    <t>Greater Houston</t>
  </si>
  <si>
    <t>Greater George Town, Malaysia</t>
  </si>
  <si>
    <t>Jakarta Metropolitan Area, Indonesia</t>
  </si>
  <si>
    <t>Lisbon Metropolitan Area, Portugal</t>
  </si>
  <si>
    <t>Busan Metropolitan Area, South Korea</t>
  </si>
  <si>
    <t>Greater Coimbatore Area, India</t>
  </si>
  <si>
    <t>Boise Metropolitan Area</t>
  </si>
  <si>
    <t>Daegu Metropolitan Area, South Korea</t>
  </si>
  <si>
    <t>Greater Indore Area, India</t>
  </si>
  <si>
    <t>Denver Metropolitan Area</t>
  </si>
  <si>
    <t>Nairobi County, Kenya</t>
  </si>
  <si>
    <t>Greater Kuala Lumpur, Malaysia</t>
  </si>
  <si>
    <t>Greater Vancouver Metropolitan Area, Canada</t>
  </si>
  <si>
    <t>Greater Istanbul, Türkiye</t>
  </si>
  <si>
    <t>Gdansk Metropolitan Area, Poland</t>
  </si>
  <si>
    <t>Greater Jaipur Area, India</t>
  </si>
  <si>
    <t>Detroit Metropolitan Area</t>
  </si>
  <si>
    <t>Greater Campinas, Brazil</t>
  </si>
  <si>
    <t>Bucharest Metropolitan Area, Romania</t>
  </si>
  <si>
    <t>Greater Lucknow Area, India</t>
  </si>
  <si>
    <t>Guangzhou-Foshan Metropolitan Area, China</t>
  </si>
  <si>
    <t>Santiago Metropolitan Area, Chile</t>
  </si>
  <si>
    <t>Warsaw Metropolitan Area, Poland</t>
  </si>
  <si>
    <t>Ho Chi Minh City Metropolitan Area, Vietnam</t>
  </si>
  <si>
    <t>Miami-Fort Lauderdale Area</t>
  </si>
  <si>
    <t>Greater Barcelona Metropolitan Area, Spain</t>
  </si>
  <si>
    <t>Busan, South Korea</t>
  </si>
  <si>
    <t>Guadalajara, Mexico Metropolitan Area, Mexico</t>
  </si>
  <si>
    <t>Raleigh-Durham-Chapel Hill Area</t>
  </si>
  <si>
    <t>Greater Curitiba, Brazil</t>
  </si>
  <si>
    <t>Greater Porto Alegre, Brazil</t>
  </si>
  <si>
    <t>Frankfurt Rhine-Main Metropolitan Area, Germany</t>
  </si>
  <si>
    <t>Greater Philadelphia</t>
  </si>
  <si>
    <t>Greater Belo Horizonte, Brazil</t>
  </si>
  <si>
    <t>Taichung–Changhua Metropolitan Area, Taiwan</t>
  </si>
  <si>
    <t>Greater Rome Metropolitan Area, Italy</t>
  </si>
  <si>
    <t>Berlin Metropolitan Area, Germany</t>
  </si>
  <si>
    <t>Greater Sydney Area, Australia</t>
  </si>
  <si>
    <t>Lima Metropolitan Area, Peru</t>
  </si>
  <si>
    <t>Greater Vadodara Area, India</t>
  </si>
  <si>
    <t>Greater Minneapolis-St. Paul Area</t>
  </si>
  <si>
    <t>Greater Nagpur Area, India</t>
  </si>
  <si>
    <t>Hanoi Capital Region, Vietnam</t>
  </si>
  <si>
    <t>Albany, New York Metropolitan Area</t>
  </si>
  <si>
    <t>Lafayette, Indiana Metropolitan Area</t>
  </si>
  <si>
    <t>Greater Raipur Area, India</t>
  </si>
  <si>
    <t>Bangkok Metropolitan Area, Thailand</t>
  </si>
  <si>
    <t>Greater Surat Area, India</t>
  </si>
  <si>
    <t>Greater Rajkot Area, India</t>
  </si>
  <si>
    <t>Bhubaneswar, India</t>
  </si>
  <si>
    <t>Greater Allahabad Area, India</t>
  </si>
  <si>
    <t>Salt Lake City Metropolitan Area</t>
  </si>
  <si>
    <t>Singapore, Singapore</t>
  </si>
  <si>
    <t>Charlotte Metro</t>
  </si>
  <si>
    <t>Quality Assurance</t>
  </si>
  <si>
    <t>Real Estate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</si>
  <si>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</si>
  <si>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</si>
  <si>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</si>
  <si>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</si>
  <si>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</si>
  <si>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</si>
  <si>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</si>
  <si>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</si>
  <si>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</si>
  <si>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</si>
  <si>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</si>
  <si>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</si>
  <si>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</si>
  <si>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</si>
  <si>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</si>
  <si>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</si>
  <si>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</si>
  <si>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</si>
  <si>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</si>
  <si>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</si>
  <si>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</si>
  <si>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</si>
  <si>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</si>
  <si>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</si>
  <si>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Renewable Energy Equipment Manufacturing</t>
  </si>
  <si>
    <t>Events Services</t>
  </si>
  <si>
    <t>Appliances, Electrical, and Electronics Manufacturing</t>
  </si>
  <si>
    <t>Online Audio and Video Media</t>
  </si>
  <si>
    <t>Nanotechnology Research</t>
  </si>
  <si>
    <t>Transportation, Logistics, Supply Chain and Storage</t>
  </si>
  <si>
    <t>Consumer Services</t>
  </si>
  <si>
    <t>Computer and Network Security</t>
  </si>
  <si>
    <t>Wireless Services</t>
  </si>
  <si>
    <t>Truck Transportation</t>
  </si>
  <si>
    <t>Airlines and Aviation</t>
  </si>
  <si>
    <t>IT Services and IT Consulting</t>
  </si>
  <si>
    <t>Market Research</t>
  </si>
  <si>
    <t>Legal Services</t>
  </si>
  <si>
    <t>Public Relations and Communications Services</t>
  </si>
  <si>
    <t>Design Services</t>
  </si>
  <si>
    <t>Business Consulting and Services</t>
  </si>
  <si>
    <t>Biotechnology Research</t>
  </si>
  <si>
    <t>Hospitals and Health Care</t>
  </si>
  <si>
    <t>Pharmaceutical Manufacturing</t>
  </si>
  <si>
    <t>Medical Equipment Manufacturing</t>
  </si>
  <si>
    <t>Personal Care Product Manufacturing</t>
  </si>
  <si>
    <t>Retail Apparel and Fashion</t>
  </si>
  <si>
    <t>Security and Investigations</t>
  </si>
  <si>
    <t>Facilities Services</t>
  </si>
  <si>
    <t>Defense and Space Manufacturing</t>
  </si>
  <si>
    <t>Outsourcing and Offshoring Consulting</t>
  </si>
  <si>
    <t>Wellness and Fitness Services</t>
  </si>
  <si>
    <t>Computer Hardware Manufacturing</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</si>
  <si>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</si>
  <si>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</si>
  <si>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</si>
  <si>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</si>
  <si>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</si>
  <si>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</si>
  <si>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</si>
  <si>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</si>
  <si>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</si>
  <si>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Computers and Electronics Manufacturing</t>
  </si>
  <si>
    <t>Manufacturing</t>
  </si>
  <si>
    <t>Furniture and Home Furnishings Manufacturing</t>
  </si>
  <si>
    <t>Retail</t>
  </si>
  <si>
    <t>Entertainment Providers</t>
  </si>
  <si>
    <t>E-Learning Providers</t>
  </si>
  <si>
    <t>Industrial Machinery Manufacturing</t>
  </si>
  <si>
    <t>Human Resources Services</t>
  </si>
  <si>
    <t>Hospitality</t>
  </si>
  <si>
    <t>Spectator Sports</t>
  </si>
  <si>
    <t>Food and Beverage Services</t>
  </si>
  <si>
    <t>Broadcast Media Production and Distribution</t>
  </si>
  <si>
    <t>Graphic Design</t>
  </si>
  <si>
    <t>International Trade and Development</t>
  </si>
  <si>
    <t>Automation Machinery Manufacturing</t>
  </si>
  <si>
    <t>Government Relations Services</t>
  </si>
  <si>
    <t>Banking</t>
  </si>
  <si>
    <t>Insurance</t>
  </si>
  <si>
    <t>Financial Services</t>
  </si>
  <si>
    <t>Investment Banking</t>
  </si>
  <si>
    <t>Investment Management</t>
  </si>
  <si>
    <t>Construction</t>
  </si>
  <si>
    <t>Architecture and Planning</t>
  </si>
  <si>
    <t>Civil Engineering</t>
  </si>
  <si>
    <t>Aviation and Aerospace Component Manufacturing</t>
  </si>
  <si>
    <t>Motor Vehicle Manufacturing</t>
  </si>
  <si>
    <t>Chemical Manufacturing</t>
  </si>
  <si>
    <t>Machinery Manufacturing</t>
  </si>
  <si>
    <t>Mining</t>
  </si>
  <si>
    <t>Oil and Gas</t>
  </si>
  <si>
    <t>Utilities</t>
  </si>
  <si>
    <t>Textile Manufacturing</t>
  </si>
  <si>
    <t>Higher Education</t>
  </si>
  <si>
    <t>Education Administration Programs</t>
  </si>
  <si>
    <t>Research Services</t>
  </si>
  <si>
    <t>Armed Forces</t>
  </si>
  <si>
    <t>International Affairs</t>
  </si>
  <si>
    <t>Government Administration</t>
  </si>
  <si>
    <t>Non-profit Organizations</t>
  </si>
  <si>
    <t>Strategic Management Services</t>
  </si>
  <si>
    <t>Writing and Editing</t>
  </si>
  <si>
    <t>Staffing and Recruiting</t>
  </si>
  <si>
    <t>Professional Training and Coaching</t>
  </si>
  <si>
    <t>Venture Capital and Private Equity Principals</t>
  </si>
  <si>
    <t>Advertising Services</t>
  </si>
  <si>
    <t>Translation and Localization</t>
  </si>
  <si>
    <t>Book and Periodical Publishing</t>
  </si>
  <si>
    <t>Computer Games</t>
  </si>
  <si>
    <t>Information Services</t>
  </si>
  <si>
    <t>Environmental Services</t>
  </si>
  <si>
    <t>Clicks to Member Profile</t>
  </si>
  <si>
    <t>Page</t>
  </si>
  <si>
    <t>Total Followers</t>
  </si>
  <si>
    <t>Total post engagements</t>
  </si>
  <si>
    <t>Total posts</t>
  </si>
  <si>
    <t>6월</t>
  </si>
  <si>
    <t>Greater Vijayawada District, India</t>
  </si>
  <si>
    <t>Views</t>
  </si>
  <si>
    <t>Pune, India</t>
  </si>
  <si>
    <t>Greater Orlando</t>
  </si>
  <si>
    <t>Greater Pittsburgh Region</t>
  </si>
  <si>
    <t>Kochi, India</t>
  </si>
  <si>
    <t>Amritsar/Ludhiana Area, India</t>
  </si>
  <si>
    <t>Greater Madurai Area, India</t>
  </si>
  <si>
    <t>Greater Bhopal Area, India</t>
  </si>
  <si>
    <t>Musicians</t>
  </si>
  <si>
    <t>Travel Arrangements</t>
  </si>
  <si>
    <t>Farming</t>
  </si>
  <si>
    <t>Primary and Secondary Education</t>
  </si>
  <si>
    <t>24 Q3 팔로워 광고</t>
    <phoneticPr fontId="2" type="noConversion"/>
  </si>
  <si>
    <t>New Followers</t>
    <phoneticPr fontId="2" type="noConversion"/>
  </si>
  <si>
    <t>-</t>
    <phoneticPr fontId="2" type="noConversion"/>
  </si>
  <si>
    <t>Click through rate (CTR)</t>
    <phoneticPr fontId="2" type="noConversion"/>
  </si>
  <si>
    <t>Likes</t>
    <phoneticPr fontId="2" type="noConversion"/>
  </si>
  <si>
    <t>Reposts</t>
    <phoneticPr fontId="2" type="noConversion"/>
  </si>
  <si>
    <t>engagement rate (final)</t>
  </si>
  <si>
    <t>engagement rate (final)</t>
    <phoneticPr fontId="2" type="noConversion"/>
  </si>
  <si>
    <t>추가내용</t>
    <phoneticPr fontId="2" type="noConversion"/>
  </si>
  <si>
    <t>국가별 팔로워, 비지터 모두 증감률 추가</t>
    <phoneticPr fontId="2" type="noConversion"/>
  </si>
  <si>
    <t>지난달방문</t>
    <phoneticPr fontId="2" type="noConversion"/>
  </si>
  <si>
    <t>지난달팔로워</t>
    <phoneticPr fontId="2" type="noConversion"/>
  </si>
  <si>
    <t>2023년 평균</t>
    <phoneticPr fontId="2" type="noConversion"/>
  </si>
  <si>
    <t>Total unique visitors (total)</t>
    <phoneticPr fontId="2" type="noConversion"/>
  </si>
  <si>
    <t>해당 장표 모든 수치 확장성 개선하여 특정 위치가 아니라 일치하는 데이터를 직접 참조하도록 수정</t>
    <phoneticPr fontId="2" type="noConversion"/>
  </si>
  <si>
    <t>제작자노트(9/6)</t>
    <phoneticPr fontId="2" type="noConversion"/>
  </si>
  <si>
    <t>개발자노트(9/6)</t>
    <phoneticPr fontId="2" type="noConversion"/>
  </si>
  <si>
    <t>작년 평균수치 고정값으로 표에 추가</t>
    <phoneticPr fontId="2" type="noConversion"/>
  </si>
  <si>
    <t>퍼센티지 데이터 오른쪽으로 표기되도록 가독성 개선</t>
    <phoneticPr fontId="2" type="noConversion"/>
  </si>
  <si>
    <t>데이터 레이블을 셀 값 직접 지정으로 수정</t>
    <phoneticPr fontId="2" type="noConversion"/>
  </si>
  <si>
    <t>Impressions (organic)</t>
    <phoneticPr fontId="2" type="noConversion"/>
  </si>
  <si>
    <t>organic engagement</t>
    <phoneticPr fontId="2" type="noConversion"/>
  </si>
  <si>
    <t>Clicks (organic)</t>
    <phoneticPr fontId="2" type="noConversion"/>
  </si>
  <si>
    <t>해당 장표도 X열의 함수들이 위치가 아니라 W값과 일치하는 열의 데이터 직접 참조하도록 수정</t>
    <phoneticPr fontId="2" type="noConversion"/>
  </si>
  <si>
    <t>주차 자동표기되도록 수정</t>
    <phoneticPr fontId="2" type="noConversion"/>
  </si>
  <si>
    <t>Desktop</t>
    <phoneticPr fontId="2" type="noConversion"/>
  </si>
  <si>
    <t>Mobile</t>
    <phoneticPr fontId="2" type="noConversion"/>
  </si>
  <si>
    <t>제작자노트</t>
    <phoneticPr fontId="2" type="noConversion"/>
  </si>
  <si>
    <t>연간 비교 표 완성</t>
    <phoneticPr fontId="2" type="noConversion"/>
  </si>
  <si>
    <t>클릭 수</t>
    <phoneticPr fontId="2" type="noConversion"/>
  </si>
  <si>
    <t>공유 수</t>
    <phoneticPr fontId="2" type="noConversion"/>
  </si>
  <si>
    <t>댓글 수</t>
    <phoneticPr fontId="2" type="noConversion"/>
  </si>
  <si>
    <t>제작자노트(9/4)</t>
    <phoneticPr fontId="2" type="noConversion"/>
  </si>
  <si>
    <t>각 날짜별 UV/PV 출력되도록 기능 추가</t>
    <phoneticPr fontId="2" type="noConversion"/>
  </si>
  <si>
    <t>아래표 참조해서 날짜에 필요한 값 더하고있음. 작업은 아래 표로 할 것</t>
    <phoneticPr fontId="2" type="noConversion"/>
  </si>
  <si>
    <t>Daegu, South Korea</t>
  </si>
  <si>
    <t>Columbus, Ohio Metropolitan Area</t>
  </si>
  <si>
    <t>Greater Indianapolis</t>
  </si>
  <si>
    <t>Greater Tampa Bay Area</t>
  </si>
  <si>
    <t>Civic and Social Organizations</t>
  </si>
  <si>
    <t>Wholesale</t>
  </si>
  <si>
    <t>Retail Office Equipment</t>
  </si>
  <si>
    <t>Wholesale Building Materials</t>
  </si>
  <si>
    <t>Sponsored</t>
  </si>
  <si>
    <t>09/15/2024</t>
  </si>
  <si>
    <t>Minseo Kim</t>
  </si>
  <si>
    <t>7월</t>
  </si>
  <si>
    <t>8월</t>
  </si>
  <si>
    <t>클릭/팔로워 전환율</t>
  </si>
  <si>
    <t>1인당 비용</t>
  </si>
  <si>
    <t>참여 수</t>
    <phoneticPr fontId="2" type="noConversion"/>
  </si>
  <si>
    <t>제작자노트</t>
  </si>
  <si>
    <t>이 장표는 contents 시트에서 열 위치로 참조해서 끌어오는 중</t>
  </si>
  <si>
    <t>기존: 조회수 열이랑 해당 순위열에서 각각 세로로 참조해서 끌어오고 있었음</t>
  </si>
  <si>
    <t>확인해야 하는 것: 광고데이터 넣을건지 안넣을건지</t>
  </si>
  <si>
    <t>CTR순위</t>
    <phoneticPr fontId="2" type="noConversion"/>
  </si>
  <si>
    <t>노출순위</t>
    <phoneticPr fontId="2" type="noConversion"/>
  </si>
  <si>
    <t>조회순위</t>
  </si>
  <si>
    <t>engagement</t>
  </si>
  <si>
    <t>ctr(organic)</t>
  </si>
  <si>
    <t>ctr(organic)</t>
    <phoneticPr fontId="2" type="noConversion"/>
  </si>
  <si>
    <t>impressions(organic)</t>
  </si>
  <si>
    <t>impressions(organic)</t>
    <phoneticPr fontId="2" type="noConversion"/>
  </si>
  <si>
    <t>#제작자노트</t>
    <phoneticPr fontId="2" type="noConversion"/>
  </si>
  <si>
    <t>그걸 다시 오른쪽에서 끌어서 순위 정렬하고 있음</t>
    <phoneticPr fontId="2" type="noConversion"/>
  </si>
  <si>
    <t>그 정렬된 순위를 top5지표에 끌어씀</t>
    <phoneticPr fontId="2" type="noConversion"/>
  </si>
  <si>
    <t>이 문제를 해결하기 위해 address 함수로 전체수정</t>
    <phoneticPr fontId="2" type="noConversion"/>
  </si>
  <si>
    <t>열순서에 64더해서 char로 알파벳 만들었으나 z넘으면 안됨</t>
    <phoneticPr fontId="2" type="noConversion"/>
  </si>
  <si>
    <t>새로 추적하는 정보 생길 시 데이터 위치가 달라져 참조가 틀어지는 경우가 생김</t>
    <phoneticPr fontId="2" type="noConversion"/>
  </si>
  <si>
    <t>이에 따라 조회순위 기준으로 절대참조 하는 것으로 함수 전체 수정</t>
    <phoneticPr fontId="2" type="noConversion"/>
  </si>
  <si>
    <t>아예 장표 하나로 합치고 드롭다운으로 내려서 정렬기준 바꾸고 12개 나오게하는 형태로 만들면 좋을지 고민 필요</t>
  </si>
  <si>
    <t>기존 순위참조 로직:</t>
  </si>
  <si>
    <t>- 추가정보 시트의 오른쪽에 링크랑 조회순위를 따로 추가해서 그중에 VLOOKUP해서 찾아오고 있음</t>
    <phoneticPr fontId="2" type="noConversion"/>
  </si>
  <si>
    <t>- 추가정보 시트의 조회순위 자체도 로우데이터 링크를 VLOOKUP해서 조회순위 찾아오던 거라 로우데이터 형태바뀌면 작동안함</t>
    <phoneticPr fontId="2" type="noConversion"/>
  </si>
  <si>
    <t>- 가공단계를 직렬로 하지 않고 전체 로우데이터에 직접 연결하는 병렬화 작업중</t>
    <phoneticPr fontId="2" type="noConversion"/>
  </si>
  <si>
    <t>조회수 반영 ER</t>
    <phoneticPr fontId="2" type="noConversion"/>
  </si>
  <si>
    <t>Engagement rate</t>
    <phoneticPr fontId="2" type="noConversion"/>
  </si>
  <si>
    <t>Engagement Rate</t>
    <phoneticPr fontId="2" type="noConversion"/>
  </si>
  <si>
    <t>보정 없는 ER</t>
    <phoneticPr fontId="2" type="noConversion"/>
  </si>
  <si>
    <t>정렬기준</t>
    <phoneticPr fontId="2" type="noConversion"/>
  </si>
  <si>
    <t>#하이퍼링크 제목 생성 병렬연결 방법</t>
  </si>
  <si>
    <t>- c4값을 콘텐츠로우데이터 a1 열에서 찾고, 그걸로 콘텐츠로우데이터 최종순위열에서 대조하고, 그걸 다시 추가정보 시트에 대조해서 제목 가져오도록 설계</t>
  </si>
  <si>
    <t>장표기준</t>
    <phoneticPr fontId="2" type="noConversion"/>
  </si>
  <si>
    <t>제작자노트 (9/4)</t>
    <phoneticPr fontId="2" type="noConversion"/>
  </si>
  <si>
    <t>수식 범위 수정은 아직 하지 않은 상태</t>
    <phoneticPr fontId="2" type="noConversion"/>
  </si>
  <si>
    <t>이탈리아 데이터 삭제하였음</t>
    <phoneticPr fontId="2" type="noConversion"/>
  </si>
  <si>
    <t>로우데이터를 직접 손대는 것은 매우 바람직하지 않기때문에 다운받을때부터 제외할 수 있는지 확인 필요</t>
    <phoneticPr fontId="2" type="noConversion"/>
  </si>
  <si>
    <t>데이터 형태에 따라 달라짐</t>
    <phoneticPr fontId="2" type="noConversion"/>
  </si>
  <si>
    <t>조회공식ER</t>
    <phoneticPr fontId="2" type="noConversion"/>
  </si>
  <si>
    <t>오가닉 위로 겹쳐서 한줄로 표시</t>
    <phoneticPr fontId="2" type="noConversion"/>
  </si>
  <si>
    <t>7월 총 오가닉 Impression n회 (전월 대비 약 n.n% 증가(, 총 오가닉 Engagement n회 (전월 대비 약 n.n% 감소)</t>
    <phoneticPr fontId="2" type="noConversion"/>
  </si>
  <si>
    <t>7월 총 오가닉 클릭 수 n회 (전월 대비 약 n.n% 감소), 일 평균 오가닉 클릭 수 n.n회 (전월 대비 약 n.n% 증가)</t>
    <phoneticPr fontId="2" type="noConversion"/>
  </si>
  <si>
    <t>Clicks</t>
    <phoneticPr fontId="2" type="noConversion"/>
  </si>
  <si>
    <t>조회 Top 6</t>
    <phoneticPr fontId="2" type="noConversion"/>
  </si>
  <si>
    <t>조회 Top 7</t>
    <phoneticPr fontId="2" type="noConversion"/>
  </si>
  <si>
    <t>조회 Top 8</t>
    <phoneticPr fontId="2" type="noConversion"/>
  </si>
  <si>
    <t>조회 Top 9</t>
    <phoneticPr fontId="2" type="noConversion"/>
  </si>
  <si>
    <t>조회 Top 10</t>
    <phoneticPr fontId="2" type="noConversion"/>
  </si>
  <si>
    <t>Qualified Leads</t>
  </si>
  <si>
    <t>Cost Per Qualified Lead</t>
  </si>
  <si>
    <t>9/30/2024</t>
  </si>
  <si>
    <t>총 광고 확보 팔로워 수</t>
  </si>
  <si>
    <t>팔로워 광고로 확보된 팔로워 수</t>
  </si>
  <si>
    <t>콘텐츠 광고로 확보된 팔로워 수</t>
  </si>
  <si>
    <t>09/01/2024</t>
  </si>
  <si>
    <t>09/02/2024</t>
  </si>
  <si>
    <t>09/03/2024</t>
  </si>
  <si>
    <t>09/04/2024</t>
  </si>
  <si>
    <t>09/05/2024</t>
  </si>
  <si>
    <t>09/06/2024</t>
  </si>
  <si>
    <t>09/07/2024</t>
  </si>
  <si>
    <t>09/08/2024</t>
  </si>
  <si>
    <t>09/09/2024</t>
  </si>
  <si>
    <t>09/10/2024</t>
  </si>
  <si>
    <t>09/11/2024</t>
  </si>
  <si>
    <t>09/12/2024</t>
  </si>
  <si>
    <t>09/13/2024</t>
  </si>
  <si>
    <t>09/14/2024</t>
  </si>
  <si>
    <t>09/16/2024</t>
  </si>
  <si>
    <t>09/17/2024</t>
  </si>
  <si>
    <t>09/18/2024</t>
  </si>
  <si>
    <t>09/19/2024</t>
  </si>
  <si>
    <t>09/20/2024</t>
  </si>
  <si>
    <t>09/21/2024</t>
  </si>
  <si>
    <t>09/22/2024</t>
  </si>
  <si>
    <t>09/23/2024</t>
  </si>
  <si>
    <t>09/24/2024</t>
  </si>
  <si>
    <t>09/25/2024</t>
  </si>
  <si>
    <t>09/26/2024</t>
  </si>
  <si>
    <t>09/27/2024</t>
  </si>
  <si>
    <t>09/28/2024</t>
  </si>
  <si>
    <t>09/29/2024</t>
  </si>
  <si>
    <t>09/30/2024</t>
  </si>
  <si>
    <t>Greater Visakhapatnam Area, India</t>
  </si>
  <si>
    <t>Greater Binghamton</t>
  </si>
  <si>
    <t>Bijnor, India</t>
  </si>
  <si>
    <t>Greater Lyon Area, France</t>
  </si>
  <si>
    <t>Faridabad, India</t>
  </si>
  <si>
    <t>Kanpur, India</t>
  </si>
  <si>
    <t>Greater Agra Area, India</t>
  </si>
  <si>
    <t>Hsinchu County, Taiwan</t>
  </si>
  <si>
    <t>Mysore, India</t>
  </si>
  <si>
    <t>Chaoyang District, China</t>
  </si>
  <si>
    <t>Greater Nashik Area, India</t>
  </si>
  <si>
    <t>Linz-Wels-Steyr Area, Austria</t>
  </si>
  <si>
    <t>Metro Manila, Philippines</t>
  </si>
  <si>
    <t>Stuttgart Region, Germany</t>
  </si>
  <si>
    <t>Greater Rosario, Argentina</t>
  </si>
  <si>
    <t>Greater Srinagar Area, India</t>
  </si>
  <si>
    <t>Greater Cleveland</t>
  </si>
  <si>
    <t>Plastics Manufacturing</t>
  </si>
  <si>
    <t>Mental Health Care</t>
  </si>
  <si>
    <t>Restaurants</t>
  </si>
  <si>
    <t>Public Safety</t>
  </si>
  <si>
    <t>Newspaper Publishing</t>
  </si>
  <si>
    <t>Libraries</t>
  </si>
  <si>
    <t># 제작자노트 (10/4)</t>
    <phoneticPr fontId="2" type="noConversion"/>
  </si>
  <si>
    <t>날짜 작은달의 경우 직접 수정해야 하는 것 같음</t>
    <phoneticPr fontId="2" type="noConversion"/>
  </si>
  <si>
    <t>SK hynix News &amp; Stories</t>
  </si>
  <si>
    <t>9/1/2024</t>
  </si>
  <si>
    <t>#제작자노트 (10/4)</t>
    <phoneticPr fontId="2" type="noConversion"/>
  </si>
  <si>
    <t>A18에 월값 한달 더 크게 수정함</t>
    <phoneticPr fontId="2" type="noConversion"/>
  </si>
  <si>
    <t>TSMC Open Innovation Platform Ecosystem Forum 2024 concluded successfully. At the event, SK hynix showcased cutting-edge AI memory solutions, including #HBM3E , #LPCAMM2 , #GDDR7 , and #MCRDIMM , receiving enthusiastic responses from attendees. 
We appreciate everyone’s interest and will continue to demonstrate exceptional technological leadership in the memory market. Stay tuned for SK hynix's future development!
#SKhynix #TSMC #TSMCOIP #AI #Memory </t>
  </si>
  <si>
    <t>https://www.linkedin.com/feed/update/urn:li:activity:7245394286106529795</t>
  </si>
  <si>
    <t>As AI and big data grow, eSSD's performance and reliability are key for efficient large-scale data processing in servers and data centers. 
SK hynix’s #eSSD products are driving innovation in the data industry, solidifying the company’s position as a global leader.
Explore SK hynix’s distinctive eSSD solutions that excel in server and data center environments.
#SKhynix #eSSD #Server #DaterCenter #Bigdata #AI</t>
  </si>
  <si>
    <t>https://www.linkedin.com/feed/update/urn:li:activity:7245379156362878978</t>
  </si>
  <si>
    <t>Q4 10-11 SV Document to UK Germany</t>
  </si>
  <si>
    <t>10/01/2024</t>
  </si>
  <si>
    <t>11/30/2024</t>
  </si>
  <si>
    <t>Q4 10-11 SV Document to ASIA</t>
  </si>
  <si>
    <t>Q4 10-11 SV Document to US Canada</t>
  </si>
  <si>
    <t>The pace of AI development is accelerating. SK hynix participated in TSMC Open Innovation Platform Ecosystem Forum 2024, showcasing various #AI memory solutions, including #HBM3E, and received significant attention.
We sincerely thank everyone who visited our booth and all the team members Jonghwa Jeong, Jaehan Park, Byoungdo Lee, jinsu L., Jaesik Lee, Suna Shin, Doohee Lee who contributed to the success of this event. We always appreciate your passion!
#SKhynix #TSMC #TSMCOIP #Memory #AIMemory</t>
  </si>
  <si>
    <t>https://www.linkedin.com/feed/update/urn:li:activity:7245040724499390464</t>
  </si>
  <si>
    <t>At TSMC Open Innovation Platform Ecosystem Forum 2024, Byoungdo Lee from SK hynix's HBM Packaging Technical Enabling department presented "A Collaborative Study on 2.5D System in Package for Better Quality and Reliability of High Bandwidth Memory," offering remarkable insights into memory technology.
We appreciate everyone who attended the session and extend our gratitude to Byoungdo Lee for sharing his valuable expertise.
#SKhynix #TSMC #TSMCOIP #HBM #Packaging #Memory #HBM3E</t>
  </si>
  <si>
    <t>https://www.linkedin.com/feed/update/urn:li:activity:7245036686601027584</t>
  </si>
  <si>
    <t>SK hynix participated in TSMC Open Innovation Platform Ecosystem Forum 2024, where our booth became a focal point for many attendees. The significant interest in SK hynix‘s AI memory technology ensured a constant flow of visitors. 
More posts capturing these remarkable moments will be shared soon.
#SKhynix #TSMC #TSMCOIP #TSMCOIP2024 #AI #Memory</t>
  </si>
  <si>
    <t>https://www.linkedin.com/feed/update/urn:li:activity:7245035180460023808</t>
  </si>
  <si>
    <t>Experience unmatched performance with SK hynix's 12-layer #HBM3E, the pinnacle of global memory technology. By developing the world's fastest #DRAM, SK hynix didn’t stop at 8 layers but advanced to 12, achieving an innovative success. 
Discover the remarkable performance of SK hynix's HBM3E.
#SKhynix #12Hi #AI #Memory</t>
  </si>
  <si>
    <t>https://www.linkedin.com/feed/update/urn:li:activity:7245016788290125824</t>
  </si>
  <si>
    <t>Q4 10-11 Video to ASIA</t>
  </si>
  <si>
    <t>Explore SK hynix’s booth at TSMC OIP in advance with our 3D tour! Our cutting-edge AI memory solutions are waiting for you at Booth #308. Experience innovative future technologies like #HBM3E , #LPCAMM2 , #GDDR7 , and #MCRDIMM firsthand.
#SKhynix #TSMC #TSMCOIP #AI #Memory #3D #Booth</t>
  </si>
  <si>
    <t>https://www.linkedin.com/feed/update/urn:li:activity:7244671835387150336</t>
  </si>
  <si>
    <t>At TSMC OIP, a partner collaboration platform and exhibition for semiconductor as well as manufacturing innovation, SK hynix will give a special presentation.
Led by Byoungdo Lee from SK hynix's HBM Packaging Technical Enabling department, this session will explore a collaborative study focused on improving the quality and reliability of 2.5D System in Package. It’s a unique opportunity to dive into the future of High Bandwidth Memory (#HBM) technology.
Watch the video below to get more information about the session!
#SKhynix #TSMC #TSMCOIP #AI #Memory #HBM3E</t>
  </si>
  <si>
    <t>https://www.linkedin.com/feed/update/urn:li:activity:7244307146304061440</t>
  </si>
  <si>
    <t>TSMC OIP featuring SK hynix’s cutting-edge AI memory solutions is about to begin!
From the world’s highest-performing AI memory #HBM3E to #LPCAMM2 , #GDDR7 , and #MCRDIMM , groundbreaking AI memory technologies are gathering in one place. Visit us at Booth #308 at the Santa Clara Convention Center on September 25.
📅 Date: Wednesday, September 25, 2024
📍 Location: Santa Clara Convention Center, California
🗺️ Booth: #308
Experience a new level of innovation at the SK hynix booth!
#SKhynix #TSMC #TSMCOIP #AI #Memory</t>
  </si>
  <si>
    <t>https://www.linkedin.com/feed/update/urn:li:activity:7244292016245800960</t>
  </si>
  <si>
    <t>Ready for a sneak peek at cutting-edge innovations? At TSMC Open Innovation Platform, SK hynix will showcase groundbreaking technologies that push the boundaries of what's possible. Share your thoughts by voting!
#SKhynix #TSMC #TSMCOIP #AI #Memory</t>
  </si>
  <si>
    <t>https://www.linkedin.com/feed/update/urn:li:activity:7242857537388101633</t>
  </si>
  <si>
    <t>The key technology that transforms #AI semiconductor paradigm is none other than #PIM (Processing-in-Memory). In today’s era of IoT, Big Data, and AI, PIM architecture has become indispensable. SK hynix is leading the AI memory market with its #AiM (Accelerator-in-Memory) and AiM-based accelerator #AiMX.
Discover how SK hynix’s PIM memory resolves data bottlenecks and delivers exceptional performance in the carousel below.
#SKhynix #Bigdata #IoT #Datacenter #InMemory #Memory</t>
  </si>
  <si>
    <t>https://www.linkedin.com/feed/update/urn:li:activity:7242842492507693056</t>
  </si>
  <si>
    <t>TSMC OIP, a gathering of semiconductor ecosystem partners and customers to discuss and collaborate on the latest technologies and products, will take place in Santa Clara, CA on September 25.
SK hynix will showcase its cutting-edge #AI memory solutions, including #HBM3E , #LPCAMM2 , #GDDR7 , #MCRDIMM at this event. 
Discover how SK hynix is shaping the future of AI memory solutions through this exhibition!
 📅 Date: Wednesday, September 25, 2024
 🗺️ Location: Santa Clara Convention Center, California
 📍 Venue: Booth #308
 Don’t miss the exciting advancements coming your way!
#SKhynix #TSMC #TSMCOIP #HBM #Memory #Semiconductors</t>
  </si>
  <si>
    <t>https://www.linkedin.com/feed/update/urn:li:activity:7242495405362421761</t>
  </si>
  <si>
    <t>NIAGARA 2.0 - The Pooled Memory Solution: Discover SK hynix's 'Niagara 2.0,' a #CXLⓇ disaggregated memory platform. 
It combines multiple CXLⓇ memories, offering scalability, flexibility, and optimized memory sharing between hosts like #CPUs and #GPUs. By eliminating idle memory and reducing power consumption, #Niagara2.0 is set to revolutionize AI and big data processing. 
Discover it now!
#SKhynix #AI #BigData #CMM #CMM-DDR5 #Niagara</t>
  </si>
  <si>
    <t>https://www.linkedin.com/feed/update/urn:li:activity:7242132820830085121</t>
  </si>
  <si>
    <t>Chuseok is a Korean holiday that originates from the old harvest festivals when people gave thanks for successful harvests. As we express gratitude and share the best gifts with our loved ones during Chuseok, SK hynix also extends our thanks and best wishes to our valued followers by offering a gift set of the highest-performing memory products. 🎁 
Enjoy this festive season with your loved ones, and may your special moments shine even brighter. 🌕
#SKhynix #Memory #Happy #Chuseok #Gifts</t>
  </si>
  <si>
    <t>https://www.linkedin.com/feed/update/urn:li:activity:7241755268735254529</t>
  </si>
  <si>
    <t>When the clouds clear, real beauty emerges. 🌕 Experience unparalleled graphic quality with SK hynix's world-class #GDDR7. With SK hynix's high-performance #AI graphic memory GDDR7, enjoy the crystal-clear full moon this Chuseok like never before. 
#SKhynix #Graphic #Memory #Happy #Chuseok </t>
  </si>
  <si>
    <t>https://www.linkedin.com/feed/update/urn:li:activity:7241400466167754752</t>
  </si>
  <si>
    <t>Boost your AI with SK hynix's #PIM Solutions! At the AI Hardware &amp; Edge AI Summit 2024, Eui-Cheol Lim, System Architect Research Fellow, delivered a successful presentation, showcasing innovative strategies to accelerate #LLM services from data centers to edge devices using SK hynix's unique PIM solutions, #AiM and #AiMX.
It was an invaluable opportunity to glimpse the future of data optimization. A big thank you to Dr. Lim for his insightful presentation and to everyone who joined us for this enlightening session!
#SKhynix #AIHWEdgeAISummit #EdgeAI #AIHardware #ML #AI #Session</t>
  </si>
  <si>
    <t>https://www.linkedin.com/feed/update/urn:li:activity:7240320838816690176</t>
  </si>
  <si>
    <t>SK hynix’s innovation journey continues beyond 40 years! ⭐ From producing Korea’s first 16K #SRAM in 1984 to mass-producing the world’s highest 321-layer #NAND and our cutting-edge #HBM3E, we’ve been shaping the future with pioneering technology.
Now, we’re unveiling the defining moments that fueled SK hynix’s growth and innovation. Join us on this remarkable journey that has driven our success today!
#SKhynix #Sternstunde #MomentofGlory #Semiconductor #Memory #Innovation</t>
  </si>
  <si>
    <t>https://www.linkedin.com/feed/update/urn:li:activity:7239958430432518144</t>
  </si>
  <si>
    <t>The excitement continues at the AI Hardware &amp; Edge AI Summit 2024! Visit SK hynix at Booth #27 to explore their unique Processing In Memory ( #PIM ) technology, #AiM, and #AiMX. This incredible, cutting-edge #AI memory solution is versatile, supporting everything from data centers to edge devices. At the exhibit, SK hynix demonstrated the performance of AiMX using the latest #LLM model, #Llama3 70B.
If you haven’t yet, stop by Booth #27 and check out these innovations—plus, give a round of applause to the hardworking SK hynix team!
Eui-Cheol Lim ILKON KIM Byeongju An Yosub Song
#SKhynix #AIHWEdgeAISummit #EdgeAI #AIHardware </t>
  </si>
  <si>
    <t>https://www.linkedin.com/feed/update/urn:li:activity:7239596041203785728</t>
  </si>
  <si>
    <t>The 2024 edition of SK hynix's Sustainability Report has been released. 🌍 SK hynix actively engages in a diverse range of activities across the economic, social, and environmental sectors and has been publishing an annual sustainability report since 2008 to provide transparent information to its stakeholders.
This Sustainability Report provides a comprehensive overview of SK hynix's #ESG ( #Environmental, #Social, and #Governance ) efforts and achievements, delivered through its ESG strategy framework, #PRISM .
Download the full version: 
https://lnkd.in/gUdP5hze
#SKhynix #SustainabilityReport #Sustainability #ESGReport2024 #Environment</t>
  </si>
  <si>
    <t>https://www.linkedin.com/feed/update/urn:li:activity:7239233699580461056</t>
  </si>
  <si>
    <t>The importance of AI, data centers, and servers has grown more than ever before. Among these, the most crucial aspect is data processing and storage technology, which SK hynix specializes in. From #CMM-DDR5 (CXL® Memory Module) to #DDR5 and #HBM3E, SK hynix's server memory, equipped with ultra-fast data processing and exceptional reliability, is leading the future of data infrastructure.
Discover SK hynix's innovative server solutions that are redefining server performance.
#SKhynix #Server #DataCenter #AI #GDDR7 #MCRDIMM #RDIMM #CXL #CMM</t>
  </si>
  <si>
    <t>https://www.linkedin.com/feed/update/urn:li:activity:7238871271386533888</t>
  </si>
  <si>
    <t>Semiconductor technology is becoming a key factor in shaping the future of #AI. Ever wondered how semiconductor advancements will drive the AI era? Share your thoughts by voting!
#SKhynix #AI #Semiconductors</t>
  </si>
  <si>
    <t>https://www.linkedin.com/feed/update/urn:li:activity:7237784103356354564</t>
  </si>
  <si>
    <t>Here’s the action from Dell Technologies Forum 2024! SK hynix unveiled advanced memory solutions designed to lead the #AI era, focusing on servers, data centers, PCs, and mobile devices. They also showcased products like the #PS1010 and #PCB01, developed in collaboration with Dell Technologies.
During the breakout session, Eunsung Na, Director of the #HBM Business Strategy team, emphasized the crucial role of SK hynix's memory technology in the AI era, receiving great applause.
Catch all the exciting moments in the video!
#SKhynix #DellTechForum #Dell #DellTechnologies #DellTechnologiesForum #Memory </t>
  </si>
  <si>
    <t>https://www.linkedin.com/feed/update/urn:li:activity:7237776569627197440</t>
  </si>
  <si>
    <t>Don’t miss this session featuring SK hynix’s exceptional speaker. On Thursday, September 12th, at 1:30 PM, in Track B – Regency Ballroom at the AI Hardware &amp; Edge AI Summit 2024, Eui-Cheol Lim, SK hynix’s Research Fellow, System Architecture, will present on "Accelerating LLM Services from Datacenter to Edge Device."
Discover the groundbreaking strategies from one of the leading experts in AI innovation as Eui-cheol Lim discusses optimizing #LLM services from data centers to edge devices.
#SKhynix #AIHWEdgeAISummit #EdgeAI #AIHardware #ML #Session</t>
  </si>
  <si>
    <t>https://www.linkedin.com/feed/update/urn:li:activity:7237421727780143106</t>
  </si>
  <si>
    <t>SK hynix is thrilled to participate in the AI Hardware &amp; Edge AI Summit 2024! At this summit, we’ll be showcasing cutting-edge AI memory technologies that are driving the future of the #AI and #ML ecosystem. This event focuses on the development of hardware to efficiently run AI models and the implementation of AI in edge devices.
📅 Dates: September 10-12, 2024
📍 Location: Signia by Hilton, San Jose, CA
✔️Booth: #27
Don’t miss the opportunity to explore innovative technologies, connect with industry experts, and discover new possibilities in AI memory.
#SKhynix #AIHWEdgeAISummit #EdgeAI #AIHardware #LLM #Hardware #EdgeDevice</t>
  </si>
  <si>
    <t>https://www.linkedin.com/feed/update/urn:li:activity:7237060656846315521</t>
  </si>
  <si>
    <t>Today at #Semicon Taiwan 2024, Juseon (Justin) Kim, President of SK hynix, gave an insightful presentation on "Unleashing the Possibilities of AI Memory Technology."
The rapid advancement of #AI is driving the memory industry, which requires higher density, greater bandwidth, and lower power consumption. Justin Kim emphasized that SK hynix’s leadership in technological innovation stems from its world-class memory products and strong partnerships. With its cutting-edge memory technology, SK hynix has become a key player in the AI market.
#SKhynix #SemiconTaiwan #Memory #Partnerships #GenerativeAI </t>
  </si>
  <si>
    <t>https://www.linkedin.com/feed/update/urn:li:activity:7237043797233209344</t>
  </si>
  <si>
    <t>As #AI and high-performance computing (#HPC) technologies advance, #CXL is emerging as a next-generation memory solution that overcomes the limitations of traditional memory. CXL is compatible with DDR memory and offers significant advantages in scalability. SK hynix has developed the #HMSDK (Heterogeneous Memory Software Development Kit) and applied it to its #CMM-DDR5 product, enhancing these strengths and significantly improving system performance.
To learn more about this innovative technology, check out the video below!
#SKhynix #CMM #DDR5 #Memory #Solutions</t>
  </si>
  <si>
    <t>https://www.linkedin.com/feed/update/urn:li:activity:7236697003001360386</t>
  </si>
  <si>
    <t>SUSTAINABLE GROWTH 🌍
SK hynix has secured its leading position in #ESG by winning the 'Best ESG Bond' award at the 2023 IFR Asia Awards. Every year, we publish a comprehensive #Sustainability Report that highlights our ESG efforts and achievements. 
We are responsibly leading the future of memory solutions, focusing on sustainability. Our advancements in memory technology support a greener, more efficient world. 
Join us on our journey toward ESG-driven innovation. 
#SKhynix #PRISM #SustainabilityReport #GreenBond #Environment</t>
  </si>
  <si>
    <t>https://www.linkedin.com/feed/update/urn:li:activity:7236689465484668929</t>
  </si>
  <si>
    <t>At Dell Technologies Forum 2024 on August 28, Eunsung Na, Director of #HBM Business Strategy at SK hynix, shared insights on how the company rapidly adapts to tends in the semiconductor market and leads the development of HBM.
Watch the interview video below to learn more about how SK hynix is driving memory solutions in the AI era.
#SKhynix #DTF2024 #DellTechnologiesForum #HBM3E #AI</t>
  </si>
  <si>
    <t>https://www.linkedin.com/feed/update/urn:li:activity:7236681907239886850</t>
  </si>
  <si>
    <t>Today at the Suwon Convention Center in South Korea, the #OCP Regional Summit APAC kicks off as part of the OpenInfra Asia Summit and Open Compute Project Foundation, offering a key networking opportunity for experts in data center infrastructure, cloud computing, networking, and storage.
SK hynix’s Jerry(eung-bo) Shim and haerang choi will present on September 3rd and 4th, covering OCP Hyperscale #CXL TME implementation and #LLM service innovation through memory-computing convergence.
Don’t miss this opportunity to discover the latest in memory technology.
#SKhynix #OCPRegionalSummit #OpenInfraSummit #OCPSummit2024 </t>
  </si>
  <si>
    <t>https://www.linkedin.com/feed/update/urn:li:activity:7236528762446569472</t>
  </si>
  <si>
    <t>Generative AI is quickly becoming the standard of our time. In step with this incredible technological advancement, SK hynix is setting a new benchmark with its innovative memory solutions.
Discover SK hynix’s latest #AI memory solutions: #HBM3E , #GDDR6 , #LPDDR5T , #MCRDIMM , and more. They offer unmatched performance, advanced capacity, and exceptional power efficiency.
SK hynix is pushing the boundaries of AI with its technological leadership.
#SKhynix #AIMemory #DRAM #Solutions #GenerativeAI</t>
  </si>
  <si>
    <t>https://www.linkedin.com/feed/update/urn:li:activity:7236334551961116672</t>
  </si>
  <si>
    <t># 제작자노트 (10/4)</t>
    <phoneticPr fontId="2" type="noConversion"/>
  </si>
  <si>
    <t>G2부터 셀은 계산 참조셀이므로 하늘색으로 색 수정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</si>
</sst>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176" formatCode="mm&quot;월&quot;\ dd&quot;일&quot;"/>
    <numFmt numFmtId="177" formatCode="\'yy\ mm"/>
    <numFmt numFmtId="178" formatCode="#,##0_ "/>
    <numFmt numFmtId="179" formatCode="d"/>
    <numFmt numFmtId="180" formatCode="m&quot;/&quot;d;@"/>
    <numFmt numFmtId="181" formatCode="0.0"/>
    <numFmt numFmtId="182" formatCode="aaa"/>
    <numFmt numFmtId="183" formatCode="0.0%"/>
    <numFmt numFmtId="184" formatCode="yy&quot;년&quot;\ m&quot;월&quot;"/>
    <numFmt numFmtId="185" formatCode="#,##0_);[Red]\(#,##0\)"/>
    <numFmt numFmtId="186" formatCode="&quot;₩&quot;#,##0"/>
    <numFmt numFmtId="187" formatCode="&quot;₩&quot;#,##0.00"/>
    <numFmt numFmtId="188" formatCode="0_);[Red]\(0\)"/>
    <numFmt numFmtId="189" formatCode="m&quot;월&quot;"/>
    <numFmt numFmtId="190" formatCode="#,##0.0_);[Red]\(#,##0.0\)"/>
  </numFmts>
  <fonts count="86">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b/>
      <sz val="9"/>
      <color rgb="FF000000"/>
      <name val="맑은 고딕"/>
      <family val="3"/>
      <charset val="129"/>
    </font>
    <font>
      <b/>
      <sz val="11"/>
      <color theme="1"/>
      <name val="맑은 고딕"/>
      <family val="3"/>
      <charset val="129"/>
      <scheme val="minor"/>
    </font>
    <font>
      <b/>
      <sz val="12"/>
      <color rgb="FF000000"/>
      <name val="나눔바른고딕"/>
      <family val="3"/>
      <charset val="129"/>
    </font>
    <font>
      <sz val="10"/>
      <color rgb="FF000000"/>
      <name val="나눔바른고딕"/>
      <family val="3"/>
      <charset val="129"/>
    </font>
    <font>
      <sz val="7"/>
      <color rgb="FF000000"/>
      <name val="나눔바른고딕"/>
      <family val="3"/>
      <charset val="129"/>
    </font>
    <font>
      <b/>
      <sz val="12"/>
      <color theme="1"/>
      <name val="나눔바른고딕"/>
      <family val="3"/>
      <charset val="129"/>
    </font>
    <font>
      <sz val="8"/>
      <color rgb="FF767171"/>
      <name val="나눔바른고딕"/>
      <family val="3"/>
      <charset val="129"/>
    </font>
    <font>
      <b/>
      <sz val="8.5"/>
      <color rgb="FF000000"/>
      <name val="나눔바른고딕"/>
      <family val="3"/>
      <charset val="129"/>
    </font>
    <font>
      <sz val="8.5"/>
      <color rgb="FF000000"/>
      <name val="나눔바른고딕"/>
      <family val="3"/>
      <charset val="129"/>
    </font>
    <font>
      <b/>
      <sz val="8"/>
      <color rgb="FF000000"/>
      <name val="나눔바른고딕"/>
      <family val="3"/>
      <charset val="129"/>
    </font>
    <font>
      <b/>
      <sz val="7"/>
      <color rgb="FF000000"/>
      <name val="나눔바른고딕"/>
      <family val="3"/>
      <charset val="129"/>
    </font>
    <font>
      <b/>
      <sz val="8"/>
      <color rgb="FFFFFFFF"/>
      <name val="나눔바른고딕"/>
      <family val="3"/>
      <charset val="129"/>
    </font>
    <font>
      <b/>
      <sz val="7"/>
      <color rgb="FFFFFFFF"/>
      <name val="나눔바른고딕"/>
      <family val="3"/>
      <charset val="129"/>
    </font>
    <font>
      <sz val="10"/>
      <color rgb="FFFF0000"/>
      <name val="나눔바른고딕"/>
      <family val="3"/>
      <charset val="129"/>
    </font>
    <font>
      <sz val="11"/>
      <color theme="1"/>
      <name val="맑은 고딕"/>
      <family val="3"/>
      <charset val="129"/>
    </font>
    <font>
      <b/>
      <sz val="8"/>
      <color rgb="FFFF0000"/>
      <name val="나눔바른고딕"/>
      <family val="3"/>
      <charset val="129"/>
    </font>
    <font>
      <b/>
      <sz val="10"/>
      <color rgb="FF000000"/>
      <name val="나눔바른고딕"/>
      <family val="3"/>
      <charset val="129"/>
    </font>
    <font>
      <u/>
      <sz val="11"/>
      <color theme="10"/>
      <name val="맑은 고딕"/>
      <family val="2"/>
      <charset val="129"/>
      <scheme val="minor"/>
    </font>
    <font>
      <sz val="10"/>
      <name val="Arial"/>
      <family val="2"/>
    </font>
    <font>
      <sz val="10"/>
      <name val="Arial"/>
      <family val="2"/>
    </font>
    <font>
      <sz val="11"/>
      <color theme="1"/>
      <name val="맑은 고딕"/>
      <family val="2"/>
      <charset val="129"/>
      <scheme val="minor"/>
    </font>
    <font>
      <sz val="10"/>
      <name val="돋움"/>
      <family val="3"/>
      <charset val="129"/>
    </font>
    <font>
      <sz val="11"/>
      <color rgb="FF000000"/>
      <name val="맑은 고딕"/>
      <family val="3"/>
      <charset val="129"/>
    </font>
    <font>
      <b/>
      <sz val="10"/>
      <name val="Arial"/>
      <family val="2"/>
    </font>
    <font>
      <sz val="9"/>
      <color theme="1"/>
      <name val="맑은 고딕"/>
      <family val="3"/>
      <charset val="129"/>
      <scheme val="minor"/>
    </font>
    <font>
      <sz val="9"/>
      <color theme="1"/>
      <name val="맑은 고딕"/>
      <family val="2"/>
      <charset val="129"/>
      <scheme val="minor"/>
    </font>
    <font>
      <sz val="10"/>
      <color rgb="FF000000"/>
      <name val="Pretendard"/>
      <family val="3"/>
      <charset val="129"/>
    </font>
    <font>
      <sz val="10"/>
      <color rgb="FF000000"/>
      <name val="Pretendard"/>
      <family val="2"/>
    </font>
    <font>
      <b/>
      <sz val="10"/>
      <color rgb="FF000000"/>
      <name val="Pretendard"/>
      <family val="2"/>
    </font>
    <font>
      <sz val="10"/>
      <color theme="1"/>
      <name val="맑은 고딕"/>
      <family val="2"/>
      <charset val="129"/>
      <scheme val="minor"/>
    </font>
    <font>
      <sz val="8"/>
      <color theme="1"/>
      <name val="나눔고딕"/>
      <family val="3"/>
      <charset val="129"/>
    </font>
    <font>
      <sz val="8"/>
      <color rgb="FFFF0000"/>
      <name val="나눔고딕"/>
      <family val="3"/>
      <charset val="129"/>
    </font>
    <font>
      <sz val="9"/>
      <color rgb="FF000000"/>
      <name val="맑은 고딕"/>
      <family val="3"/>
      <charset val="129"/>
    </font>
    <font>
      <b/>
      <sz val="11"/>
      <color rgb="FFFF0000"/>
      <name val="맑은 고딕"/>
      <family val="3"/>
      <charset val="129"/>
      <scheme val="minor"/>
    </font>
    <font>
      <b/>
      <sz val="9"/>
      <color rgb="FF000000"/>
      <name val="나눔바른고딕"/>
      <family val="3"/>
      <charset val="129"/>
    </font>
    <font>
      <b/>
      <sz val="10"/>
      <color rgb="FFFFFFFF"/>
      <name val="나눔바른고딕"/>
      <family val="3"/>
      <charset val="129"/>
    </font>
    <font>
      <sz val="8"/>
      <color rgb="FFFFFFFF"/>
      <name val="나눔바른고딕"/>
      <family val="3"/>
      <charset val="129"/>
    </font>
    <font>
      <sz val="9"/>
      <color rgb="FF000000"/>
      <name val="나눔바른고딕"/>
      <family val="3"/>
      <charset val="129"/>
    </font>
    <font>
      <sz val="8"/>
      <color rgb="FF000000"/>
      <name val="나눔바른고딕"/>
      <family val="3"/>
      <charset val="129"/>
    </font>
    <font>
      <b/>
      <sz val="10"/>
      <color rgb="FF000000"/>
      <name val="Pretendard"/>
      <family val="3"/>
      <charset val="129"/>
    </font>
    <font>
      <sz val="6"/>
      <color rgb="FF000000"/>
      <name val="나눔바른고딕"/>
      <family val="3"/>
      <charset val="129"/>
    </font>
    <font>
      <sz val="6"/>
      <color rgb="FFFF0000"/>
      <name val="나눔바른고딕"/>
      <family val="3"/>
      <charset val="129"/>
    </font>
    <font>
      <b/>
      <sz val="6"/>
      <color rgb="FF000000"/>
      <name val="나눔바른고딕"/>
      <family val="3"/>
      <charset val="129"/>
    </font>
    <font>
      <b/>
      <sz val="11"/>
      <color theme="0"/>
      <name val="맑은 고딕"/>
      <family val="3"/>
      <charset val="129"/>
      <scheme val="minor"/>
    </font>
    <font>
      <b/>
      <sz val="10"/>
      <color theme="0"/>
      <name val="나눔바른고딕"/>
      <family val="3"/>
      <charset val="129"/>
    </font>
    <font>
      <b/>
      <sz val="10"/>
      <color theme="0"/>
      <name val="Arial Unicode MS"/>
      <family val="3"/>
      <charset val="129"/>
    </font>
    <font>
      <b/>
      <sz val="11"/>
      <color theme="0"/>
      <name val="나눔바른고딕"/>
      <family val="3"/>
      <charset val="129"/>
    </font>
    <font>
      <sz val="11"/>
      <color rgb="FF000000"/>
      <name val="Pretendard"/>
      <family val="2"/>
    </font>
    <font>
      <b/>
      <sz val="12"/>
      <color rgb="FF000000"/>
      <name val="Pretendard"/>
      <family val="2"/>
    </font>
    <font>
      <sz val="10"/>
      <color theme="1"/>
      <name val="맑은 고딕"/>
      <family val="3"/>
      <charset val="129"/>
      <scheme val="minor"/>
    </font>
    <font>
      <sz val="11"/>
      <color theme="1"/>
      <name val="맑은 고딕"/>
      <family val="3"/>
      <charset val="129"/>
      <scheme val="minor"/>
    </font>
    <font>
      <b/>
      <sz val="9"/>
      <color theme="0"/>
      <name val="맑은 고딕"/>
      <family val="3"/>
      <charset val="129"/>
      <scheme val="minor"/>
    </font>
    <font>
      <sz val="11"/>
      <color theme="0"/>
      <name val="맑은 고딕"/>
      <family val="3"/>
      <charset val="129"/>
      <scheme val="minor"/>
    </font>
    <font>
      <b/>
      <sz val="6"/>
      <color rgb="FFFF0000"/>
      <name val="나눔바른고딕"/>
      <family val="3"/>
      <charset val="129"/>
    </font>
    <font>
      <sz val="11"/>
      <color theme="1"/>
      <name val="Pretendard"/>
      <family val="3"/>
      <charset val="129"/>
    </font>
    <font>
      <b/>
      <sz val="12"/>
      <color rgb="FF000000"/>
      <name val="Pretendard"/>
      <family val="3"/>
      <charset val="129"/>
    </font>
    <font>
      <sz val="8"/>
      <color rgb="FF000000"/>
      <name val="Pretendard"/>
      <family val="3"/>
      <charset val="129"/>
    </font>
    <font>
      <sz val="9"/>
      <color rgb="FF000000"/>
      <name val="Pretendard"/>
      <family val="3"/>
      <charset val="129"/>
    </font>
    <font>
      <b/>
      <sz val="11"/>
      <color theme="1"/>
      <name val="Pretendard"/>
      <family val="3"/>
      <charset val="129"/>
    </font>
    <font>
      <sz val="18"/>
      <name val="Pretendard"/>
      <family val="3"/>
      <charset val="129"/>
    </font>
    <font>
      <b/>
      <sz val="17"/>
      <color rgb="FF000000"/>
      <name val="Pretendard"/>
      <family val="3"/>
      <charset val="129"/>
    </font>
    <font>
      <b/>
      <sz val="11"/>
      <color rgb="FFFF0000"/>
      <name val="Pretendard"/>
      <family val="3"/>
      <charset val="129"/>
    </font>
    <font>
      <sz val="10"/>
      <name val="Pretendard"/>
      <family val="2"/>
    </font>
    <font>
      <b/>
      <sz val="9"/>
      <color rgb="FF000000"/>
      <name val="Pretendard"/>
      <family val="3"/>
      <charset val="129"/>
    </font>
    <font>
      <sz val="11"/>
      <color theme="6"/>
      <name val="Pretendard"/>
      <family val="3"/>
      <charset val="129"/>
    </font>
    <font>
      <sz val="12"/>
      <color theme="1"/>
      <name val="Pretendard"/>
      <family val="3"/>
      <charset val="129"/>
    </font>
    <font>
      <b/>
      <sz val="14"/>
      <color rgb="FF7030A0"/>
      <name val="Pretendard"/>
      <family val="3"/>
      <charset val="129"/>
    </font>
    <font>
      <sz val="7"/>
      <color rgb="FF000000"/>
      <name val="Pretendard"/>
      <family val="3"/>
      <charset val="129"/>
    </font>
    <font>
      <b/>
      <sz val="12"/>
      <name val="Pretendard"/>
      <family val="3"/>
      <charset val="129"/>
    </font>
    <font>
      <sz val="10"/>
      <name val="Pretendard"/>
      <family val="3"/>
      <charset val="129"/>
    </font>
    <font>
      <sz val="10"/>
      <color theme="1"/>
      <name val="Pretendard"/>
      <family val="3"/>
      <charset val="129"/>
    </font>
    <font>
      <sz val="8"/>
      <color theme="1"/>
      <name val="Pretendard"/>
      <family val="3"/>
      <charset val="129"/>
    </font>
    <font>
      <sz val="11"/>
      <color rgb="FFFF0000"/>
      <name val="Pretendard"/>
      <family val="3"/>
      <charset val="129"/>
    </font>
    <font>
      <sz val="11"/>
      <name val="Pretendard"/>
      <family val="3"/>
      <charset val="129"/>
    </font>
    <font>
      <b/>
      <sz val="9"/>
      <color theme="1"/>
      <name val="맑은 고딕"/>
      <family val="3"/>
      <charset val="129"/>
      <scheme val="minor"/>
    </font>
    <font>
      <b/>
      <sz val="10"/>
      <color theme="1"/>
      <name val="맑은 고딕"/>
      <family val="3"/>
      <charset val="129"/>
      <scheme val="minor"/>
    </font>
    <font>
      <b/>
      <sz val="8"/>
      <color theme="1"/>
      <name val="나눔고딕"/>
      <charset val="129"/>
    </font>
    <font>
      <b/>
      <sz val="8"/>
      <color rgb="FFFF0000"/>
      <name val="나눔고딕"/>
      <charset val="129"/>
    </font>
    <font>
      <sz val="8"/>
      <color rgb="FFFF0000"/>
      <name val="나눔고딕"/>
      <charset val="129"/>
    </font>
    <font>
      <b/>
      <sz val="8"/>
      <color rgb="FF0070C0"/>
      <name val="나눔고딕"/>
      <charset val="129"/>
    </font>
    <font>
      <sz val="8"/>
      <color rgb="FF0070C0"/>
      <name val="나눔고딕"/>
      <charset val="129"/>
    </font>
    <font>
      <sz val="10.5"/>
      <color rgb="FF000000"/>
      <name val="Pretendard"/>
      <family val="3"/>
      <charset val="129"/>
    </font>
  </fonts>
  <fills count="2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3F3F3"/>
        <bgColor indexed="64"/>
      </patternFill>
    </fill>
    <fill>
      <patternFill patternType="solid">
        <fgColor rgb="FFE41937"/>
        <bgColor indexed="64"/>
      </patternFill>
    </fill>
    <fill>
      <patternFill patternType="solid">
        <fgColor rgb="FFFFFFCC"/>
        <bgColor indexed="64"/>
      </patternFill>
    </fill>
    <fill>
      <patternFill patternType="solid">
        <fgColor theme="0"/>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6"/>
        <bgColor indexed="64"/>
      </patternFill>
    </fill>
    <fill>
      <patternFill patternType="solid">
        <fgColor rgb="FFF2F2F2"/>
        <bgColor indexed="64"/>
      </patternFill>
    </fill>
    <fill>
      <patternFill patternType="solid">
        <fgColor rgb="FFD9D9D9"/>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1" tint="0.249977111117893"/>
        <bgColor indexed="64"/>
      </patternFill>
    </fill>
  </fills>
  <borders count="8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A6A6A6"/>
      </left>
      <right style="thin">
        <color rgb="FFA6A6A6"/>
      </right>
      <top style="thin">
        <color rgb="FFA6A6A6"/>
      </top>
      <bottom style="thin">
        <color rgb="FFA6A6A6"/>
      </bottom>
      <diagonal/>
    </border>
    <border>
      <left/>
      <right style="thin">
        <color rgb="FFA6A6A6"/>
      </right>
      <top style="thick">
        <color rgb="FF404040"/>
      </top>
      <bottom/>
      <diagonal/>
    </border>
    <border>
      <left style="thin">
        <color rgb="FFA6A6A6"/>
      </left>
      <right/>
      <top style="thick">
        <color rgb="FF404040"/>
      </top>
      <bottom/>
      <diagonal/>
    </border>
    <border>
      <left style="thin">
        <color rgb="FFA6A6A6"/>
      </left>
      <right style="thin">
        <color rgb="FFA6A6A6"/>
      </right>
      <top style="thick">
        <color rgb="FF404040"/>
      </top>
      <bottom/>
      <diagonal/>
    </border>
    <border>
      <left/>
      <right style="thin">
        <color rgb="FFA6A6A6"/>
      </right>
      <top style="thin">
        <color rgb="FFA6A6A6"/>
      </top>
      <bottom style="thin">
        <color rgb="FFA6A6A6"/>
      </bottom>
      <diagonal/>
    </border>
    <border>
      <left/>
      <right style="thin">
        <color rgb="FFA6A6A6"/>
      </right>
      <top style="thin">
        <color rgb="FFA6A6A6"/>
      </top>
      <bottom/>
      <diagonal/>
    </border>
    <border>
      <left style="medium">
        <color theme="2" tint="-0.249977111117893"/>
      </left>
      <right style="thin">
        <color indexed="64"/>
      </right>
      <top style="medium">
        <color theme="2" tint="-0.249977111117893"/>
      </top>
      <bottom/>
      <diagonal/>
    </border>
    <border>
      <left style="thin">
        <color indexed="64"/>
      </left>
      <right style="thin">
        <color indexed="64"/>
      </right>
      <top style="medium">
        <color theme="2" tint="-0.249977111117893"/>
      </top>
      <bottom/>
      <diagonal/>
    </border>
    <border>
      <left style="thin">
        <color indexed="64"/>
      </left>
      <right style="medium">
        <color theme="2" tint="-0.249977111117893"/>
      </right>
      <top style="medium">
        <color theme="2" tint="-0.249977111117893"/>
      </top>
      <bottom/>
      <diagonal/>
    </border>
    <border>
      <left style="medium">
        <color theme="2" tint="-0.249977111117893"/>
      </left>
      <right style="thin">
        <color indexed="64"/>
      </right>
      <top style="thin">
        <color indexed="64"/>
      </top>
      <bottom style="thin">
        <color indexed="64"/>
      </bottom>
      <diagonal/>
    </border>
    <border>
      <left style="thin">
        <color indexed="64"/>
      </left>
      <right style="medium">
        <color theme="2" tint="-0.249977111117893"/>
      </right>
      <top style="thin">
        <color indexed="64"/>
      </top>
      <bottom style="thin">
        <color indexed="64"/>
      </bottom>
      <diagonal/>
    </border>
    <border>
      <left style="medium">
        <color theme="2" tint="-0.249977111117893"/>
      </left>
      <right style="thin">
        <color indexed="64"/>
      </right>
      <top style="thin">
        <color indexed="64"/>
      </top>
      <bottom style="medium">
        <color theme="2" tint="-0.249977111117893"/>
      </bottom>
      <diagonal/>
    </border>
    <border>
      <left style="thin">
        <color indexed="64"/>
      </left>
      <right style="medium">
        <color theme="2" tint="-0.249977111117893"/>
      </right>
      <top style="thin">
        <color indexed="64"/>
      </top>
      <bottom style="medium">
        <color theme="2" tint="-0.249977111117893"/>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dashed">
        <color rgb="FFBFBFBF"/>
      </left>
      <right style="dashed">
        <color rgb="FFBFBFBF"/>
      </right>
      <top style="dashed">
        <color rgb="FFBFBFBF"/>
      </top>
      <bottom style="dashed">
        <color rgb="FFBFBFBF"/>
      </bottom>
      <diagonal/>
    </border>
    <border>
      <left style="medium">
        <color indexed="64"/>
      </left>
      <right/>
      <top style="medium">
        <color indexed="64"/>
      </top>
      <bottom style="dashed">
        <color rgb="FFBFBFBF"/>
      </bottom>
      <diagonal/>
    </border>
    <border>
      <left/>
      <right/>
      <top style="medium">
        <color indexed="64"/>
      </top>
      <bottom style="dashed">
        <color rgb="FFBFBFBF"/>
      </bottom>
      <diagonal/>
    </border>
    <border>
      <left/>
      <right style="medium">
        <color indexed="64"/>
      </right>
      <top style="medium">
        <color indexed="64"/>
      </top>
      <bottom style="dashed">
        <color rgb="FFBFBFBF"/>
      </bottom>
      <diagonal/>
    </border>
    <border>
      <left style="medium">
        <color indexed="64"/>
      </left>
      <right style="dashed">
        <color rgb="FFBFBFBF"/>
      </right>
      <top style="dashed">
        <color rgb="FFBFBFBF"/>
      </top>
      <bottom style="dashed">
        <color rgb="FFBFBFBF"/>
      </bottom>
      <diagonal/>
    </border>
    <border>
      <left style="dashed">
        <color rgb="FFBFBFBF"/>
      </left>
      <right style="medium">
        <color indexed="64"/>
      </right>
      <top style="dashed">
        <color rgb="FFBFBFBF"/>
      </top>
      <bottom style="dashed">
        <color rgb="FFBFBFBF"/>
      </bottom>
      <diagonal/>
    </border>
    <border>
      <left style="dashed">
        <color rgb="FFBFBFBF"/>
      </left>
      <right style="dashed">
        <color rgb="FFBFBFBF"/>
      </right>
      <top style="dashed">
        <color rgb="FFBFBFBF"/>
      </top>
      <bottom style="medium">
        <color indexed="64"/>
      </bottom>
      <diagonal/>
    </border>
    <border>
      <left style="dashed">
        <color rgb="FFBFBFBF"/>
      </left>
      <right style="medium">
        <color indexed="64"/>
      </right>
      <top style="dashed">
        <color rgb="FFBFBFBF"/>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dashed">
        <color rgb="FFBFBFBF"/>
      </right>
      <top style="dashed">
        <color rgb="FFBFBFBF"/>
      </top>
      <bottom style="medium">
        <color indexed="64"/>
      </bottom>
      <diagonal/>
    </border>
  </borders>
  <cellStyleXfs count="7">
    <xf numFmtId="0" fontId="0" fillId="0" borderId="0">
      <alignment vertical="center"/>
    </xf>
    <xf numFmtId="0" fontId="21" fillId="0" borderId="0" applyNumberFormat="0" applyFill="0" applyBorder="0" applyAlignment="0" applyProtection="0">
      <alignment vertical="center"/>
    </xf>
    <xf numFmtId="0" fontId="22" fillId="0" borderId="0"/>
    <xf numFmtId="0" fontId="23" fillId="0" borderId="0"/>
    <xf numFmtId="0" fontId="22" fillId="0" borderId="0"/>
    <xf numFmtId="0" fontId="22" fillId="0" borderId="0"/>
    <xf numFmtId="41" fontId="24" fillId="0" borderId="0" applyFont="0" applyFill="0" applyBorder="0" applyAlignment="0" applyProtection="0">
      <alignment vertical="center"/>
    </xf>
  </cellStyleXfs>
  <cellXfs count="453">
    <xf numFmtId="0" fontId="0" fillId="0" borderId="0" xfId="0">
      <alignment vertical="center"/>
    </xf>
    <xf numFmtId="0" fontId="3" fillId="2" borderId="0" xfId="0" applyFont="1" applyFill="1">
      <alignment vertical="center"/>
    </xf>
    <xf numFmtId="0" fontId="0" fillId="2" borderId="0" xfId="0" applyFill="1">
      <alignment vertical="center"/>
    </xf>
    <xf numFmtId="14" fontId="0" fillId="0" borderId="0" xfId="0" applyNumberFormat="1">
      <alignment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8" xfId="0" applyFill="1" applyBorder="1" applyAlignment="1">
      <alignment horizontal="center" vertical="center"/>
    </xf>
    <xf numFmtId="0" fontId="0" fillId="5" borderId="0" xfId="0" applyFill="1">
      <alignment vertical="center"/>
    </xf>
    <xf numFmtId="177" fontId="0" fillId="5" borderId="4" xfId="0" applyNumberFormat="1" applyFill="1" applyBorder="1" applyAlignment="1">
      <alignment horizontal="center" vertical="center"/>
    </xf>
    <xf numFmtId="178" fontId="0" fillId="5" borderId="5" xfId="0" applyNumberFormat="1" applyFill="1" applyBorder="1" applyAlignment="1">
      <alignment horizontal="center" vertical="center"/>
    </xf>
    <xf numFmtId="0" fontId="1" fillId="0" borderId="0" xfId="0" applyFont="1">
      <alignment vertical="center"/>
    </xf>
    <xf numFmtId="0" fontId="9" fillId="5" borderId="0" xfId="0" applyFont="1" applyFill="1" applyAlignment="1">
      <alignment vertical="center" readingOrder="1"/>
    </xf>
    <xf numFmtId="0" fontId="7" fillId="5" borderId="0" xfId="0" applyFont="1" applyFill="1" applyAlignment="1">
      <alignment horizontal="left" vertical="center" readingOrder="1"/>
    </xf>
    <xf numFmtId="0" fontId="9" fillId="0" borderId="0" xfId="0" applyFont="1" applyAlignment="1">
      <alignment vertical="center" readingOrder="1"/>
    </xf>
    <xf numFmtId="0" fontId="9" fillId="5" borderId="0" xfId="0" applyFont="1" applyFill="1" applyAlignment="1">
      <alignment horizontal="left" vertical="center" readingOrder="1"/>
    </xf>
    <xf numFmtId="0" fontId="10" fillId="5" borderId="0" xfId="0" applyFont="1" applyFill="1" applyAlignment="1">
      <alignment horizontal="right" vertical="center"/>
    </xf>
    <xf numFmtId="178" fontId="0" fillId="6" borderId="6" xfId="0" applyNumberFormat="1" applyFill="1" applyBorder="1" applyAlignment="1">
      <alignment horizontal="center" vertical="center"/>
    </xf>
    <xf numFmtId="0" fontId="0" fillId="4" borderId="21" xfId="0" applyFill="1" applyBorder="1" applyAlignment="1">
      <alignment horizontal="center" vertical="center"/>
    </xf>
    <xf numFmtId="178" fontId="0" fillId="5" borderId="7" xfId="0" applyNumberFormat="1" applyFill="1" applyBorder="1" applyAlignment="1">
      <alignment horizontal="center" vertical="center"/>
    </xf>
    <xf numFmtId="178" fontId="0" fillId="6" borderId="12" xfId="0" applyNumberFormat="1" applyFill="1" applyBorder="1" applyAlignment="1">
      <alignment horizontal="center" vertical="center"/>
    </xf>
    <xf numFmtId="0" fontId="13" fillId="7" borderId="27" xfId="0" applyFont="1" applyFill="1" applyBorder="1" applyAlignment="1">
      <alignment horizontal="center" vertical="center" wrapText="1" readingOrder="1"/>
    </xf>
    <xf numFmtId="0" fontId="16" fillId="8" borderId="27" xfId="0" applyFont="1" applyFill="1" applyBorder="1" applyAlignment="1">
      <alignment horizontal="center" vertical="center" wrapText="1" readingOrder="1"/>
    </xf>
    <xf numFmtId="0" fontId="13" fillId="7" borderId="25" xfId="0" applyFont="1" applyFill="1" applyBorder="1" applyAlignment="1">
      <alignment horizontal="center" vertical="center" wrapText="1" readingOrder="1"/>
    </xf>
    <xf numFmtId="0" fontId="13" fillId="7" borderId="26" xfId="0" applyFont="1" applyFill="1" applyBorder="1" applyAlignment="1">
      <alignment horizontal="center" vertical="center" wrapText="1" readingOrder="1"/>
    </xf>
    <xf numFmtId="0" fontId="14" fillId="7" borderId="27" xfId="0" applyFont="1" applyFill="1" applyBorder="1" applyAlignment="1">
      <alignment horizontal="center" vertical="center" wrapText="1" readingOrder="1"/>
    </xf>
    <xf numFmtId="0" fontId="15" fillId="8" borderId="27" xfId="0" applyFont="1" applyFill="1" applyBorder="1" applyAlignment="1">
      <alignment horizontal="center" vertical="center" wrapText="1" readingOrder="1"/>
    </xf>
    <xf numFmtId="0" fontId="17" fillId="0" borderId="0" xfId="0" applyFont="1" applyAlignment="1">
      <alignment horizontal="left" vertical="center" readingOrder="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14" fontId="0" fillId="5" borderId="0" xfId="0" applyNumberFormat="1" applyFill="1">
      <alignment vertical="center"/>
    </xf>
    <xf numFmtId="179" fontId="0" fillId="5" borderId="0" xfId="0" applyNumberFormat="1" applyFill="1">
      <alignment vertical="center"/>
    </xf>
    <xf numFmtId="0" fontId="10" fillId="0" borderId="0" xfId="0" applyFont="1" applyAlignment="1">
      <alignment horizontal="right" vertical="center" readingOrder="1"/>
    </xf>
    <xf numFmtId="0" fontId="10" fillId="5" borderId="0" xfId="0" applyFont="1" applyFill="1" applyAlignment="1">
      <alignment horizontal="right" vertical="center" readingOrder="1"/>
    </xf>
    <xf numFmtId="0" fontId="6" fillId="5" borderId="0" xfId="0" applyFont="1" applyFill="1" applyAlignment="1">
      <alignment vertical="center" readingOrder="1"/>
    </xf>
    <xf numFmtId="0" fontId="18" fillId="0" borderId="0" xfId="0" applyFont="1">
      <alignment vertical="center"/>
    </xf>
    <xf numFmtId="0" fontId="19" fillId="7" borderId="27" xfId="0" applyFont="1" applyFill="1" applyBorder="1" applyAlignment="1">
      <alignment horizontal="center" vertical="center" wrapText="1" readingOrder="1"/>
    </xf>
    <xf numFmtId="0" fontId="3" fillId="0" borderId="0" xfId="0" applyFont="1">
      <alignment vertical="center"/>
    </xf>
    <xf numFmtId="0" fontId="0" fillId="4" borderId="30" xfId="0" applyFill="1" applyBorder="1" applyAlignment="1">
      <alignment horizontal="center" vertical="center"/>
    </xf>
    <xf numFmtId="0" fontId="0" fillId="0" borderId="33" xfId="0" applyBorder="1" applyAlignment="1">
      <alignment horizontal="center" vertical="center"/>
    </xf>
    <xf numFmtId="178" fontId="0" fillId="6" borderId="34" xfId="0" applyNumberFormat="1" applyFill="1" applyBorder="1" applyAlignment="1">
      <alignment horizontal="center" vertical="center"/>
    </xf>
    <xf numFmtId="0" fontId="0" fillId="0" borderId="35" xfId="0" applyBorder="1" applyAlignment="1">
      <alignment horizontal="center" vertical="center"/>
    </xf>
    <xf numFmtId="178" fontId="0" fillId="6" borderId="36" xfId="0" applyNumberFormat="1" applyFill="1" applyBorder="1" applyAlignment="1">
      <alignment horizontal="center" vertical="center"/>
    </xf>
    <xf numFmtId="0" fontId="0" fillId="2" borderId="7" xfId="0" applyFill="1" applyBorder="1" applyAlignment="1">
      <alignment vertical="center" wrapText="1"/>
    </xf>
    <xf numFmtId="0" fontId="0" fillId="6" borderId="7" xfId="0" applyFill="1" applyBorder="1">
      <alignment vertical="center"/>
    </xf>
    <xf numFmtId="0" fontId="0" fillId="2" borderId="7" xfId="0" applyFill="1" applyBorder="1">
      <alignment vertical="center"/>
    </xf>
    <xf numFmtId="0" fontId="1" fillId="2" borderId="0" xfId="0" applyFont="1" applyFill="1">
      <alignment vertical="center"/>
    </xf>
    <xf numFmtId="0" fontId="3" fillId="2" borderId="0" xfId="0" quotePrefix="1" applyFont="1" applyFill="1">
      <alignment vertical="center"/>
    </xf>
    <xf numFmtId="181" fontId="0" fillId="0" borderId="0" xfId="0" applyNumberFormat="1">
      <alignment vertical="center"/>
    </xf>
    <xf numFmtId="0" fontId="17" fillId="5" borderId="0" xfId="0" applyFont="1" applyFill="1" applyAlignment="1">
      <alignment horizontal="left" vertical="center" readingOrder="1"/>
    </xf>
    <xf numFmtId="0" fontId="0" fillId="0" borderId="0" xfId="0" applyAlignment="1">
      <alignment horizontal="center" vertical="center"/>
    </xf>
    <xf numFmtId="14" fontId="0" fillId="6" borderId="8" xfId="0" applyNumberFormat="1" applyFill="1" applyBorder="1">
      <alignment vertical="center"/>
    </xf>
    <xf numFmtId="0" fontId="0" fillId="6" borderId="10" xfId="0" applyFill="1" applyBorder="1" applyAlignment="1">
      <alignment horizontal="center" vertical="center"/>
    </xf>
    <xf numFmtId="14" fontId="0" fillId="6" borderId="11" xfId="0" applyNumberFormat="1" applyFill="1" applyBorder="1">
      <alignment vertical="center"/>
    </xf>
    <xf numFmtId="0" fontId="0" fillId="6" borderId="12" xfId="0" applyFill="1" applyBorder="1" applyAlignment="1">
      <alignment horizontal="center" vertical="center"/>
    </xf>
    <xf numFmtId="14" fontId="0" fillId="6" borderId="4" xfId="0" applyNumberFormat="1" applyFill="1" applyBorder="1">
      <alignment vertical="center"/>
    </xf>
    <xf numFmtId="0" fontId="0" fillId="6" borderId="6" xfId="0" applyFill="1" applyBorder="1" applyAlignment="1">
      <alignment horizontal="center" vertical="center"/>
    </xf>
    <xf numFmtId="0" fontId="0" fillId="6" borderId="5" xfId="0" applyFill="1" applyBorder="1" applyAlignment="1">
      <alignment horizontal="center" vertical="center"/>
    </xf>
    <xf numFmtId="14" fontId="0" fillId="6" borderId="19" xfId="0" applyNumberFormat="1" applyFill="1" applyBorder="1">
      <alignment vertical="center"/>
    </xf>
    <xf numFmtId="0" fontId="0" fillId="6" borderId="40" xfId="0" applyFill="1" applyBorder="1" applyAlignment="1">
      <alignment horizontal="center" vertical="center"/>
    </xf>
    <xf numFmtId="182" fontId="0" fillId="6" borderId="20" xfId="0" applyNumberFormat="1" applyFill="1" applyBorder="1" applyAlignment="1">
      <alignment horizontal="center" vertical="center"/>
    </xf>
    <xf numFmtId="182" fontId="0" fillId="6" borderId="7" xfId="0" applyNumberFormat="1" applyFill="1" applyBorder="1" applyAlignment="1">
      <alignment horizontal="center" vertical="center"/>
    </xf>
    <xf numFmtId="182" fontId="0" fillId="6" borderId="5" xfId="0" applyNumberFormat="1" applyFill="1"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14" fontId="0" fillId="6" borderId="49" xfId="0" applyNumberFormat="1" applyFill="1" applyBorder="1">
      <alignment vertical="center"/>
    </xf>
    <xf numFmtId="182" fontId="0" fillId="6" borderId="38" xfId="0" applyNumberFormat="1" applyFill="1" applyBorder="1" applyAlignment="1">
      <alignment horizontal="center" vertical="center"/>
    </xf>
    <xf numFmtId="0" fontId="0" fillId="6" borderId="50" xfId="0" applyFill="1" applyBorder="1" applyAlignment="1">
      <alignment horizontal="center" vertical="center"/>
    </xf>
    <xf numFmtId="0" fontId="0" fillId="0" borderId="42" xfId="0" applyBorder="1" applyAlignment="1">
      <alignment horizontal="center" vertical="center"/>
    </xf>
    <xf numFmtId="182" fontId="0" fillId="6" borderId="9" xfId="0" applyNumberFormat="1" applyFill="1" applyBorder="1" applyAlignment="1">
      <alignment horizontal="center" vertical="center"/>
    </xf>
    <xf numFmtId="182" fontId="0" fillId="0" borderId="0" xfId="0" applyNumberFormat="1">
      <alignment vertical="center"/>
    </xf>
    <xf numFmtId="0" fontId="0" fillId="6" borderId="4" xfId="0" applyFill="1" applyBorder="1" applyAlignment="1">
      <alignment horizontal="center" vertical="center"/>
    </xf>
    <xf numFmtId="0" fontId="0" fillId="6" borderId="54" xfId="0" applyFill="1" applyBorder="1" applyAlignment="1">
      <alignment horizontal="center" vertical="center"/>
    </xf>
    <xf numFmtId="0" fontId="0" fillId="0" borderId="52"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182" fontId="0" fillId="0" borderId="0" xfId="0" applyNumberFormat="1" applyAlignment="1">
      <alignment horizontal="center" vertical="center"/>
    </xf>
    <xf numFmtId="0" fontId="0" fillId="0" borderId="0" xfId="0" applyAlignment="1">
      <alignment horizontal="left"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14" fontId="0" fillId="5" borderId="13" xfId="0" applyNumberFormat="1" applyFill="1" applyBorder="1" applyAlignment="1">
      <alignment horizontal="center" vertical="center"/>
    </xf>
    <xf numFmtId="14" fontId="0" fillId="5" borderId="17" xfId="0" applyNumberFormat="1" applyFill="1" applyBorder="1" applyAlignment="1">
      <alignment horizontal="center" vertical="center"/>
    </xf>
    <xf numFmtId="14" fontId="0" fillId="5" borderId="14" xfId="0" applyNumberFormat="1" applyFill="1" applyBorder="1" applyAlignment="1">
      <alignment horizontal="center" vertical="center"/>
    </xf>
    <xf numFmtId="0" fontId="0" fillId="5" borderId="31" xfId="0" applyFill="1" applyBorder="1" applyAlignment="1">
      <alignment horizontal="center" vertical="center"/>
    </xf>
    <xf numFmtId="0" fontId="0" fillId="5" borderId="32" xfId="0" applyFill="1"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3" fontId="26" fillId="5" borderId="5" xfId="0" applyNumberFormat="1" applyFont="1" applyFill="1" applyBorder="1" applyAlignment="1">
      <alignment horizontal="center" vertical="center" wrapText="1" readingOrder="1"/>
    </xf>
    <xf numFmtId="0" fontId="0" fillId="5" borderId="8" xfId="0" applyFill="1" applyBorder="1" applyAlignment="1">
      <alignment horizontal="center" vertical="center"/>
    </xf>
    <xf numFmtId="0" fontId="0" fillId="5" borderId="11"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22" fillId="0" borderId="0" xfId="2" applyAlignment="1">
      <alignment horizontal="center"/>
    </xf>
    <xf numFmtId="3" fontId="26" fillId="0" borderId="0" xfId="0" applyNumberFormat="1" applyFont="1" applyAlignment="1">
      <alignment horizontal="center" vertical="center" wrapText="1" readingOrder="1"/>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22" fillId="6" borderId="11" xfId="2" applyFill="1" applyBorder="1" applyAlignment="1">
      <alignment horizontal="center"/>
    </xf>
    <xf numFmtId="3" fontId="26" fillId="6" borderId="7" xfId="0" applyNumberFormat="1" applyFont="1" applyFill="1" applyBorder="1" applyAlignment="1">
      <alignment horizontal="center" vertical="center" wrapText="1" readingOrder="1"/>
    </xf>
    <xf numFmtId="0" fontId="0" fillId="6" borderId="11" xfId="0" applyFill="1" applyBorder="1" applyAlignment="1">
      <alignment horizontal="center" vertical="center"/>
    </xf>
    <xf numFmtId="0" fontId="0" fillId="6" borderId="4" xfId="0" applyFill="1" applyBorder="1">
      <alignment vertical="center"/>
    </xf>
    <xf numFmtId="0" fontId="0" fillId="6" borderId="5" xfId="0" applyFill="1" applyBorder="1">
      <alignment vertical="center"/>
    </xf>
    <xf numFmtId="0" fontId="0" fillId="6" borderId="6" xfId="0" applyFill="1" applyBorder="1">
      <alignment vertical="center"/>
    </xf>
    <xf numFmtId="3" fontId="26" fillId="5" borderId="6" xfId="0" applyNumberFormat="1" applyFont="1" applyFill="1" applyBorder="1" applyAlignment="1">
      <alignment horizontal="center" vertical="center" wrapText="1" readingOrder="1"/>
    </xf>
    <xf numFmtId="3" fontId="26" fillId="5" borderId="4" xfId="0" applyNumberFormat="1" applyFont="1" applyFill="1" applyBorder="1" applyAlignment="1">
      <alignment horizontal="center" vertical="center" wrapText="1" readingOrder="1"/>
    </xf>
    <xf numFmtId="0" fontId="0" fillId="12" borderId="8" xfId="0" applyFill="1" applyBorder="1" applyAlignment="1">
      <alignment horizontal="center" vertical="center"/>
    </xf>
    <xf numFmtId="0" fontId="0" fillId="5" borderId="7" xfId="0" applyFill="1" applyBorder="1" applyAlignment="1">
      <alignment horizontal="center" vertical="center"/>
    </xf>
    <xf numFmtId="177" fontId="0" fillId="6" borderId="11" xfId="0" applyNumberFormat="1" applyFill="1" applyBorder="1" applyAlignment="1">
      <alignment horizontal="center" vertical="center"/>
    </xf>
    <xf numFmtId="177" fontId="0" fillId="6" borderId="4" xfId="0" applyNumberFormat="1" applyFill="1" applyBorder="1" applyAlignment="1">
      <alignment horizontal="center" vertical="center"/>
    </xf>
    <xf numFmtId="177" fontId="0" fillId="5" borderId="11" xfId="0" applyNumberFormat="1" applyFill="1" applyBorder="1" applyAlignment="1">
      <alignment horizontal="center" vertical="center"/>
    </xf>
    <xf numFmtId="0" fontId="0" fillId="5" borderId="12" xfId="0" applyFill="1" applyBorder="1" applyAlignment="1">
      <alignment horizontal="center" vertical="center"/>
    </xf>
    <xf numFmtId="0" fontId="5" fillId="14" borderId="8" xfId="0" applyFont="1" applyFill="1" applyBorder="1" applyAlignment="1">
      <alignment horizontal="center" vertical="center"/>
    </xf>
    <xf numFmtId="0" fontId="5" fillId="14" borderId="9" xfId="0" applyFont="1" applyFill="1" applyBorder="1" applyAlignment="1">
      <alignment horizontal="center" vertical="center"/>
    </xf>
    <xf numFmtId="0" fontId="5" fillId="14" borderId="10" xfId="0" applyFont="1" applyFill="1" applyBorder="1" applyAlignment="1">
      <alignment horizontal="center" vertical="center"/>
    </xf>
    <xf numFmtId="178" fontId="0" fillId="6" borderId="7" xfId="6" applyNumberFormat="1" applyFont="1" applyFill="1" applyBorder="1" applyAlignment="1">
      <alignment horizontal="center"/>
    </xf>
    <xf numFmtId="178" fontId="0" fillId="6" borderId="12" xfId="6" applyNumberFormat="1" applyFont="1" applyFill="1" applyBorder="1" applyAlignment="1">
      <alignment horizontal="center"/>
    </xf>
    <xf numFmtId="178" fontId="0" fillId="6" borderId="5" xfId="6" applyNumberFormat="1" applyFont="1" applyFill="1" applyBorder="1" applyAlignment="1">
      <alignment horizontal="center"/>
    </xf>
    <xf numFmtId="178" fontId="0" fillId="6" borderId="6" xfId="6" applyNumberFormat="1" applyFont="1" applyFill="1" applyBorder="1" applyAlignment="1">
      <alignment horizontal="center"/>
    </xf>
    <xf numFmtId="178" fontId="0" fillId="5" borderId="7" xfId="6" applyNumberFormat="1" applyFont="1" applyFill="1" applyBorder="1" applyAlignment="1">
      <alignment horizontal="center"/>
    </xf>
    <xf numFmtId="178" fontId="0" fillId="5" borderId="12" xfId="6" applyNumberFormat="1" applyFont="1" applyFill="1" applyBorder="1" applyAlignment="1">
      <alignment horizontal="center"/>
    </xf>
    <xf numFmtId="178" fontId="0" fillId="5" borderId="5" xfId="6" applyNumberFormat="1" applyFont="1" applyFill="1" applyBorder="1" applyAlignment="1">
      <alignment horizontal="center"/>
    </xf>
    <xf numFmtId="178" fontId="0" fillId="5" borderId="6" xfId="6" applyNumberFormat="1" applyFont="1" applyFill="1" applyBorder="1" applyAlignment="1">
      <alignment horizontal="center"/>
    </xf>
    <xf numFmtId="0" fontId="0" fillId="6" borderId="12" xfId="0" applyFill="1" applyBorder="1">
      <alignment vertical="center"/>
    </xf>
    <xf numFmtId="0" fontId="27" fillId="2" borderId="8" xfId="0" applyFont="1" applyFill="1" applyBorder="1" applyAlignment="1">
      <alignment horizontal="center"/>
    </xf>
    <xf numFmtId="0" fontId="27" fillId="2" borderId="10" xfId="0" applyFon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5" fillId="0" borderId="0" xfId="0" applyFont="1">
      <alignment vertical="center"/>
    </xf>
    <xf numFmtId="0" fontId="5" fillId="13" borderId="8" xfId="0" applyFont="1" applyFill="1" applyBorder="1" applyAlignment="1">
      <alignment horizontal="center" vertical="center"/>
    </xf>
    <xf numFmtId="0" fontId="5" fillId="13" borderId="9" xfId="0" applyFont="1" applyFill="1" applyBorder="1" applyAlignment="1">
      <alignment horizontal="center" vertical="center"/>
    </xf>
    <xf numFmtId="0" fontId="5" fillId="13" borderId="10" xfId="0" applyFont="1" applyFill="1" applyBorder="1" applyAlignment="1">
      <alignment horizontal="center" vertical="center"/>
    </xf>
    <xf numFmtId="183" fontId="0" fillId="5" borderId="12" xfId="0" applyNumberFormat="1" applyFill="1" applyBorder="1" applyAlignment="1">
      <alignment horizontal="center" vertical="center"/>
    </xf>
    <xf numFmtId="183" fontId="0" fillId="5" borderId="6" xfId="0" applyNumberFormat="1" applyFill="1" applyBorder="1" applyAlignment="1">
      <alignment horizontal="center" vertical="center"/>
    </xf>
    <xf numFmtId="0" fontId="5" fillId="0" borderId="12" xfId="0" applyFont="1" applyBorder="1" applyAlignment="1">
      <alignment horizontal="center" vertical="center"/>
    </xf>
    <xf numFmtId="0" fontId="5" fillId="0" borderId="6" xfId="0" applyFont="1" applyBorder="1" applyAlignment="1">
      <alignment horizontal="center" vertical="center"/>
    </xf>
    <xf numFmtId="178" fontId="28" fillId="6" borderId="7" xfId="0" applyNumberFormat="1" applyFont="1" applyFill="1" applyBorder="1" applyAlignment="1">
      <alignment horizontal="center" vertical="center"/>
    </xf>
    <xf numFmtId="178" fontId="28" fillId="6" borderId="12" xfId="0" applyNumberFormat="1" applyFont="1" applyFill="1" applyBorder="1" applyAlignment="1">
      <alignment horizontal="center" vertical="center"/>
    </xf>
    <xf numFmtId="0" fontId="0" fillId="5" borderId="7" xfId="0" applyFill="1" applyBorder="1" applyAlignment="1"/>
    <xf numFmtId="0" fontId="0" fillId="0" borderId="8" xfId="0" applyBorder="1">
      <alignment vertical="center"/>
    </xf>
    <xf numFmtId="0" fontId="0" fillId="5" borderId="7" xfId="0" applyFill="1" applyBorder="1">
      <alignment vertical="center"/>
    </xf>
    <xf numFmtId="0" fontId="0" fillId="5" borderId="10" xfId="0" applyFill="1" applyBorder="1" applyAlignment="1">
      <alignment horizontal="center" vertical="center"/>
    </xf>
    <xf numFmtId="0" fontId="0" fillId="5" borderId="6" xfId="0" applyFill="1" applyBorder="1" applyAlignment="1">
      <alignment horizontal="center" vertical="center"/>
    </xf>
    <xf numFmtId="14" fontId="0" fillId="5" borderId="19" xfId="0" applyNumberFormat="1" applyFill="1" applyBorder="1">
      <alignment vertical="center"/>
    </xf>
    <xf numFmtId="182" fontId="0" fillId="5" borderId="20" xfId="0" applyNumberFormat="1" applyFill="1" applyBorder="1" applyAlignment="1">
      <alignment horizontal="center" vertical="center"/>
    </xf>
    <xf numFmtId="0" fontId="0" fillId="5" borderId="40" xfId="0" applyFill="1" applyBorder="1" applyAlignment="1">
      <alignment horizontal="center" vertical="center"/>
    </xf>
    <xf numFmtId="14" fontId="0" fillId="5" borderId="49" xfId="0" applyNumberFormat="1" applyFill="1" applyBorder="1">
      <alignment vertical="center"/>
    </xf>
    <xf numFmtId="182" fontId="0" fillId="5" borderId="38" xfId="0" applyNumberFormat="1" applyFill="1" applyBorder="1" applyAlignment="1">
      <alignment horizontal="center" vertical="center"/>
    </xf>
    <xf numFmtId="0" fontId="0" fillId="5" borderId="50" xfId="0" applyFill="1" applyBorder="1" applyAlignment="1">
      <alignment horizontal="center" vertical="center"/>
    </xf>
    <xf numFmtId="14" fontId="0" fillId="5" borderId="8" xfId="0" applyNumberFormat="1" applyFill="1" applyBorder="1">
      <alignment vertical="center"/>
    </xf>
    <xf numFmtId="182" fontId="0" fillId="5" borderId="9" xfId="0" applyNumberFormat="1" applyFill="1" applyBorder="1" applyAlignment="1">
      <alignment horizontal="center" vertical="center"/>
    </xf>
    <xf numFmtId="14" fontId="0" fillId="5" borderId="11" xfId="0" applyNumberFormat="1" applyFill="1" applyBorder="1">
      <alignment vertical="center"/>
    </xf>
    <xf numFmtId="182" fontId="0" fillId="5" borderId="7" xfId="0" applyNumberFormat="1" applyFill="1" applyBorder="1" applyAlignment="1">
      <alignment horizontal="center" vertical="center"/>
    </xf>
    <xf numFmtId="14" fontId="0" fillId="5" borderId="4" xfId="0" applyNumberFormat="1" applyFill="1" applyBorder="1">
      <alignment vertical="center"/>
    </xf>
    <xf numFmtId="182" fontId="0" fillId="5" borderId="5" xfId="0" applyNumberFormat="1" applyFill="1" applyBorder="1" applyAlignment="1">
      <alignment horizontal="center" vertical="center"/>
    </xf>
    <xf numFmtId="0" fontId="0" fillId="2" borderId="11" xfId="0" applyFill="1" applyBorder="1">
      <alignment vertical="center"/>
    </xf>
    <xf numFmtId="0" fontId="0" fillId="2" borderId="12" xfId="0" applyFill="1" applyBorder="1">
      <alignment vertical="center"/>
    </xf>
    <xf numFmtId="0" fontId="0" fillId="2" borderId="4" xfId="0" applyFill="1" applyBorder="1">
      <alignment vertical="center"/>
    </xf>
    <xf numFmtId="0" fontId="0" fillId="2" borderId="6" xfId="0" applyFill="1" applyBorder="1">
      <alignment vertical="center"/>
    </xf>
    <xf numFmtId="0" fontId="31" fillId="0" borderId="11" xfId="0" applyFont="1" applyBorder="1" applyAlignment="1">
      <alignment horizontal="center" vertical="center" wrapText="1" readingOrder="1"/>
    </xf>
    <xf numFmtId="0" fontId="31" fillId="11" borderId="11" xfId="0" applyFont="1" applyFill="1" applyBorder="1" applyAlignment="1">
      <alignment horizontal="center" vertical="center" wrapText="1" readingOrder="1"/>
    </xf>
    <xf numFmtId="0" fontId="31" fillId="5" borderId="7" xfId="0" applyFont="1" applyFill="1" applyBorder="1" applyAlignment="1">
      <alignment horizontal="center" vertical="center" wrapText="1" readingOrder="1"/>
    </xf>
    <xf numFmtId="0" fontId="31" fillId="5" borderId="6" xfId="0" applyFont="1" applyFill="1" applyBorder="1" applyAlignment="1">
      <alignment horizontal="center" vertical="center" wrapText="1" readingOrder="1"/>
    </xf>
    <xf numFmtId="0" fontId="0" fillId="0" borderId="18" xfId="0" applyBorder="1">
      <alignment vertical="center"/>
    </xf>
    <xf numFmtId="0" fontId="0" fillId="0" borderId="16" xfId="0" applyBorder="1">
      <alignment vertical="center"/>
    </xf>
    <xf numFmtId="0" fontId="5" fillId="2" borderId="0" xfId="0" applyFont="1" applyFill="1" applyAlignment="1">
      <alignment horizontal="center" vertical="center"/>
    </xf>
    <xf numFmtId="0" fontId="0" fillId="2" borderId="0" xfId="0" applyFill="1" applyAlignment="1">
      <alignment horizontal="center" vertical="center"/>
    </xf>
    <xf numFmtId="0" fontId="5" fillId="0" borderId="0" xfId="0" applyFont="1" applyAlignment="1">
      <alignment horizontal="center" vertical="center"/>
    </xf>
    <xf numFmtId="0" fontId="0" fillId="0" borderId="15" xfId="0" applyBorder="1" applyAlignment="1">
      <alignment horizontal="center" vertical="center"/>
    </xf>
    <xf numFmtId="0" fontId="30" fillId="0" borderId="11" xfId="0" applyFont="1" applyBorder="1" applyAlignment="1">
      <alignment horizontal="center" vertical="center" wrapText="1" readingOrder="1"/>
    </xf>
    <xf numFmtId="0" fontId="30" fillId="5" borderId="7" xfId="0" applyFont="1" applyFill="1" applyBorder="1" applyAlignment="1">
      <alignment horizontal="center" vertical="center" wrapText="1" readingOrder="1"/>
    </xf>
    <xf numFmtId="0" fontId="31" fillId="0" borderId="61" xfId="0" applyFont="1" applyBorder="1" applyAlignment="1">
      <alignment horizontal="center" vertical="center" wrapText="1" readingOrder="1"/>
    </xf>
    <xf numFmtId="0" fontId="31" fillId="11" borderId="61" xfId="0" applyFont="1" applyFill="1" applyBorder="1" applyAlignment="1">
      <alignment horizontal="center" vertical="center" wrapText="1" readingOrder="1"/>
    </xf>
    <xf numFmtId="0" fontId="31" fillId="5" borderId="57" xfId="0" applyFont="1" applyFill="1" applyBorder="1" applyAlignment="1">
      <alignment horizontal="center" vertical="center" wrapText="1" readingOrder="1"/>
    </xf>
    <xf numFmtId="3" fontId="31" fillId="5" borderId="62" xfId="0" applyNumberFormat="1" applyFont="1" applyFill="1" applyBorder="1" applyAlignment="1">
      <alignment horizontal="center" vertical="center" wrapText="1" readingOrder="1"/>
    </xf>
    <xf numFmtId="0" fontId="31" fillId="5" borderId="63" xfId="0" applyFont="1" applyFill="1" applyBorder="1" applyAlignment="1">
      <alignment horizontal="center" vertical="center" wrapText="1" readingOrder="1"/>
    </xf>
    <xf numFmtId="3" fontId="31" fillId="5" borderId="64" xfId="0" applyNumberFormat="1" applyFont="1" applyFill="1" applyBorder="1" applyAlignment="1">
      <alignment horizontal="center" vertical="center" wrapText="1" readingOrder="1"/>
    </xf>
    <xf numFmtId="178" fontId="33" fillId="5" borderId="12" xfId="0" applyNumberFormat="1" applyFont="1" applyFill="1" applyBorder="1" applyAlignment="1">
      <alignment horizontal="center" vertical="center"/>
    </xf>
    <xf numFmtId="0" fontId="34" fillId="0" borderId="11" xfId="0" applyFont="1" applyBorder="1" applyAlignment="1">
      <alignment horizontal="center" vertical="center"/>
    </xf>
    <xf numFmtId="0" fontId="34" fillId="5" borderId="7" xfId="0" applyFont="1" applyFill="1" applyBorder="1" applyAlignment="1">
      <alignment horizontal="center" vertical="center"/>
    </xf>
    <xf numFmtId="0" fontId="34" fillId="5" borderId="12" xfId="0" applyFont="1" applyFill="1" applyBorder="1" applyAlignment="1">
      <alignment horizontal="center" vertical="center"/>
    </xf>
    <xf numFmtId="0" fontId="34" fillId="0" borderId="7" xfId="0" applyFont="1" applyBorder="1" applyAlignment="1">
      <alignment horizontal="center" vertical="center"/>
    </xf>
    <xf numFmtId="0" fontId="34" fillId="0" borderId="12" xfId="0" applyFont="1" applyBorder="1" applyAlignment="1">
      <alignment horizontal="center" vertical="center"/>
    </xf>
    <xf numFmtId="0" fontId="35" fillId="5" borderId="7" xfId="0" applyFont="1" applyFill="1" applyBorder="1" applyAlignment="1">
      <alignment horizontal="center" vertical="center"/>
    </xf>
    <xf numFmtId="0" fontId="34" fillId="0" borderId="4" xfId="0" applyFont="1" applyBorder="1" applyAlignment="1">
      <alignment horizontal="center" vertical="center"/>
    </xf>
    <xf numFmtId="0" fontId="34" fillId="0" borderId="5" xfId="0" applyFont="1" applyBorder="1" applyAlignment="1">
      <alignment horizontal="center" vertical="center"/>
    </xf>
    <xf numFmtId="0" fontId="34" fillId="0" borderId="6" xfId="0" applyFont="1" applyBorder="1" applyAlignment="1">
      <alignment horizontal="center" vertical="center"/>
    </xf>
    <xf numFmtId="0" fontId="0" fillId="6" borderId="8" xfId="0" applyFill="1" applyBorder="1" applyAlignment="1">
      <alignment horizontal="center" vertical="center"/>
    </xf>
    <xf numFmtId="3" fontId="26" fillId="6" borderId="12" xfId="0" applyNumberFormat="1" applyFont="1" applyFill="1" applyBorder="1" applyAlignment="1">
      <alignment horizontal="center" vertical="center" wrapText="1" readingOrder="1"/>
    </xf>
    <xf numFmtId="10" fontId="0" fillId="2" borderId="0" xfId="0" applyNumberFormat="1" applyFill="1">
      <alignment vertical="center"/>
    </xf>
    <xf numFmtId="9" fontId="0" fillId="2" borderId="0" xfId="0" applyNumberFormat="1" applyFill="1">
      <alignment vertical="center"/>
    </xf>
    <xf numFmtId="188" fontId="0" fillId="0" borderId="0" xfId="0" applyNumberFormat="1">
      <alignment vertical="center"/>
    </xf>
    <xf numFmtId="0" fontId="0" fillId="5" borderId="5" xfId="0" applyFill="1" applyBorder="1" applyAlignment="1"/>
    <xf numFmtId="14" fontId="0" fillId="2" borderId="0" xfId="0" applyNumberFormat="1" applyFill="1">
      <alignment vertical="center"/>
    </xf>
    <xf numFmtId="0" fontId="8" fillId="5" borderId="7" xfId="0" applyFont="1" applyFill="1" applyBorder="1" applyAlignment="1">
      <alignment horizontal="center" vertical="center" wrapText="1" readingOrder="1"/>
    </xf>
    <xf numFmtId="0" fontId="40" fillId="5" borderId="7" xfId="0" applyFont="1" applyFill="1" applyBorder="1" applyAlignment="1">
      <alignment horizontal="center" vertical="center" wrapText="1" readingOrder="1"/>
    </xf>
    <xf numFmtId="0" fontId="11" fillId="5" borderId="7" xfId="0" applyFont="1" applyFill="1" applyBorder="1" applyAlignment="1">
      <alignment horizontal="left" vertical="center" wrapText="1" readingOrder="1"/>
    </xf>
    <xf numFmtId="0" fontId="12" fillId="5" borderId="7" xfId="0" applyFont="1" applyFill="1" applyBorder="1" applyAlignment="1">
      <alignment horizontal="center" vertical="center" wrapText="1" readingOrder="1"/>
    </xf>
    <xf numFmtId="3" fontId="41" fillId="5" borderId="7" xfId="0" applyNumberFormat="1" applyFont="1" applyFill="1" applyBorder="1" applyAlignment="1">
      <alignment horizontal="center" vertical="center" wrapText="1" readingOrder="1"/>
    </xf>
    <xf numFmtId="0" fontId="41" fillId="5" borderId="7" xfId="0" applyFont="1" applyFill="1" applyBorder="1" applyAlignment="1">
      <alignment horizontal="center" vertical="center" wrapText="1" readingOrder="1"/>
    </xf>
    <xf numFmtId="0" fontId="42" fillId="5" borderId="7" xfId="0" applyFont="1" applyFill="1" applyBorder="1" applyAlignment="1">
      <alignment horizontal="center" vertical="center" wrapText="1" readingOrder="1"/>
    </xf>
    <xf numFmtId="0" fontId="20" fillId="0" borderId="8" xfId="0" applyFont="1" applyBorder="1" applyAlignment="1">
      <alignment horizontal="center" vertical="center" wrapText="1" readingOrder="1"/>
    </xf>
    <xf numFmtId="0" fontId="20" fillId="0" borderId="9" xfId="0" applyFont="1" applyBorder="1" applyAlignment="1">
      <alignment horizontal="center" vertical="center" wrapText="1" readingOrder="1"/>
    </xf>
    <xf numFmtId="0" fontId="38" fillId="0" borderId="9" xfId="0" applyFont="1" applyBorder="1" applyAlignment="1">
      <alignment horizontal="center" vertical="center" wrapText="1" readingOrder="1"/>
    </xf>
    <xf numFmtId="0" fontId="39" fillId="0" borderId="10" xfId="0" applyFont="1" applyBorder="1" applyAlignment="1">
      <alignment horizontal="center" vertical="center" wrapText="1" readingOrder="1"/>
    </xf>
    <xf numFmtId="0" fontId="8" fillId="5" borderId="11" xfId="0" applyFont="1" applyFill="1" applyBorder="1" applyAlignment="1">
      <alignment horizontal="center" vertical="center" wrapText="1" readingOrder="1"/>
    </xf>
    <xf numFmtId="0" fontId="41" fillId="5" borderId="12" xfId="0" applyFont="1" applyFill="1" applyBorder="1" applyAlignment="1">
      <alignment horizontal="center" vertical="center" wrapText="1" readingOrder="1"/>
    </xf>
    <xf numFmtId="0" fontId="8" fillId="5" borderId="4" xfId="0" applyFont="1" applyFill="1" applyBorder="1" applyAlignment="1">
      <alignment horizontal="center" vertical="center" wrapText="1" readingOrder="1"/>
    </xf>
    <xf numFmtId="0" fontId="8" fillId="5" borderId="5" xfId="0" applyFont="1" applyFill="1" applyBorder="1" applyAlignment="1">
      <alignment horizontal="center" vertical="center" wrapText="1" readingOrder="1"/>
    </xf>
    <xf numFmtId="0" fontId="42" fillId="5" borderId="5" xfId="0" applyFont="1" applyFill="1" applyBorder="1" applyAlignment="1">
      <alignment horizontal="center" vertical="center" wrapText="1" readingOrder="1"/>
    </xf>
    <xf numFmtId="0" fontId="11" fillId="5" borderId="5" xfId="0" applyFont="1" applyFill="1" applyBorder="1" applyAlignment="1">
      <alignment horizontal="left" vertical="center" wrapText="1" readingOrder="1"/>
    </xf>
    <xf numFmtId="0" fontId="12" fillId="5" borderId="5" xfId="0" applyFont="1" applyFill="1" applyBorder="1" applyAlignment="1">
      <alignment horizontal="center" vertical="center" wrapText="1" readingOrder="1"/>
    </xf>
    <xf numFmtId="0" fontId="41" fillId="5" borderId="5" xfId="0" applyFont="1" applyFill="1" applyBorder="1" applyAlignment="1">
      <alignment horizontal="center" vertical="center" wrapText="1" readingOrder="1"/>
    </xf>
    <xf numFmtId="0" fontId="41" fillId="5" borderId="6" xfId="0" applyFont="1" applyFill="1" applyBorder="1" applyAlignment="1">
      <alignment horizontal="center" vertical="center" wrapText="1" readingOrder="1"/>
    </xf>
    <xf numFmtId="3" fontId="41" fillId="5" borderId="5" xfId="0" applyNumberFormat="1" applyFont="1" applyFill="1" applyBorder="1" applyAlignment="1">
      <alignment horizontal="center" vertical="center" wrapText="1" readingOrder="1"/>
    </xf>
    <xf numFmtId="0" fontId="43" fillId="5" borderId="57" xfId="0" applyFont="1" applyFill="1" applyBorder="1" applyAlignment="1">
      <alignment horizontal="center" vertical="center" wrapText="1" readingOrder="1"/>
    </xf>
    <xf numFmtId="3" fontId="43" fillId="5" borderId="62" xfId="0" applyNumberFormat="1" applyFont="1" applyFill="1" applyBorder="1" applyAlignment="1">
      <alignment horizontal="center" vertical="center" wrapText="1" readingOrder="1"/>
    </xf>
    <xf numFmtId="0" fontId="44" fillId="0" borderId="28" xfId="0" applyFont="1" applyBorder="1" applyAlignment="1">
      <alignment horizontal="center" vertical="center" wrapText="1" readingOrder="1"/>
    </xf>
    <xf numFmtId="180" fontId="44" fillId="10" borderId="24" xfId="0" applyNumberFormat="1" applyFont="1" applyFill="1" applyBorder="1" applyAlignment="1">
      <alignment horizontal="center" vertical="center" wrapText="1" readingOrder="1"/>
    </xf>
    <xf numFmtId="0" fontId="44" fillId="0" borderId="24" xfId="0" applyFont="1" applyBorder="1" applyAlignment="1">
      <alignment horizontal="center" vertical="center" wrapText="1" readingOrder="1"/>
    </xf>
    <xf numFmtId="0" fontId="45" fillId="0" borderId="24" xfId="0" applyFont="1" applyBorder="1" applyAlignment="1">
      <alignment horizontal="center" vertical="center" wrapText="1" readingOrder="1"/>
    </xf>
    <xf numFmtId="0" fontId="46" fillId="0" borderId="24" xfId="0" applyFont="1" applyBorder="1" applyAlignment="1">
      <alignment vertical="center" wrapText="1" readingOrder="1"/>
    </xf>
    <xf numFmtId="10" fontId="44" fillId="0" borderId="24" xfId="0" applyNumberFormat="1" applyFont="1" applyBorder="1" applyAlignment="1">
      <alignment horizontal="center" vertical="center" wrapText="1" readingOrder="1"/>
    </xf>
    <xf numFmtId="0" fontId="44" fillId="9" borderId="24" xfId="0" applyFont="1" applyFill="1" applyBorder="1" applyAlignment="1">
      <alignment horizontal="center" vertical="center" wrapText="1" readingOrder="1"/>
    </xf>
    <xf numFmtId="0" fontId="44" fillId="0" borderId="29" xfId="0" applyFont="1" applyBorder="1" applyAlignment="1">
      <alignment horizontal="center" vertical="center" wrapText="1" readingOrder="1"/>
    </xf>
    <xf numFmtId="180" fontId="44" fillId="0" borderId="24" xfId="0" applyNumberFormat="1" applyFont="1" applyBorder="1" applyAlignment="1">
      <alignment horizontal="center" vertical="center" wrapText="1" readingOrder="1"/>
    </xf>
    <xf numFmtId="176" fontId="44" fillId="0" borderId="24" xfId="0" applyNumberFormat="1" applyFont="1" applyBorder="1" applyAlignment="1">
      <alignment horizontal="center" vertical="center" wrapText="1" readingOrder="1"/>
    </xf>
    <xf numFmtId="0" fontId="0" fillId="17" borderId="0" xfId="0" applyFill="1">
      <alignment vertical="center"/>
    </xf>
    <xf numFmtId="14" fontId="0" fillId="17" borderId="0" xfId="0" applyNumberFormat="1" applyFill="1">
      <alignment vertical="center"/>
    </xf>
    <xf numFmtId="10" fontId="0" fillId="17" borderId="0" xfId="0" applyNumberFormat="1" applyFill="1">
      <alignment vertical="center"/>
    </xf>
    <xf numFmtId="0" fontId="0" fillId="5" borderId="0" xfId="0" applyFill="1" applyAlignment="1">
      <alignment vertical="center" wrapText="1"/>
    </xf>
    <xf numFmtId="0" fontId="48" fillId="15" borderId="8" xfId="0" applyFont="1" applyFill="1" applyBorder="1" applyAlignment="1">
      <alignment horizontal="center" vertical="center" wrapText="1" readingOrder="1"/>
    </xf>
    <xf numFmtId="0" fontId="48" fillId="15" borderId="9" xfId="0" applyFont="1" applyFill="1" applyBorder="1" applyAlignment="1">
      <alignment horizontal="center" vertical="center" wrapText="1" readingOrder="1"/>
    </xf>
    <xf numFmtId="184" fontId="48" fillId="5" borderId="10" xfId="0" applyNumberFormat="1" applyFont="1" applyFill="1" applyBorder="1" applyAlignment="1">
      <alignment horizontal="center" vertical="center" wrapText="1" readingOrder="1"/>
    </xf>
    <xf numFmtId="0" fontId="49" fillId="15" borderId="9" xfId="0" applyFont="1" applyFill="1" applyBorder="1" applyAlignment="1">
      <alignment horizontal="center" vertical="center" wrapText="1" readingOrder="1"/>
    </xf>
    <xf numFmtId="0" fontId="50" fillId="15" borderId="61" xfId="0" applyFont="1" applyFill="1" applyBorder="1" applyAlignment="1">
      <alignment horizontal="center" vertical="center" wrapText="1" readingOrder="1"/>
    </xf>
    <xf numFmtId="0" fontId="50" fillId="15" borderId="57" xfId="0" applyFont="1" applyFill="1" applyBorder="1" applyAlignment="1">
      <alignment horizontal="center" vertical="center" wrapText="1" readingOrder="1"/>
    </xf>
    <xf numFmtId="184" fontId="50" fillId="5" borderId="62" xfId="0" applyNumberFormat="1" applyFont="1" applyFill="1" applyBorder="1" applyAlignment="1">
      <alignment horizontal="center" vertical="center" wrapText="1" readingOrder="1"/>
    </xf>
    <xf numFmtId="0" fontId="28" fillId="13" borderId="8" xfId="0" applyFont="1" applyFill="1" applyBorder="1" applyAlignment="1">
      <alignment horizontal="center" vertical="center"/>
    </xf>
    <xf numFmtId="0" fontId="28" fillId="13" borderId="9" xfId="0" applyFont="1" applyFill="1" applyBorder="1" applyAlignment="1">
      <alignment horizontal="center" vertical="center"/>
    </xf>
    <xf numFmtId="0" fontId="28" fillId="13" borderId="10" xfId="0" applyFont="1" applyFill="1" applyBorder="1" applyAlignment="1">
      <alignment horizontal="center" vertical="center"/>
    </xf>
    <xf numFmtId="0" fontId="0" fillId="5" borderId="5" xfId="0" applyFill="1" applyBorder="1">
      <alignment vertical="center"/>
    </xf>
    <xf numFmtId="0" fontId="0" fillId="5" borderId="6" xfId="0" applyFill="1" applyBorder="1">
      <alignment vertical="center"/>
    </xf>
    <xf numFmtId="0" fontId="0" fillId="13" borderId="8" xfId="0" applyFill="1" applyBorder="1">
      <alignment vertical="center"/>
    </xf>
    <xf numFmtId="184" fontId="0" fillId="6" borderId="11" xfId="0" applyNumberFormat="1" applyFill="1" applyBorder="1">
      <alignment vertical="center"/>
    </xf>
    <xf numFmtId="184" fontId="0" fillId="6" borderId="4" xfId="0" applyNumberFormat="1" applyFill="1" applyBorder="1">
      <alignment vertical="center"/>
    </xf>
    <xf numFmtId="184" fontId="0" fillId="5" borderId="4" xfId="0" applyNumberFormat="1" applyFill="1" applyBorder="1">
      <alignment vertical="center"/>
    </xf>
    <xf numFmtId="0" fontId="28" fillId="18" borderId="19" xfId="0" applyFont="1" applyFill="1" applyBorder="1" applyAlignment="1">
      <alignment horizontal="center" vertical="center"/>
    </xf>
    <xf numFmtId="0" fontId="28" fillId="18" borderId="11" xfId="0" applyFont="1" applyFill="1" applyBorder="1" applyAlignment="1">
      <alignment horizontal="center" vertical="center"/>
    </xf>
    <xf numFmtId="0" fontId="28" fillId="18" borderId="4" xfId="0" applyFont="1" applyFill="1" applyBorder="1" applyAlignment="1">
      <alignment horizontal="center" vertical="center"/>
    </xf>
    <xf numFmtId="178" fontId="53" fillId="5" borderId="20" xfId="0" applyNumberFormat="1" applyFont="1" applyFill="1" applyBorder="1" applyAlignment="1">
      <alignment horizontal="center" vertical="center"/>
    </xf>
    <xf numFmtId="178" fontId="53" fillId="5" borderId="40" xfId="0" applyNumberFormat="1" applyFont="1" applyFill="1" applyBorder="1" applyAlignment="1">
      <alignment horizontal="center" vertical="center"/>
    </xf>
    <xf numFmtId="178" fontId="53" fillId="5" borderId="7" xfId="0" applyNumberFormat="1" applyFont="1" applyFill="1" applyBorder="1" applyAlignment="1">
      <alignment horizontal="center" vertical="center"/>
    </xf>
    <xf numFmtId="178" fontId="53" fillId="5" borderId="12" xfId="0" applyNumberFormat="1" applyFont="1" applyFill="1" applyBorder="1" applyAlignment="1">
      <alignment horizontal="center" vertical="center"/>
    </xf>
    <xf numFmtId="178" fontId="53" fillId="5" borderId="5" xfId="0" applyNumberFormat="1" applyFont="1" applyFill="1" applyBorder="1" applyAlignment="1">
      <alignment horizontal="center" vertical="center"/>
    </xf>
    <xf numFmtId="178" fontId="53" fillId="5" borderId="6" xfId="0" applyNumberFormat="1" applyFont="1" applyFill="1" applyBorder="1" applyAlignment="1">
      <alignment horizontal="center" vertical="center"/>
    </xf>
    <xf numFmtId="0" fontId="54" fillId="5" borderId="20" xfId="0" applyFont="1" applyFill="1" applyBorder="1" applyAlignment="1">
      <alignment horizontal="center" vertical="center"/>
    </xf>
    <xf numFmtId="0" fontId="54" fillId="5" borderId="7" xfId="0" applyFont="1" applyFill="1" applyBorder="1" applyAlignment="1">
      <alignment horizontal="center" vertical="center"/>
    </xf>
    <xf numFmtId="0" fontId="54" fillId="5" borderId="5" xfId="0" applyFont="1" applyFill="1" applyBorder="1" applyAlignment="1">
      <alignment horizontal="center" vertical="center"/>
    </xf>
    <xf numFmtId="184" fontId="56" fillId="5" borderId="2" xfId="0" applyNumberFormat="1" applyFont="1" applyFill="1" applyBorder="1" applyAlignment="1">
      <alignment horizontal="center" vertical="center"/>
    </xf>
    <xf numFmtId="184" fontId="56" fillId="5" borderId="3" xfId="0" applyNumberFormat="1" applyFont="1" applyFill="1" applyBorder="1" applyAlignment="1">
      <alignment horizontal="center" vertical="center"/>
    </xf>
    <xf numFmtId="0" fontId="55" fillId="19" borderId="1" xfId="0" applyFont="1" applyFill="1" applyBorder="1" applyAlignment="1">
      <alignment horizontal="center" vertical="center"/>
    </xf>
    <xf numFmtId="0" fontId="55" fillId="19" borderId="2" xfId="0" applyFont="1" applyFill="1" applyBorder="1" applyAlignment="1">
      <alignment horizontal="center" vertical="center"/>
    </xf>
    <xf numFmtId="10" fontId="57" fillId="9" borderId="24" xfId="0" applyNumberFormat="1" applyFont="1" applyFill="1" applyBorder="1" applyAlignment="1">
      <alignment horizontal="center" vertical="center" wrapText="1" readingOrder="1"/>
    </xf>
    <xf numFmtId="0" fontId="29" fillId="0" borderId="0" xfId="0" applyFont="1" applyAlignment="1">
      <alignment horizontal="center" vertical="center"/>
    </xf>
    <xf numFmtId="10" fontId="0" fillId="0" borderId="0" xfId="0" applyNumberFormat="1">
      <alignment vertical="center"/>
    </xf>
    <xf numFmtId="0" fontId="51" fillId="0" borderId="0" xfId="0" applyFont="1" applyAlignment="1">
      <alignment horizontal="center" vertical="center" wrapText="1" readingOrder="1"/>
    </xf>
    <xf numFmtId="0" fontId="36" fillId="0" borderId="0" xfId="0" applyFont="1" applyAlignment="1">
      <alignment horizontal="center" vertical="center" wrapText="1" readingOrder="1"/>
    </xf>
    <xf numFmtId="0" fontId="52" fillId="0" borderId="0" xfId="0" applyFont="1" applyAlignment="1">
      <alignment horizontal="center" vertical="center" wrapText="1" readingOrder="1"/>
    </xf>
    <xf numFmtId="0" fontId="4" fillId="0" borderId="0" xfId="0" applyFont="1" applyAlignment="1">
      <alignment horizontal="center" vertical="center" wrapText="1" readingOrder="1"/>
    </xf>
    <xf numFmtId="179" fontId="0" fillId="17" borderId="19" xfId="0" applyNumberFormat="1" applyFill="1" applyBorder="1" applyAlignment="1">
      <alignment horizontal="center" vertical="center"/>
    </xf>
    <xf numFmtId="0" fontId="0" fillId="17" borderId="20" xfId="0" applyFill="1" applyBorder="1" applyAlignment="1">
      <alignment horizontal="center" vertical="center"/>
    </xf>
    <xf numFmtId="0" fontId="0" fillId="5" borderId="84" xfId="0" applyFill="1" applyBorder="1">
      <alignment vertical="center"/>
    </xf>
    <xf numFmtId="0" fontId="0" fillId="5" borderId="85" xfId="0" applyFill="1" applyBorder="1">
      <alignment vertical="center"/>
    </xf>
    <xf numFmtId="0" fontId="5" fillId="13" borderId="1" xfId="0" applyFont="1" applyFill="1" applyBorder="1" applyAlignment="1">
      <alignment horizontal="center" vertical="center"/>
    </xf>
    <xf numFmtId="0" fontId="5" fillId="13" borderId="2" xfId="0" applyFont="1" applyFill="1" applyBorder="1" applyAlignment="1">
      <alignment horizontal="center" vertical="center"/>
    </xf>
    <xf numFmtId="0" fontId="5" fillId="13" borderId="3" xfId="0" applyFont="1" applyFill="1" applyBorder="1" applyAlignment="1">
      <alignment horizontal="center" vertical="center"/>
    </xf>
    <xf numFmtId="189" fontId="0" fillId="5" borderId="83" xfId="0" applyNumberFormat="1" applyFill="1" applyBorder="1">
      <alignment vertical="center"/>
    </xf>
    <xf numFmtId="0" fontId="0" fillId="6" borderId="20" xfId="0" applyFill="1" applyBorder="1">
      <alignment vertical="center"/>
    </xf>
    <xf numFmtId="0" fontId="0" fillId="6" borderId="40" xfId="0" applyFill="1" applyBorder="1">
      <alignment vertical="center"/>
    </xf>
    <xf numFmtId="188" fontId="0" fillId="17" borderId="7" xfId="0" applyNumberFormat="1" applyFill="1" applyBorder="1">
      <alignment vertical="center"/>
    </xf>
    <xf numFmtId="188" fontId="0" fillId="17" borderId="12" xfId="0" applyNumberFormat="1" applyFill="1" applyBorder="1">
      <alignment vertical="center"/>
    </xf>
    <xf numFmtId="188" fontId="0" fillId="17" borderId="5" xfId="0" applyNumberFormat="1" applyFill="1" applyBorder="1">
      <alignment vertical="center"/>
    </xf>
    <xf numFmtId="188" fontId="0" fillId="17" borderId="6" xfId="0" applyNumberFormat="1" applyFill="1" applyBorder="1">
      <alignment vertical="center"/>
    </xf>
    <xf numFmtId="184" fontId="0" fillId="6" borderId="19" xfId="0" applyNumberFormat="1" applyFill="1" applyBorder="1">
      <alignment vertical="center"/>
    </xf>
    <xf numFmtId="184" fontId="0" fillId="17" borderId="11" xfId="0" applyNumberFormat="1" applyFill="1" applyBorder="1">
      <alignment vertical="center"/>
    </xf>
    <xf numFmtId="184" fontId="0" fillId="17" borderId="4" xfId="0" applyNumberFormat="1" applyFill="1" applyBorder="1">
      <alignment vertical="center"/>
    </xf>
    <xf numFmtId="0" fontId="0" fillId="5" borderId="8" xfId="0" applyFill="1" applyBorder="1">
      <alignment vertical="center"/>
    </xf>
    <xf numFmtId="0" fontId="0" fillId="2" borderId="10" xfId="0" applyFill="1" applyBorder="1">
      <alignment vertical="center"/>
    </xf>
    <xf numFmtId="0" fontId="0" fillId="5" borderId="11" xfId="0" applyFill="1" applyBorder="1">
      <alignment vertical="center"/>
    </xf>
    <xf numFmtId="0" fontId="0" fillId="5" borderId="4" xfId="0" applyFill="1" applyBorder="1">
      <alignment vertical="center"/>
    </xf>
    <xf numFmtId="0" fontId="0" fillId="5" borderId="83" xfId="0" applyFill="1" applyBorder="1">
      <alignment vertical="center"/>
    </xf>
    <xf numFmtId="0" fontId="0" fillId="2" borderId="85" xfId="0" applyFill="1" applyBorder="1">
      <alignment vertical="center"/>
    </xf>
    <xf numFmtId="0" fontId="22" fillId="5" borderId="9" xfId="2" applyFill="1" applyBorder="1" applyAlignment="1">
      <alignment vertical="center"/>
    </xf>
    <xf numFmtId="0" fontId="22" fillId="5" borderId="7" xfId="2" applyFill="1" applyBorder="1" applyAlignment="1">
      <alignment vertical="center"/>
    </xf>
    <xf numFmtId="0" fontId="22" fillId="5" borderId="5" xfId="2" applyFill="1" applyBorder="1" applyAlignment="1">
      <alignment vertical="center"/>
    </xf>
    <xf numFmtId="0" fontId="22" fillId="5" borderId="84" xfId="2" applyFill="1" applyBorder="1" applyAlignment="1">
      <alignment vertical="center"/>
    </xf>
    <xf numFmtId="0" fontId="58" fillId="0" borderId="0" xfId="0" applyFont="1">
      <alignment vertical="center"/>
    </xf>
    <xf numFmtId="0" fontId="58" fillId="6" borderId="0" xfId="0" applyFont="1" applyFill="1">
      <alignment vertical="center"/>
    </xf>
    <xf numFmtId="0" fontId="43" fillId="16" borderId="69" xfId="0" applyFont="1" applyFill="1" applyBorder="1" applyAlignment="1">
      <alignment horizontal="center" vertical="center" wrapText="1" readingOrder="1"/>
    </xf>
    <xf numFmtId="0" fontId="43" fillId="16" borderId="57" xfId="0" applyFont="1" applyFill="1" applyBorder="1" applyAlignment="1">
      <alignment horizontal="center" vertical="center" wrapText="1" readingOrder="1"/>
    </xf>
    <xf numFmtId="0" fontId="30" fillId="0" borderId="76" xfId="0" applyFont="1" applyBorder="1" applyAlignment="1">
      <alignment horizontal="center" vertical="center" wrapText="1" readingOrder="1"/>
    </xf>
    <xf numFmtId="0" fontId="30" fillId="6" borderId="57" xfId="0" applyFont="1" applyFill="1" applyBorder="1" applyAlignment="1">
      <alignment horizontal="center" vertical="center" wrapText="1" readingOrder="1"/>
    </xf>
    <xf numFmtId="186" fontId="30" fillId="5" borderId="57" xfId="0" applyNumberFormat="1" applyFont="1" applyFill="1" applyBorder="1" applyAlignment="1">
      <alignment horizontal="center" vertical="center" wrapText="1" readingOrder="1"/>
    </xf>
    <xf numFmtId="0" fontId="60" fillId="6" borderId="57" xfId="0" applyFont="1" applyFill="1" applyBorder="1" applyAlignment="1">
      <alignment horizontal="left" vertical="center" wrapText="1" readingOrder="1"/>
    </xf>
    <xf numFmtId="0" fontId="61" fillId="5" borderId="77" xfId="0" applyFont="1" applyFill="1" applyBorder="1" applyAlignment="1">
      <alignment horizontal="center" vertical="center" wrapText="1" readingOrder="1"/>
    </xf>
    <xf numFmtId="178" fontId="61" fillId="5" borderId="57" xfId="0" applyNumberFormat="1" applyFont="1" applyFill="1" applyBorder="1" applyAlignment="1">
      <alignment horizontal="center" vertical="center" wrapText="1" readingOrder="1"/>
    </xf>
    <xf numFmtId="185" fontId="61" fillId="5" borderId="57" xfId="0" applyNumberFormat="1" applyFont="1" applyFill="1" applyBorder="1" applyAlignment="1">
      <alignment horizontal="center" vertical="center" wrapText="1" readingOrder="1"/>
    </xf>
    <xf numFmtId="10" fontId="61" fillId="5" borderId="57" xfId="0" applyNumberFormat="1" applyFont="1" applyFill="1" applyBorder="1" applyAlignment="1">
      <alignment horizontal="center" vertical="center" wrapText="1" readingOrder="1"/>
    </xf>
    <xf numFmtId="186" fontId="61" fillId="5" borderId="57" xfId="0" applyNumberFormat="1" applyFont="1" applyFill="1" applyBorder="1" applyAlignment="1">
      <alignment horizontal="center" vertical="center" wrapText="1" readingOrder="1"/>
    </xf>
    <xf numFmtId="0" fontId="62" fillId="13" borderId="15" xfId="0" applyFont="1" applyFill="1" applyBorder="1" applyAlignment="1">
      <alignment horizontal="center" vertical="center"/>
    </xf>
    <xf numFmtId="22" fontId="58" fillId="6" borderId="18" xfId="0" applyNumberFormat="1" applyFont="1" applyFill="1" applyBorder="1">
      <alignment vertical="center"/>
    </xf>
    <xf numFmtId="0" fontId="62" fillId="13" borderId="18" xfId="0" applyFont="1" applyFill="1" applyBorder="1" applyAlignment="1">
      <alignment horizontal="center" vertical="center"/>
    </xf>
    <xf numFmtId="0" fontId="30" fillId="6" borderId="78" xfId="0" applyFont="1" applyFill="1" applyBorder="1" applyAlignment="1">
      <alignment horizontal="center" vertical="center" wrapText="1" readingOrder="1"/>
    </xf>
    <xf numFmtId="0" fontId="60" fillId="6" borderId="77" xfId="0" applyFont="1" applyFill="1" applyBorder="1" applyAlignment="1">
      <alignment horizontal="left" vertical="center" wrapText="1" readingOrder="1"/>
    </xf>
    <xf numFmtId="187" fontId="58" fillId="6" borderId="16" xfId="0" applyNumberFormat="1" applyFont="1" applyFill="1" applyBorder="1" applyAlignment="1">
      <alignment horizontal="center" vertical="center"/>
    </xf>
    <xf numFmtId="186" fontId="43" fillId="5" borderId="81" xfId="0" applyNumberFormat="1" applyFont="1" applyFill="1" applyBorder="1" applyAlignment="1">
      <alignment horizontal="center" vertical="center" wrapText="1" readingOrder="1"/>
    </xf>
    <xf numFmtId="0" fontId="63" fillId="15" borderId="81" xfId="0" applyFont="1" applyFill="1" applyBorder="1" applyAlignment="1">
      <alignment vertical="center" wrapText="1"/>
    </xf>
    <xf numFmtId="0" fontId="43" fillId="15" borderId="81" xfId="0" applyFont="1" applyFill="1" applyBorder="1" applyAlignment="1">
      <alignment horizontal="left" vertical="center" wrapText="1" readingOrder="1"/>
    </xf>
    <xf numFmtId="178" fontId="43" fillId="5" borderId="81" xfId="0" applyNumberFormat="1" applyFont="1" applyFill="1" applyBorder="1" applyAlignment="1">
      <alignment horizontal="center" vertical="center" wrapText="1" readingOrder="1"/>
    </xf>
    <xf numFmtId="3" fontId="43" fillId="5" borderId="81" xfId="0" applyNumberFormat="1" applyFont="1" applyFill="1" applyBorder="1" applyAlignment="1">
      <alignment horizontal="center" vertical="center" wrapText="1" readingOrder="1"/>
    </xf>
    <xf numFmtId="185" fontId="43" fillId="5" borderId="81" xfId="0" applyNumberFormat="1" applyFont="1" applyFill="1" applyBorder="1" applyAlignment="1">
      <alignment horizontal="center" vertical="center" wrapText="1" readingOrder="1"/>
    </xf>
    <xf numFmtId="10" fontId="43" fillId="5" borderId="81" xfId="0" applyNumberFormat="1" applyFont="1" applyFill="1" applyBorder="1" applyAlignment="1">
      <alignment horizontal="center" vertical="center" wrapText="1" readingOrder="1"/>
    </xf>
    <xf numFmtId="186" fontId="43" fillId="5" borderId="82" xfId="0" applyNumberFormat="1" applyFont="1" applyFill="1" applyBorder="1" applyAlignment="1">
      <alignment horizontal="center" vertical="center" wrapText="1" readingOrder="1"/>
    </xf>
    <xf numFmtId="0" fontId="59" fillId="5" borderId="0" xfId="0" applyFont="1" applyFill="1">
      <alignment vertical="center"/>
    </xf>
    <xf numFmtId="0" fontId="64" fillId="0" borderId="0" xfId="0" applyFont="1">
      <alignment vertical="center"/>
    </xf>
    <xf numFmtId="0" fontId="30" fillId="5" borderId="57" xfId="0" applyFont="1" applyFill="1" applyBorder="1" applyAlignment="1">
      <alignment horizontal="center" vertical="center" wrapText="1" readingOrder="1"/>
    </xf>
    <xf numFmtId="0" fontId="60" fillId="5" borderId="57" xfId="0" applyFont="1" applyFill="1" applyBorder="1" applyAlignment="1">
      <alignment horizontal="left" vertical="center" wrapText="1" readingOrder="1"/>
    </xf>
    <xf numFmtId="0" fontId="65" fillId="0" borderId="0" xfId="0" applyFont="1">
      <alignment vertical="center"/>
    </xf>
    <xf numFmtId="3" fontId="66" fillId="5" borderId="12" xfId="0" applyNumberFormat="1" applyFont="1" applyFill="1" applyBorder="1" applyAlignment="1">
      <alignment horizontal="center" vertical="center" wrapText="1" readingOrder="1"/>
    </xf>
    <xf numFmtId="188" fontId="0" fillId="17" borderId="0" xfId="0" applyNumberFormat="1" applyFill="1">
      <alignment vertical="center"/>
    </xf>
    <xf numFmtId="0" fontId="21" fillId="2" borderId="7" xfId="1" applyFill="1" applyBorder="1" applyAlignment="1">
      <alignment vertical="center"/>
    </xf>
    <xf numFmtId="0" fontId="0" fillId="0" borderId="0" xfId="0" quotePrefix="1">
      <alignment vertical="center"/>
    </xf>
    <xf numFmtId="10" fontId="5" fillId="0" borderId="12" xfId="0" applyNumberFormat="1" applyFont="1" applyBorder="1" applyAlignment="1">
      <alignment horizontal="center" vertical="center"/>
    </xf>
    <xf numFmtId="0" fontId="0" fillId="0" borderId="0" xfId="0" applyAlignment="1">
      <alignment horizontal="center"/>
    </xf>
    <xf numFmtId="0" fontId="0" fillId="6" borderId="47" xfId="0" applyFill="1" applyBorder="1" applyAlignment="1">
      <alignment horizontal="center" vertical="center"/>
    </xf>
    <xf numFmtId="0" fontId="0" fillId="0" borderId="0" xfId="0" applyAlignment="1">
      <alignment vertical="center" wrapText="1"/>
    </xf>
    <xf numFmtId="0" fontId="31" fillId="0" borderId="86" xfId="0" applyFont="1" applyBorder="1" applyAlignment="1">
      <alignment horizontal="center" vertical="center" wrapText="1" readingOrder="1"/>
    </xf>
    <xf numFmtId="177" fontId="58" fillId="0" borderId="0" xfId="0" applyNumberFormat="1" applyFont="1">
      <alignment vertical="center"/>
    </xf>
    <xf numFmtId="178" fontId="58" fillId="0" borderId="0" xfId="0" applyNumberFormat="1" applyFont="1">
      <alignment vertical="center"/>
    </xf>
    <xf numFmtId="0" fontId="67" fillId="3" borderId="0" xfId="0" applyFont="1" applyFill="1" applyAlignment="1">
      <alignment horizontal="center" vertical="center" wrapText="1" readingOrder="1"/>
    </xf>
    <xf numFmtId="177" fontId="58" fillId="5" borderId="4" xfId="0" applyNumberFormat="1" applyFont="1" applyFill="1" applyBorder="1" applyAlignment="1">
      <alignment horizontal="center" vertical="center"/>
    </xf>
    <xf numFmtId="178" fontId="58" fillId="6" borderId="5" xfId="0" applyNumberFormat="1" applyFont="1" applyFill="1" applyBorder="1" applyAlignment="1">
      <alignment horizontal="center"/>
    </xf>
    <xf numFmtId="177" fontId="62" fillId="4" borderId="7" xfId="0" applyNumberFormat="1" applyFont="1" applyFill="1" applyBorder="1" applyAlignment="1">
      <alignment horizontal="center" vertical="center"/>
    </xf>
    <xf numFmtId="178" fontId="62" fillId="4" borderId="7" xfId="0" applyNumberFormat="1" applyFont="1" applyFill="1" applyBorder="1" applyAlignment="1">
      <alignment horizontal="center" vertical="center"/>
    </xf>
    <xf numFmtId="178" fontId="62" fillId="4" borderId="7" xfId="0" quotePrefix="1" applyNumberFormat="1" applyFont="1" applyFill="1" applyBorder="1" applyAlignment="1">
      <alignment horizontal="center" vertical="center"/>
    </xf>
    <xf numFmtId="177" fontId="58" fillId="6" borderId="7" xfId="0" applyNumberFormat="1" applyFont="1" applyFill="1" applyBorder="1" applyAlignment="1">
      <alignment horizontal="center" vertical="center"/>
    </xf>
    <xf numFmtId="178" fontId="58" fillId="6" borderId="7" xfId="0" applyNumberFormat="1" applyFont="1" applyFill="1" applyBorder="1" applyAlignment="1">
      <alignment horizontal="center" vertical="center"/>
    </xf>
    <xf numFmtId="0" fontId="68" fillId="5" borderId="0" xfId="0" applyFont="1" applyFill="1">
      <alignment vertical="center"/>
    </xf>
    <xf numFmtId="0" fontId="69" fillId="0" borderId="0" xfId="0" applyFont="1" applyAlignment="1">
      <alignment horizontal="left" vertical="center" indent="1" readingOrder="1"/>
    </xf>
    <xf numFmtId="0" fontId="67" fillId="3" borderId="11" xfId="0" applyFont="1" applyFill="1" applyBorder="1" applyAlignment="1">
      <alignment horizontal="center" vertical="center" wrapText="1" readingOrder="1"/>
    </xf>
    <xf numFmtId="0" fontId="67" fillId="3" borderId="7" xfId="0" applyFont="1" applyFill="1" applyBorder="1" applyAlignment="1">
      <alignment horizontal="center" vertical="center" wrapText="1" readingOrder="1"/>
    </xf>
    <xf numFmtId="0" fontId="67" fillId="3" borderId="12" xfId="0" applyFont="1" applyFill="1" applyBorder="1" applyAlignment="1">
      <alignment horizontal="center" vertical="center" wrapText="1" readingOrder="1"/>
    </xf>
    <xf numFmtId="0" fontId="30" fillId="0" borderId="0" xfId="0" applyFont="1" applyAlignment="1">
      <alignment horizontal="left" vertical="center" readingOrder="1"/>
    </xf>
    <xf numFmtId="178" fontId="58" fillId="5" borderId="5" xfId="0" applyNumberFormat="1" applyFont="1" applyFill="1" applyBorder="1" applyAlignment="1">
      <alignment horizontal="center" vertical="center"/>
    </xf>
    <xf numFmtId="178" fontId="58" fillId="5" borderId="6" xfId="0" applyNumberFormat="1" applyFont="1" applyFill="1" applyBorder="1" applyAlignment="1">
      <alignment horizontal="center" vertical="center"/>
    </xf>
    <xf numFmtId="0" fontId="70" fillId="0" borderId="0" xfId="0" applyFont="1">
      <alignment vertical="center"/>
    </xf>
    <xf numFmtId="0" fontId="71" fillId="0" borderId="0" xfId="0" applyFont="1" applyAlignment="1">
      <alignment horizontal="left" vertical="center" indent="1" readingOrder="1"/>
    </xf>
    <xf numFmtId="0" fontId="71" fillId="5" borderId="0" xfId="0" applyFont="1" applyFill="1" applyAlignment="1">
      <alignment vertical="center" readingOrder="1"/>
    </xf>
    <xf numFmtId="0" fontId="73" fillId="5" borderId="7" xfId="0" applyFont="1" applyFill="1" applyBorder="1">
      <alignment vertical="center"/>
    </xf>
    <xf numFmtId="0" fontId="74" fillId="0" borderId="7" xfId="0" applyFont="1" applyBorder="1">
      <alignment vertical="center"/>
    </xf>
    <xf numFmtId="0" fontId="75" fillId="0" borderId="0" xfId="0" quotePrefix="1" applyFont="1">
      <alignment vertical="center"/>
    </xf>
    <xf numFmtId="0" fontId="75" fillId="0" borderId="0" xfId="0" applyFont="1">
      <alignment vertical="center"/>
    </xf>
    <xf numFmtId="177" fontId="58" fillId="6" borderId="7" xfId="0" quotePrefix="1" applyNumberFormat="1" applyFont="1" applyFill="1" applyBorder="1" applyAlignment="1">
      <alignment horizontal="center" vertical="center"/>
    </xf>
    <xf numFmtId="0" fontId="76" fillId="0" borderId="0" xfId="0" applyFont="1">
      <alignment vertical="center"/>
    </xf>
    <xf numFmtId="0" fontId="77" fillId="0" borderId="0" xfId="0" applyFont="1">
      <alignment vertical="center"/>
    </xf>
    <xf numFmtId="0" fontId="77" fillId="5" borderId="0" xfId="0" applyFont="1" applyFill="1">
      <alignment vertical="center"/>
    </xf>
    <xf numFmtId="176" fontId="58" fillId="0" borderId="0" xfId="0" applyNumberFormat="1" applyFont="1">
      <alignment vertical="center"/>
    </xf>
    <xf numFmtId="177" fontId="62" fillId="13" borderId="8" xfId="0" applyNumberFormat="1" applyFont="1" applyFill="1" applyBorder="1" applyAlignment="1">
      <alignment horizontal="center" vertical="center"/>
    </xf>
    <xf numFmtId="178" fontId="62" fillId="13" borderId="9" xfId="0" applyNumberFormat="1" applyFont="1" applyFill="1" applyBorder="1" applyAlignment="1">
      <alignment horizontal="center" vertical="center"/>
    </xf>
    <xf numFmtId="178" fontId="62" fillId="13" borderId="10" xfId="0" quotePrefix="1" applyNumberFormat="1" applyFont="1" applyFill="1" applyBorder="1" applyAlignment="1">
      <alignment horizontal="center" vertical="center"/>
    </xf>
    <xf numFmtId="177" fontId="58" fillId="0" borderId="0" xfId="0" quotePrefix="1" applyNumberFormat="1" applyFont="1">
      <alignment vertical="center"/>
    </xf>
    <xf numFmtId="0" fontId="78" fillId="18" borderId="11" xfId="0" applyFont="1" applyFill="1" applyBorder="1" applyAlignment="1">
      <alignment horizontal="center" vertical="center"/>
    </xf>
    <xf numFmtId="0" fontId="5" fillId="5" borderId="7" xfId="0" applyFont="1" applyFill="1" applyBorder="1" applyAlignment="1">
      <alignment horizontal="center" vertical="center"/>
    </xf>
    <xf numFmtId="178" fontId="79" fillId="5" borderId="7" xfId="0" applyNumberFormat="1" applyFont="1" applyFill="1" applyBorder="1" applyAlignment="1">
      <alignment horizontal="center" vertical="center"/>
    </xf>
    <xf numFmtId="178" fontId="79" fillId="5" borderId="12" xfId="0" applyNumberFormat="1" applyFont="1" applyFill="1" applyBorder="1" applyAlignment="1">
      <alignment horizontal="center" vertical="center"/>
    </xf>
    <xf numFmtId="0" fontId="43" fillId="0" borderId="61" xfId="0" applyFont="1" applyBorder="1" applyAlignment="1">
      <alignment horizontal="center" vertical="center" wrapText="1" readingOrder="1"/>
    </xf>
    <xf numFmtId="177" fontId="0" fillId="5" borderId="19" xfId="0" applyNumberFormat="1" applyFill="1" applyBorder="1" applyAlignment="1">
      <alignment horizontal="center" vertical="center"/>
    </xf>
    <xf numFmtId="178" fontId="0" fillId="5" borderId="20" xfId="6" applyNumberFormat="1" applyFont="1" applyFill="1" applyBorder="1" applyAlignment="1">
      <alignment horizontal="center"/>
    </xf>
    <xf numFmtId="178" fontId="0" fillId="5" borderId="40" xfId="6" applyNumberFormat="1" applyFont="1" applyFill="1" applyBorder="1" applyAlignment="1">
      <alignment horizontal="center"/>
    </xf>
    <xf numFmtId="0" fontId="5" fillId="14" borderId="1" xfId="0" applyFont="1" applyFill="1" applyBorder="1" applyAlignment="1">
      <alignment horizontal="center" vertical="center"/>
    </xf>
    <xf numFmtId="0" fontId="5" fillId="14" borderId="2" xfId="0" applyFont="1" applyFill="1" applyBorder="1" applyAlignment="1">
      <alignment horizontal="center" vertical="center"/>
    </xf>
    <xf numFmtId="0" fontId="5" fillId="14" borderId="3" xfId="0" applyFont="1" applyFill="1" applyBorder="1" applyAlignment="1">
      <alignment horizontal="center" vertical="center"/>
    </xf>
    <xf numFmtId="190" fontId="0" fillId="5" borderId="0" xfId="0" applyNumberFormat="1" applyFill="1">
      <alignment vertical="center"/>
    </xf>
    <xf numFmtId="0" fontId="80" fillId="5" borderId="7" xfId="0" applyFont="1" applyFill="1" applyBorder="1" applyAlignment="1">
      <alignment horizontal="center" vertical="center"/>
    </xf>
    <xf numFmtId="0" fontId="81" fillId="5" borderId="7" xfId="0" applyFont="1" applyFill="1" applyBorder="1" applyAlignment="1">
      <alignment horizontal="center" vertical="center"/>
    </xf>
    <xf numFmtId="0" fontId="82" fillId="5" borderId="7" xfId="0" applyFont="1" applyFill="1" applyBorder="1" applyAlignment="1">
      <alignment horizontal="center" vertical="center"/>
    </xf>
    <xf numFmtId="0" fontId="83" fillId="5" borderId="12" xfId="0" applyFont="1" applyFill="1" applyBorder="1" applyAlignment="1">
      <alignment horizontal="center" vertical="center"/>
    </xf>
    <xf numFmtId="0" fontId="84" fillId="5" borderId="12" xfId="0" applyFont="1" applyFill="1" applyBorder="1" applyAlignment="1">
      <alignment horizontal="center" vertical="center"/>
    </xf>
    <xf numFmtId="185" fontId="59" fillId="5" borderId="83" xfId="0" applyNumberFormat="1" applyFont="1" applyFill="1" applyBorder="1" applyAlignment="1">
      <alignment horizontal="center" vertical="center" wrapText="1" readingOrder="1"/>
    </xf>
    <xf numFmtId="185" fontId="59" fillId="5" borderId="84" xfId="0" applyNumberFormat="1" applyFont="1" applyFill="1" applyBorder="1" applyAlignment="1">
      <alignment horizontal="center" vertical="center" wrapText="1" readingOrder="1"/>
    </xf>
    <xf numFmtId="9" fontId="59" fillId="5" borderId="84" xfId="0" applyNumberFormat="1" applyFont="1" applyFill="1" applyBorder="1" applyAlignment="1">
      <alignment horizontal="center" vertical="center" wrapText="1" readingOrder="1"/>
    </xf>
    <xf numFmtId="186" fontId="59" fillId="5" borderId="85" xfId="0" applyNumberFormat="1" applyFont="1" applyFill="1" applyBorder="1" applyAlignment="1">
      <alignment horizontal="center" vertical="center" wrapText="1" readingOrder="1"/>
    </xf>
    <xf numFmtId="0" fontId="85" fillId="0" borderId="1" xfId="0" applyFont="1" applyBorder="1" applyAlignment="1">
      <alignment horizontal="center" vertical="center" wrapText="1" readingOrder="1"/>
    </xf>
    <xf numFmtId="0" fontId="85" fillId="0" borderId="2" xfId="0" applyFont="1" applyBorder="1" applyAlignment="1">
      <alignment horizontal="center" vertical="center" wrapText="1" readingOrder="1"/>
    </xf>
    <xf numFmtId="0" fontId="85" fillId="0" borderId="3" xfId="0" applyFont="1" applyBorder="1" applyAlignment="1">
      <alignment horizontal="center" vertical="center" wrapText="1" readingOrder="1"/>
    </xf>
    <xf numFmtId="0" fontId="67" fillId="3" borderId="56" xfId="0" applyFont="1" applyFill="1" applyBorder="1" applyAlignment="1">
      <alignment horizontal="center" vertical="center" wrapText="1" readingOrder="1"/>
    </xf>
    <xf numFmtId="0" fontId="67" fillId="3" borderId="42" xfId="0" applyFont="1" applyFill="1" applyBorder="1" applyAlignment="1">
      <alignment horizontal="center" vertical="center" wrapText="1" readingOrder="1"/>
    </xf>
    <xf numFmtId="0" fontId="67" fillId="3" borderId="13" xfId="0" applyFont="1" applyFill="1" applyBorder="1" applyAlignment="1">
      <alignment horizontal="center" vertical="center" wrapText="1" readingOrder="1"/>
    </xf>
    <xf numFmtId="0" fontId="72" fillId="5" borderId="7" xfId="0" applyFont="1" applyFill="1" applyBorder="1" applyAlignment="1">
      <alignment horizontal="lef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51"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6" borderId="41" xfId="0" applyFill="1" applyBorder="1" applyAlignment="1">
      <alignment horizontal="center" vertical="center"/>
    </xf>
    <xf numFmtId="0" fontId="0" fillId="6" borderId="9" xfId="0" applyFill="1" applyBorder="1" applyAlignment="1">
      <alignment horizontal="center" vertical="center"/>
    </xf>
    <xf numFmtId="0" fontId="0" fillId="6" borderId="53"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32" fillId="15" borderId="4" xfId="0" applyFont="1" applyFill="1" applyBorder="1" applyAlignment="1">
      <alignment horizontal="center" vertical="center" wrapText="1" readingOrder="1"/>
    </xf>
    <xf numFmtId="0" fontId="32" fillId="15" borderId="5" xfId="0" applyFont="1" applyFill="1" applyBorder="1" applyAlignment="1">
      <alignment horizontal="center" vertical="center" wrapText="1" readingOrder="1"/>
    </xf>
    <xf numFmtId="0" fontId="47" fillId="13" borderId="65" xfId="0" applyFont="1" applyFill="1" applyBorder="1" applyAlignment="1">
      <alignment horizontal="center" vertical="center"/>
    </xf>
    <xf numFmtId="0" fontId="47" fillId="13" borderId="66" xfId="0" applyFont="1" applyFill="1" applyBorder="1" applyAlignment="1">
      <alignment horizontal="center" vertical="center"/>
    </xf>
    <xf numFmtId="0" fontId="47" fillId="13" borderId="37" xfId="0" applyFont="1" applyFill="1" applyBorder="1" applyAlignment="1">
      <alignment horizontal="center" vertical="center"/>
    </xf>
    <xf numFmtId="0" fontId="6" fillId="15" borderId="58" xfId="0" applyFont="1" applyFill="1" applyBorder="1" applyAlignment="1">
      <alignment horizontal="center" vertical="center" wrapText="1" readingOrder="1"/>
    </xf>
    <xf numFmtId="0" fontId="6" fillId="15" borderId="59" xfId="0" applyFont="1" applyFill="1" applyBorder="1" applyAlignment="1">
      <alignment horizontal="center" vertical="center" wrapText="1" readingOrder="1"/>
    </xf>
    <xf numFmtId="0" fontId="6" fillId="15" borderId="60" xfId="0" applyFont="1" applyFill="1" applyBorder="1" applyAlignment="1">
      <alignment horizontal="center" vertical="center" wrapText="1" readingOrder="1"/>
    </xf>
    <xf numFmtId="0" fontId="43" fillId="16" borderId="68" xfId="0" applyFont="1" applyFill="1" applyBorder="1" applyAlignment="1">
      <alignment horizontal="center" vertical="center" wrapText="1" readingOrder="1"/>
    </xf>
    <xf numFmtId="0" fontId="43" fillId="16" borderId="74" xfId="0" applyFont="1" applyFill="1" applyBorder="1" applyAlignment="1">
      <alignment horizontal="center" vertical="center" wrapText="1" readingOrder="1"/>
    </xf>
    <xf numFmtId="0" fontId="43" fillId="16" borderId="70" xfId="0" applyFont="1" applyFill="1" applyBorder="1" applyAlignment="1">
      <alignment horizontal="center" vertical="center" wrapText="1" readingOrder="1"/>
    </xf>
    <xf numFmtId="0" fontId="43" fillId="16" borderId="71" xfId="0" applyFont="1" applyFill="1" applyBorder="1" applyAlignment="1">
      <alignment horizontal="center" vertical="center" wrapText="1" readingOrder="1"/>
    </xf>
    <xf numFmtId="0" fontId="43" fillId="16" borderId="72" xfId="0" applyFont="1" applyFill="1" applyBorder="1" applyAlignment="1">
      <alignment horizontal="center" vertical="center" wrapText="1" readingOrder="1"/>
    </xf>
    <xf numFmtId="0" fontId="43" fillId="16" borderId="75" xfId="0" applyFont="1" applyFill="1" applyBorder="1" applyAlignment="1">
      <alignment horizontal="center" vertical="center" wrapText="1" readingOrder="1"/>
    </xf>
    <xf numFmtId="0" fontId="43" fillId="15" borderId="79" xfId="0" applyFont="1" applyFill="1" applyBorder="1" applyAlignment="1">
      <alignment horizontal="center" vertical="center" wrapText="1" readingOrder="1"/>
    </xf>
    <xf numFmtId="0" fontId="43" fillId="15" borderId="80" xfId="0" applyFont="1" applyFill="1" applyBorder="1" applyAlignment="1">
      <alignment horizontal="center" vertical="center" wrapText="1" readingOrder="1"/>
    </xf>
    <xf numFmtId="0" fontId="43" fillId="16" borderId="67" xfId="0" applyFont="1" applyFill="1" applyBorder="1" applyAlignment="1">
      <alignment horizontal="center" vertical="center" wrapText="1" readingOrder="1"/>
    </xf>
    <xf numFmtId="0" fontId="43" fillId="16" borderId="73" xfId="0" applyFont="1" applyFill="1" applyBorder="1" applyAlignment="1">
      <alignment horizontal="center" vertical="center" wrapText="1" readingOrder="1"/>
    </xf>
    <xf numFmtId="0" fontId="0" fillId="0" borderId="56" xfId="0" applyBorder="1" applyAlignment="1">
      <alignment horizontal="left" vertical="center"/>
    </xf>
    <xf numFmtId="0" fontId="0" fillId="0" borderId="13" xfId="0" applyBorder="1" applyAlignment="1">
      <alignment horizontal="left" vertical="center"/>
    </xf>
    <xf numFmtId="0" fontId="37" fillId="0" borderId="55" xfId="0" applyFont="1" applyBorder="1" applyAlignment="1">
      <alignment horizontal="left" vertical="center"/>
    </xf>
    <xf numFmtId="0" fontId="37" fillId="0" borderId="17" xfId="0" applyFont="1" applyBorder="1" applyAlignment="1">
      <alignment horizontal="left" vertical="center"/>
    </xf>
    <xf numFmtId="0" fontId="21" fillId="0" borderId="55" xfId="1" applyBorder="1" applyAlignment="1">
      <alignment horizontal="left" vertical="center"/>
    </xf>
    <xf numFmtId="0" fontId="0" fillId="0" borderId="17" xfId="0" applyBorder="1" applyAlignment="1">
      <alignment horizontal="left" vertical="center"/>
    </xf>
    <xf numFmtId="0" fontId="0" fillId="0" borderId="55" xfId="0" applyBorder="1" applyAlignment="1">
      <alignment horizontal="center" vertical="center"/>
    </xf>
    <xf numFmtId="0" fontId="0" fillId="0" borderId="17" xfId="0" applyBorder="1" applyAlignment="1">
      <alignment horizontal="center" vertical="center"/>
    </xf>
    <xf numFmtId="177" fontId="58" fillId="17" borderId="4" xfId="0" applyNumberFormat="1" applyFont="1" applyFill="1" applyBorder="1" applyAlignment="1">
      <alignment horizontal="center" vertical="center"/>
    </xf>
    <xf numFmtId="178" fontId="58" fillId="17" borderId="5" xfId="0" applyNumberFormat="1" applyFont="1" applyFill="1" applyBorder="1" applyAlignment="1">
      <alignment horizontal="center"/>
    </xf>
    <xf numFmtId="177" fontId="58" fillId="17" borderId="11" xfId="0" applyNumberFormat="1" applyFont="1" applyFill="1" applyBorder="1" applyAlignment="1">
      <alignment horizontal="center" vertical="center"/>
    </xf>
    <xf numFmtId="178" fontId="58" fillId="17" borderId="7" xfId="0" applyNumberFormat="1" applyFont="1" applyFill="1" applyBorder="1" applyAlignment="1">
      <alignment horizontal="center" vertical="center"/>
    </xf>
    <xf numFmtId="178" fontId="58" fillId="17" borderId="12" xfId="0" applyNumberFormat="1" applyFont="1" applyFill="1" applyBorder="1" applyAlignment="1">
      <alignment horizontal="center" vertical="center"/>
    </xf>
    <xf numFmtId="178" fontId="58" fillId="17" borderId="5" xfId="0" applyNumberFormat="1" applyFont="1" applyFill="1" applyBorder="1" applyAlignment="1">
      <alignment horizontal="center" vertical="center"/>
    </xf>
    <xf numFmtId="178" fontId="58" fillId="17" borderId="6" xfId="0" applyNumberFormat="1" applyFont="1" applyFill="1" applyBorder="1" applyAlignment="1">
      <alignment horizontal="center" vertical="center"/>
    </xf>
  </cellXfs>
  <cellStyles count="7">
    <cellStyle name="Hyperlink" xfId="1" builtinId="8"/>
    <cellStyle name="Normal" xfId="0" builtinId="0"/>
    <cellStyle name="쉼표 [0] 2" xfId="6" xr:uid="{E8B1B18E-5817-4499-AB2E-9CBA2B571C13}"/>
    <cellStyle name="표준 2" xfId="2" xr:uid="{00000000-0005-0000-0000-000001000000}"/>
    <cellStyle name="표준 2 2" xfId="3" xr:uid="{00000000-0005-0000-0000-000002000000}"/>
    <cellStyle name="표준 2 2 2" xfId="4" xr:uid="{FBBEA372-BCAD-4585-9467-9B5E386C6AEC}"/>
    <cellStyle name="표준 3" xfId="5" xr:uid="{4331234A-8BCF-4CFA-A54A-80A68E5F63D2}"/>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1" Type="http://schemas.openxmlformats.org/officeDocument/2006/relationships/image" Target="../media/image1.png"/></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페이지</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월</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baseline="0" dirty="0" err="1">
                <a:ln>
                  <a:solidFill>
                    <a:schemeClr val="bg1">
                      <a:alpha val="10000"/>
                    </a:schemeClr>
                  </a:solidFill>
                </a:ln>
                <a:latin typeface="나눔바른고딕" panose="020B0603020101020101" pitchFamily="50" charset="-127"/>
                <a:ea typeface="나눔바른고딕" panose="020B0603020101020101" pitchFamily="50" charset="-127"/>
              </a:rPr>
              <a:t>팔로워</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현황</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8480592647432504"/>
          <c:y val="1.0134098114560345E-2"/>
        </c:manualLayout>
      </c:layout>
      <c:overlay val="0"/>
      <c:spPr>
        <a:noFill/>
        <a:ln>
          <a:noFill/>
        </a:ln>
        <a:effectLst/>
      </c:spPr>
      <c:txPr>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3.7337769372594337E-2"/>
          <c:y val="0.22462550122332187"/>
          <c:w val="0.92113375171443201"/>
          <c:h val="0.65788943004200606"/>
        </c:manualLayout>
      </c:layout>
      <c:lineChart>
        <c:grouping val="standard"/>
        <c:varyColors val="0"/>
        <c:ser>
          <c:idx val="1"/>
          <c:order val="1"/>
          <c:tx>
            <c:strRef>
              <c:f>'월간 HL'!$I$36</c:f>
              <c:strCache>
                <c:ptCount val="1"/>
                <c:pt idx="0">
                  <c:v>오가닉</c:v>
                </c:pt>
              </c:strCache>
            </c:strRef>
          </c:tx>
          <c:spPr>
            <a:ln w="28575" cap="rnd">
              <a:solidFill>
                <a:srgbClr val="002060"/>
              </a:solidFill>
              <a:round/>
            </a:ln>
            <a:effectLst/>
          </c:spPr>
          <c:marker>
            <c:symbol val="circle"/>
            <c:size val="5"/>
            <c:spPr>
              <a:solidFill>
                <a:srgbClr val="002060"/>
              </a:solidFill>
              <a:ln w="9525">
                <a:solidFill>
                  <a:srgbClr val="00206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002060"/>
                    </a:solidFill>
                    <a:latin typeface="+mn-lt"/>
                    <a:ea typeface="+mn-ea"/>
                    <a:cs typeface="+mn-cs"/>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pt idx="12">
                  <c:v>45536</c:v>
                </c:pt>
              </c:numCache>
            </c:numRef>
          </c:cat>
          <c:val>
            <c:numRef>
              <c:f>'월간 HL'!$I$37:$I$49</c:f>
              <c:numCache>
                <c:formatCode>#,##0_ </c:formatCode>
                <c:ptCount val="13"/>
                <c:pt idx="0">
                  <c:v>81510</c:v>
                </c:pt>
                <c:pt idx="1">
                  <c:v>82805</c:v>
                </c:pt>
                <c:pt idx="2">
                  <c:v>84407</c:v>
                </c:pt>
                <c:pt idx="3">
                  <c:v>85319</c:v>
                </c:pt>
                <c:pt idx="4">
                  <c:v>86458</c:v>
                </c:pt>
                <c:pt idx="5">
                  <c:v>87626</c:v>
                </c:pt>
                <c:pt idx="6">
                  <c:v>88905</c:v>
                </c:pt>
                <c:pt idx="7">
                  <c:v>90725</c:v>
                </c:pt>
                <c:pt idx="8">
                  <c:v>93136</c:v>
                </c:pt>
                <c:pt idx="9">
                  <c:v>95434</c:v>
                </c:pt>
                <c:pt idx="10">
                  <c:v>99386</c:v>
                </c:pt>
                <c:pt idx="11">
                  <c:v>102500</c:v>
                </c:pt>
                <c:pt idx="12">
                  <c:v>105298</c:v>
                </c:pt>
              </c:numCache>
            </c:numRef>
          </c:val>
          <c:smooth val="0"/>
          <c:extLst>
            <c:ext xmlns:c16="http://schemas.microsoft.com/office/drawing/2014/chart" uri="{C3380CC4-5D6E-409C-BE32-E72D297353CC}">
              <c16:uniqueId val="{00000003-1FFC-4175-A0DB-98B7D9BE4EB9}"/>
            </c:ext>
          </c:extLst>
        </c:ser>
        <c:dLbls>
          <c:showLegendKey val="0"/>
          <c:showVal val="0"/>
          <c:showCatName val="0"/>
          <c:showSerName val="0"/>
          <c:showPercent val="0"/>
          <c:showBubbleSize val="0"/>
        </c:dLbls>
        <c:marker val="1"/>
        <c:smooth val="0"/>
        <c:axId val="-1754078448"/>
        <c:axId val="-1754073552"/>
      </c:lineChart>
      <c:lineChart>
        <c:grouping val="standard"/>
        <c:varyColors val="0"/>
        <c:ser>
          <c:idx val="0"/>
          <c:order val="0"/>
          <c:tx>
            <c:strRef>
              <c:f>'월간 HL'!$H$36</c:f>
              <c:strCache>
                <c:ptCount val="1"/>
                <c:pt idx="0">
                  <c:v>총합계</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C00000"/>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pt idx="12">
                  <c:v>45536</c:v>
                </c:pt>
              </c:numCache>
            </c:numRef>
          </c:cat>
          <c:val>
            <c:numRef>
              <c:f>'월간 HL'!$H$37:$H$49</c:f>
              <c:numCache>
                <c:formatCode>#,##0_ </c:formatCode>
                <c:ptCount val="13"/>
                <c:pt idx="0">
                  <c:v>86573</c:v>
                </c:pt>
                <c:pt idx="1">
                  <c:v>89234</c:v>
                </c:pt>
                <c:pt idx="2">
                  <c:v>91659</c:v>
                </c:pt>
                <c:pt idx="3">
                  <c:v>93101</c:v>
                </c:pt>
                <c:pt idx="4">
                  <c:v>94705</c:v>
                </c:pt>
                <c:pt idx="5">
                  <c:v>96767</c:v>
                </c:pt>
                <c:pt idx="6">
                  <c:v>98407</c:v>
                </c:pt>
                <c:pt idx="7">
                  <c:v>100455</c:v>
                </c:pt>
                <c:pt idx="8">
                  <c:v>103141</c:v>
                </c:pt>
                <c:pt idx="9">
                  <c:v>106003</c:v>
                </c:pt>
                <c:pt idx="10">
                  <c:v>112252</c:v>
                </c:pt>
                <c:pt idx="11">
                  <c:v>117210</c:v>
                </c:pt>
                <c:pt idx="12">
                  <c:v>122145</c:v>
                </c:pt>
              </c:numCache>
            </c:numRef>
          </c:val>
          <c:smooth val="0"/>
          <c:extLst>
            <c:ext xmlns:c16="http://schemas.microsoft.com/office/drawing/2014/chart" uri="{C3380CC4-5D6E-409C-BE32-E72D297353CC}">
              <c16:uniqueId val="{00000000-43F9-8643-AEB5-E6336B02A22B}"/>
            </c:ext>
          </c:extLst>
        </c:ser>
        <c:dLbls>
          <c:showLegendKey val="0"/>
          <c:showVal val="0"/>
          <c:showCatName val="0"/>
          <c:showSerName val="0"/>
          <c:showPercent val="0"/>
          <c:showBubbleSize val="0"/>
        </c:dLbls>
        <c:marker val="1"/>
        <c:smooth val="0"/>
        <c:axId val="733490672"/>
        <c:axId val="648619040"/>
      </c:lineChart>
      <c:dateAx>
        <c:axId val="-1754078448"/>
        <c:scaling>
          <c:orientation val="minMax"/>
        </c:scaling>
        <c:delete val="0"/>
        <c:axPos val="b"/>
        <c:numFmt formatCode="\'yy\ 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3552"/>
        <c:crosses val="autoZero"/>
        <c:auto val="1"/>
        <c:lblOffset val="100"/>
        <c:baseTimeUnit val="months"/>
      </c:dateAx>
      <c:valAx>
        <c:axId val="-1754073552"/>
        <c:scaling>
          <c:orientation val="minMax"/>
        </c:scaling>
        <c:delete val="1"/>
        <c:axPos val="l"/>
        <c:numFmt formatCode="#,##0_ " sourceLinked="1"/>
        <c:majorTickMark val="out"/>
        <c:minorTickMark val="none"/>
        <c:tickLblPos val="nextTo"/>
        <c:crossAx val="-1754078448"/>
        <c:crosses val="autoZero"/>
        <c:crossBetween val="between"/>
      </c:valAx>
      <c:valAx>
        <c:axId val="648619040"/>
        <c:scaling>
          <c:orientation val="minMax"/>
          <c:min val="70000"/>
        </c:scaling>
        <c:delete val="0"/>
        <c:axPos val="r"/>
        <c:numFmt formatCode="#,##0_ " sourceLinked="1"/>
        <c:majorTickMark val="out"/>
        <c:minorTickMark val="none"/>
        <c:tickLblPos val="none"/>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733490672"/>
        <c:crosses val="max"/>
        <c:crossBetween val="between"/>
      </c:valAx>
      <c:dateAx>
        <c:axId val="733490672"/>
        <c:scaling>
          <c:orientation val="minMax"/>
        </c:scaling>
        <c:delete val="1"/>
        <c:axPos val="b"/>
        <c:numFmt formatCode="\'yy\ mm" sourceLinked="1"/>
        <c:majorTickMark val="out"/>
        <c:minorTickMark val="none"/>
        <c:tickLblPos val="nextTo"/>
        <c:crossAx val="648619040"/>
        <c:crossesAt val="70000"/>
        <c:auto val="1"/>
        <c:lblOffset val="100"/>
        <c:baseTimeUnit val="months"/>
        <c:majorUnit val="1"/>
        <c:minorUnit val="1"/>
      </c:dateAx>
      <c:spPr>
        <a:noFill/>
        <a:ln>
          <a:noFill/>
        </a:ln>
        <a:effectLst/>
      </c:spPr>
    </c:plotArea>
    <c:legend>
      <c:legendPos val="l"/>
      <c:layout>
        <c:manualLayout>
          <c:xMode val="edge"/>
          <c:yMode val="edge"/>
          <c:x val="2.22974628193164E-2"/>
          <c:y val="0.11695040530786739"/>
          <c:w val="8.3157319059462373E-2"/>
          <c:h val="0.1742807011543853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noFill/>
    <a:ln w="9525" cap="rnd" cmpd="sng" algn="ctr">
      <a:no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신규 팔로워 일자별 유입 지수</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6529907166762771"/>
          <c:y val="1.6389591045840615E-2"/>
        </c:manualLayout>
      </c:layout>
      <c:overlay val="0"/>
      <c:spPr>
        <a:noFill/>
        <a:ln>
          <a:noFill/>
        </a:ln>
        <a:effectLst/>
      </c:spPr>
    </c:title>
    <c:autoTitleDeleted val="0"/>
    <c:plotArea>
      <c:layout>
        <c:manualLayout>
          <c:layoutTarget val="inner"/>
          <c:xMode val="edge"/>
          <c:yMode val="edge"/>
          <c:x val="4.2898856861828975E-2"/>
          <c:y val="0.18533118056280698"/>
          <c:w val="0.94369018045856656"/>
          <c:h val="0.54506509536747172"/>
        </c:manualLayout>
      </c:layout>
      <c:barChart>
        <c:barDir val="col"/>
        <c:grouping val="stacked"/>
        <c:varyColors val="0"/>
        <c:ser>
          <c:idx val="1"/>
          <c:order val="0"/>
          <c:tx>
            <c:strRef>
              <c:f>'일일 팔로워'!$D$10</c:f>
              <c:strCache>
                <c:ptCount val="1"/>
                <c:pt idx="0">
                  <c:v>9월 신규 오가닉 팔로워 수</c:v>
                </c:pt>
              </c:strCache>
            </c:strRef>
          </c:tx>
          <c:spPr>
            <a:solidFill>
              <a:srgbClr val="0E306D"/>
            </a:solidFill>
            <a:ln>
              <a:noFill/>
            </a:ln>
            <a:effectLst/>
          </c:spPr>
          <c:invertIfNegative val="0"/>
          <c:cat>
            <c:multiLvlStrRef>
              <c:extLst>
                <c:ext xmlns:c15="http://schemas.microsoft.com/office/drawing/2012/chart" uri="{02D57815-91ED-43cb-92C2-25804820EDAC}">
                  <c15:fullRef>
                    <c15:sqref>'일일 팔로워'!$A$11:$B$41</c15:sqref>
                  </c15:fullRef>
                </c:ext>
              </c:extLst>
              <c:f>'일일 팔로워'!$A$11:$B$40</c:f>
              <c:multiLvlStrCache>
                <c:ptCount val="30"/>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lvl>
              </c:multiLvlStrCache>
            </c:multiLvlStrRef>
          </c:cat>
          <c:val>
            <c:numRef>
              <c:extLst>
                <c:ext xmlns:c15="http://schemas.microsoft.com/office/drawing/2012/chart" uri="{02D57815-91ED-43cb-92C2-25804820EDAC}">
                  <c15:fullRef>
                    <c15:sqref>'일일 팔로워'!$D$11:$D$41</c15:sqref>
                  </c15:fullRef>
                </c:ext>
              </c:extLst>
              <c:f>'일일 팔로워'!$D$11:$D$40</c:f>
              <c:numCache>
                <c:formatCode>General</c:formatCode>
                <c:ptCount val="30"/>
                <c:pt idx="0">
                  <c:v>87</c:v>
                </c:pt>
                <c:pt idx="1">
                  <c:v>115</c:v>
                </c:pt>
                <c:pt idx="2">
                  <c:v>133</c:v>
                </c:pt>
                <c:pt idx="3">
                  <c:v>121</c:v>
                </c:pt>
                <c:pt idx="4">
                  <c:v>122</c:v>
                </c:pt>
                <c:pt idx="5">
                  <c:v>108</c:v>
                </c:pt>
                <c:pt idx="6">
                  <c:v>73</c:v>
                </c:pt>
                <c:pt idx="7">
                  <c:v>74</c:v>
                </c:pt>
                <c:pt idx="8">
                  <c:v>104</c:v>
                </c:pt>
                <c:pt idx="9">
                  <c:v>114</c:v>
                </c:pt>
                <c:pt idx="10">
                  <c:v>117</c:v>
                </c:pt>
                <c:pt idx="11">
                  <c:v>103</c:v>
                </c:pt>
                <c:pt idx="12">
                  <c:v>96</c:v>
                </c:pt>
                <c:pt idx="13">
                  <c:v>72</c:v>
                </c:pt>
                <c:pt idx="14">
                  <c:v>53</c:v>
                </c:pt>
                <c:pt idx="15">
                  <c:v>73</c:v>
                </c:pt>
                <c:pt idx="16">
                  <c:v>82</c:v>
                </c:pt>
                <c:pt idx="17">
                  <c:v>80</c:v>
                </c:pt>
                <c:pt idx="18">
                  <c:v>124</c:v>
                </c:pt>
                <c:pt idx="19">
                  <c:v>90</c:v>
                </c:pt>
                <c:pt idx="20">
                  <c:v>74</c:v>
                </c:pt>
                <c:pt idx="21">
                  <c:v>81</c:v>
                </c:pt>
                <c:pt idx="22">
                  <c:v>85</c:v>
                </c:pt>
                <c:pt idx="23">
                  <c:v>113</c:v>
                </c:pt>
                <c:pt idx="24">
                  <c:v>120</c:v>
                </c:pt>
                <c:pt idx="25">
                  <c:v>88</c:v>
                </c:pt>
                <c:pt idx="26">
                  <c:v>94</c:v>
                </c:pt>
                <c:pt idx="27">
                  <c:v>55</c:v>
                </c:pt>
                <c:pt idx="28">
                  <c:v>73</c:v>
                </c:pt>
                <c:pt idx="29">
                  <c:v>74</c:v>
                </c:pt>
              </c:numCache>
            </c:numRef>
          </c:val>
          <c:extLst>
            <c:ext xmlns:c16="http://schemas.microsoft.com/office/drawing/2014/chart" uri="{C3380CC4-5D6E-409C-BE32-E72D297353CC}">
              <c16:uniqueId val="{00000000-7B9D-406F-B517-15E18D8D0FD0}"/>
            </c:ext>
          </c:extLst>
        </c:ser>
        <c:ser>
          <c:idx val="4"/>
          <c:order val="4"/>
          <c:tx>
            <c:strRef>
              <c:f>'일일 팔로워'!$C$10</c:f>
              <c:strCache>
                <c:ptCount val="1"/>
                <c:pt idx="0">
                  <c:v>9월 광고 오가닉 팔로워 수</c:v>
                </c:pt>
              </c:strCache>
            </c:strRef>
          </c:tx>
          <c:spPr>
            <a:solidFill>
              <a:srgbClr val="0070C0"/>
            </a:solidFill>
            <a:ln w="19050">
              <a:noFill/>
            </a:ln>
          </c:spPr>
          <c:invertIfNegative val="0"/>
          <c:cat>
            <c:strLit>
              <c:ptCount val="30"/>
              <c:pt idx="0">
                <c:v>1
일</c:v>
              </c:pt>
              <c:pt idx="1">
                <c:v>1주차 2
월</c:v>
              </c:pt>
              <c:pt idx="2">
                <c:v>1주차 3
화</c:v>
              </c:pt>
              <c:pt idx="3">
                <c:v>1주차 4
수</c:v>
              </c:pt>
              <c:pt idx="4">
                <c:v>1주차 5
목</c:v>
              </c:pt>
              <c:pt idx="5">
                <c:v>1주차 6
금</c:v>
              </c:pt>
              <c:pt idx="6">
                <c:v>1주차 7
토</c:v>
              </c:pt>
              <c:pt idx="7">
                <c:v>1주차 8
일</c:v>
              </c:pt>
              <c:pt idx="8">
                <c:v>2주차 9
월</c:v>
              </c:pt>
              <c:pt idx="9">
                <c:v>2주차 10
화</c:v>
              </c:pt>
              <c:pt idx="10">
                <c:v>2주차 11
수</c:v>
              </c:pt>
              <c:pt idx="11">
                <c:v>2주차 12
목</c:v>
              </c:pt>
              <c:pt idx="12">
                <c:v>2주차 13
금</c:v>
              </c:pt>
              <c:pt idx="13">
                <c:v>2주차 14
토</c:v>
              </c:pt>
              <c:pt idx="14">
                <c:v>2주차 15
일</c:v>
              </c:pt>
              <c:pt idx="15">
                <c:v>3주차 16
월</c:v>
              </c:pt>
              <c:pt idx="16">
                <c:v>3주차 17
화</c:v>
              </c:pt>
              <c:pt idx="17">
                <c:v>3주차 18
수</c:v>
              </c:pt>
              <c:pt idx="18">
                <c:v>3주차 19
목</c:v>
              </c:pt>
              <c:pt idx="19">
                <c:v>3주차 20
금</c:v>
              </c:pt>
              <c:pt idx="20">
                <c:v>3주차 21
토</c:v>
              </c:pt>
              <c:pt idx="21">
                <c:v>3주차 22
일</c:v>
              </c:pt>
              <c:pt idx="22">
                <c:v>4주차 23
월</c:v>
              </c:pt>
              <c:pt idx="23">
                <c:v>4주차 24
화</c:v>
              </c:pt>
              <c:pt idx="24">
                <c:v>4주차 25
수</c:v>
              </c:pt>
              <c:pt idx="25">
                <c:v>4주차 26
목</c:v>
              </c:pt>
              <c:pt idx="26">
                <c:v>4주차 27
금</c:v>
              </c:pt>
              <c:pt idx="27">
                <c:v>4주차 28
토</c:v>
              </c:pt>
              <c:pt idx="28">
                <c:v>4주차 29
일</c:v>
              </c:pt>
              <c:pt idx="29">
                <c:v>5주차 30
월</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'일일 팔로워'!$C$11:$C$41</c15:sqref>
                  </c15:fullRef>
                </c:ext>
              </c:extLst>
              <c:f>'일일 팔로워'!$C$11:$C$40</c:f>
              <c:numCache>
                <c:formatCode>General</c:formatCode>
                <c:ptCount val="30"/>
                <c:pt idx="0">
                  <c:v>34</c:v>
                </c:pt>
                <c:pt idx="1">
                  <c:v>65</c:v>
                </c:pt>
                <c:pt idx="2">
                  <c:v>106</c:v>
                </c:pt>
                <c:pt idx="3">
                  <c:v>100</c:v>
                </c:pt>
                <c:pt idx="4">
                  <c:v>99</c:v>
                </c:pt>
                <c:pt idx="5">
                  <c:v>90</c:v>
                </c:pt>
                <c:pt idx="6">
                  <c:v>57</c:v>
                </c:pt>
                <c:pt idx="7">
                  <c:v>61</c:v>
                </c:pt>
                <c:pt idx="8">
                  <c:v>116</c:v>
                </c:pt>
                <c:pt idx="9">
                  <c:v>90</c:v>
                </c:pt>
                <c:pt idx="10">
                  <c:v>86</c:v>
                </c:pt>
                <c:pt idx="11">
                  <c:v>85</c:v>
                </c:pt>
                <c:pt idx="12">
                  <c:v>87</c:v>
                </c:pt>
                <c:pt idx="13">
                  <c:v>54</c:v>
                </c:pt>
                <c:pt idx="14">
                  <c:v>40</c:v>
                </c:pt>
                <c:pt idx="15">
                  <c:v>78</c:v>
                </c:pt>
                <c:pt idx="16">
                  <c:v>103</c:v>
                </c:pt>
                <c:pt idx="17">
                  <c:v>92</c:v>
                </c:pt>
                <c:pt idx="18">
                  <c:v>93</c:v>
                </c:pt>
                <c:pt idx="19">
                  <c:v>89</c:v>
                </c:pt>
                <c:pt idx="20">
                  <c:v>53</c:v>
                </c:pt>
                <c:pt idx="21">
                  <c:v>48</c:v>
                </c:pt>
                <c:pt idx="22">
                  <c:v>86</c:v>
                </c:pt>
                <c:pt idx="23">
                  <c:v>99</c:v>
                </c:pt>
                <c:pt idx="24">
                  <c:v>88</c:v>
                </c:pt>
                <c:pt idx="25">
                  <c:v>102</c:v>
                </c:pt>
                <c:pt idx="26">
                  <c:v>86</c:v>
                </c:pt>
                <c:pt idx="27">
                  <c:v>63</c:v>
                </c:pt>
                <c:pt idx="28">
                  <c:v>56</c:v>
                </c:pt>
                <c:pt idx="29">
                  <c:v>74</c:v>
                </c:pt>
              </c:numCache>
            </c:numRef>
          </c:val>
          <c:extLst>
            <c:ext xmlns:c16="http://schemas.microsoft.com/office/drawing/2014/chart" uri="{C3380CC4-5D6E-409C-BE32-E72D297353CC}">
              <c16:uniqueId val="{00000000-7CF4-4A6D-B2AD-3DB5F8524A05}"/>
            </c:ext>
          </c:extLst>
        </c:ser>
        <c:dLbls>
          <c:showLegendKey val="0"/>
          <c:showVal val="0"/>
          <c:showCatName val="0"/>
          <c:showSerName val="0"/>
          <c:showPercent val="0"/>
          <c:showBubbleSize val="0"/>
        </c:dLbls>
        <c:gapWidth val="78"/>
        <c:overlap val="100"/>
        <c:axId val="-1754076816"/>
        <c:axId val="-1754076272"/>
        <c:extLst>
          <c:ext xmlns:c15="http://schemas.microsoft.com/office/drawing/2012/chart" uri="{02D57815-91ED-43cb-92C2-25804820EDAC}">
            <c15:filteredBarSeries>
              <c15:ser>
                <c:idx val="2"/>
                <c:order val="1"/>
                <c:tx>
                  <c:strRef>
                    <c:extLst>
                      <c:ext uri="{02D57815-91ED-43cb-92C2-25804820EDAC}">
                        <c15:formulaRef>
                          <c15:sqref>'일일 팔로워'!$E$10</c15:sqref>
                        </c15:formulaRef>
                      </c:ext>
                    </c:extLst>
                    <c:strCache>
                      <c:ptCount val="1"/>
                      <c:pt idx="0">
                        <c:v>9월 신규 오가닉+광고 팔로워 수</c:v>
                      </c:pt>
                    </c:strCache>
                  </c:strRef>
                </c:tx>
                <c:spPr>
                  <a:solidFill>
                    <a:srgbClr val="8FB2F1"/>
                  </a:solidFill>
                  <a:ln>
                    <a:noFill/>
                  </a:ln>
                  <a:effectLst/>
                </c:spPr>
                <c:invertIfNegative val="0"/>
                <c:cat>
                  <c:multiLvlStrRef>
                    <c:extLst>
                      <c:ext uri="{02D57815-91ED-43cb-92C2-25804820EDAC}">
                        <c15:fullRef>
                          <c15:sqref>'일일 팔로워'!$A$11:$B$41</c15:sqref>
                        </c15:fullRef>
                        <c15:formulaRef>
                          <c15:sqref>'일일 팔로워'!$A$11:$B$40</c15:sqref>
                        </c15:formulaRef>
                      </c:ext>
                    </c:extLst>
                    <c:multiLvlStrCache>
                      <c:ptCount val="30"/>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lvl>
                    </c:multiLvlStrCache>
                  </c:multiLvlStrRef>
                </c:cat>
                <c:val>
                  <c:numRef>
                    <c:extLst>
                      <c:ext uri="{02D57815-91ED-43cb-92C2-25804820EDAC}">
                        <c15:fullRef>
                          <c15:sqref>'일일 팔로워'!$E$11:$E$41</c15:sqref>
                        </c15:fullRef>
                        <c15:formulaRef>
                          <c15:sqref>'일일 팔로워'!$E$11:$E$40</c15:sqref>
                        </c15:formulaRef>
                      </c:ext>
                    </c:extLst>
                    <c:numCache>
                      <c:formatCode>General</c:formatCode>
                      <c:ptCount val="30"/>
                      <c:pt idx="0">
                        <c:v>121</c:v>
                      </c:pt>
                      <c:pt idx="1">
                        <c:v>180</c:v>
                      </c:pt>
                      <c:pt idx="2">
                        <c:v>239</c:v>
                      </c:pt>
                      <c:pt idx="3">
                        <c:v>221</c:v>
                      </c:pt>
                      <c:pt idx="4">
                        <c:v>221</c:v>
                      </c:pt>
                      <c:pt idx="5">
                        <c:v>198</c:v>
                      </c:pt>
                      <c:pt idx="6">
                        <c:v>130</c:v>
                      </c:pt>
                      <c:pt idx="7">
                        <c:v>135</c:v>
                      </c:pt>
                      <c:pt idx="8">
                        <c:v>220</c:v>
                      </c:pt>
                      <c:pt idx="9">
                        <c:v>204</c:v>
                      </c:pt>
                      <c:pt idx="10">
                        <c:v>203</c:v>
                      </c:pt>
                      <c:pt idx="11">
                        <c:v>188</c:v>
                      </c:pt>
                      <c:pt idx="12">
                        <c:v>183</c:v>
                      </c:pt>
                      <c:pt idx="13">
                        <c:v>126</c:v>
                      </c:pt>
                      <c:pt idx="14">
                        <c:v>93</c:v>
                      </c:pt>
                      <c:pt idx="15">
                        <c:v>151</c:v>
                      </c:pt>
                      <c:pt idx="16">
                        <c:v>185</c:v>
                      </c:pt>
                      <c:pt idx="17">
                        <c:v>172</c:v>
                      </c:pt>
                      <c:pt idx="18">
                        <c:v>217</c:v>
                      </c:pt>
                      <c:pt idx="19">
                        <c:v>179</c:v>
                      </c:pt>
                      <c:pt idx="20">
                        <c:v>127</c:v>
                      </c:pt>
                      <c:pt idx="21">
                        <c:v>129</c:v>
                      </c:pt>
                      <c:pt idx="22">
                        <c:v>171</c:v>
                      </c:pt>
                      <c:pt idx="23">
                        <c:v>212</c:v>
                      </c:pt>
                      <c:pt idx="24">
                        <c:v>208</c:v>
                      </c:pt>
                      <c:pt idx="25">
                        <c:v>190</c:v>
                      </c:pt>
                      <c:pt idx="26">
                        <c:v>180</c:v>
                      </c:pt>
                      <c:pt idx="27">
                        <c:v>118</c:v>
                      </c:pt>
                      <c:pt idx="28">
                        <c:v>129</c:v>
                      </c:pt>
                      <c:pt idx="29">
                        <c:v>148</c:v>
                      </c:pt>
                    </c:numCache>
                  </c:numRef>
                </c:val>
                <c:extLst>
                  <c:ext xmlns:c16="http://schemas.microsoft.com/office/drawing/2014/chart" uri="{C3380CC4-5D6E-409C-BE32-E72D297353CC}">
                    <c16:uniqueId val="{00000001-7B9D-406F-B517-15E18D8D0FD0}"/>
                  </c:ext>
                </c:extLst>
              </c15:ser>
            </c15:filteredBarSeries>
            <c15:filteredBarSeries>
              <c15:ser>
                <c:idx val="0"/>
                <c:order val="2"/>
                <c:tx>
                  <c:strRef>
                    <c:extLst xmlns:c15="http://schemas.microsoft.com/office/drawing/2012/chart">
                      <c:ext xmlns:c15="http://schemas.microsoft.com/office/drawing/2012/chart" uri="{02D57815-91ED-43cb-92C2-25804820EDAC}">
                        <c15:formulaRef>
                          <c15:sqref>'일일 팔로워'!$F$10</c15:sqref>
                        </c15:formulaRef>
                      </c:ext>
                    </c:extLst>
                    <c:strCache>
                      <c:ptCount val="1"/>
                      <c:pt idx="0">
                        <c:v>광고 집행 시작일</c:v>
                      </c:pt>
                    </c:strCache>
                  </c:strRef>
                </c:tx>
                <c:spPr>
                  <a:ln w="19050">
                    <a:noFill/>
                  </a:ln>
                </c:spPr>
                <c:invertIfNegative val="0"/>
                <c:val>
                  <c:numRef>
                    <c:extLst xmlns:c15="http://schemas.microsoft.com/office/drawing/2012/chart">
                      <c:ext xmlns:c15="http://schemas.microsoft.com/office/drawing/2012/chart" uri="{02D57815-91ED-43cb-92C2-25804820EDAC}">
                        <c15:fullRef>
                          <c15:sqref>'일일 팔로워'!$F$11:$F$41</c15:sqref>
                        </c15:fullRef>
                        <c15:formulaRef>
                          <c15:sqref>'일일 팔로워'!$F$11:$F$40</c15:sqref>
                        </c15:formulaRef>
                      </c:ext>
                    </c:extLst>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229</c:v>
                      </c:pt>
                      <c:pt idx="20">
                        <c:v>#N/A</c:v>
                      </c:pt>
                      <c:pt idx="21">
                        <c:v>#N/A</c:v>
                      </c:pt>
                      <c:pt idx="22">
                        <c:v>#N/A</c:v>
                      </c:pt>
                      <c:pt idx="23">
                        <c:v>#N/A</c:v>
                      </c:pt>
                      <c:pt idx="24">
                        <c:v>#N/A</c:v>
                      </c:pt>
                      <c:pt idx="25">
                        <c:v>240</c:v>
                      </c:pt>
                      <c:pt idx="26">
                        <c:v>230</c:v>
                      </c:pt>
                      <c:pt idx="27">
                        <c:v>#N/A</c:v>
                      </c:pt>
                      <c:pt idx="28">
                        <c:v>#N/A</c:v>
                      </c:pt>
                      <c:pt idx="29">
                        <c:v>#N/A</c:v>
                      </c:pt>
                    </c:numCache>
                  </c:numRef>
                </c:val>
                <c:extLst xmlns:c15="http://schemas.microsoft.com/office/drawing/2012/chart">
                  <c:ext xmlns:c16="http://schemas.microsoft.com/office/drawing/2014/chart" uri="{C3380CC4-5D6E-409C-BE32-E72D297353CC}">
                    <c16:uniqueId val="{00000002-7B9D-406F-B517-15E18D8D0FD0}"/>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'일일 팔로워'!$G$10</c15:sqref>
                        </c15:formulaRef>
                      </c:ext>
                    </c:extLst>
                    <c:strCache>
                      <c:ptCount val="1"/>
                      <c:pt idx="0">
                        <c:v>업로드?</c:v>
                      </c:pt>
                    </c:strCache>
                  </c:strRef>
                </c:tx>
                <c:invertIfNegative val="0"/>
                <c:cat>
                  <c:multiLvlStrRef>
                    <c:extLst xmlns:c15="http://schemas.microsoft.com/office/drawing/2012/chart">
                      <c:ext xmlns:c15="http://schemas.microsoft.com/office/drawing/2012/chart" uri="{02D57815-91ED-43cb-92C2-25804820EDAC}">
                        <c15:fullRef>
                          <c15:sqref>'일일 팔로워'!$A$11:$B$41</c15:sqref>
                        </c15:fullRef>
                        <c15:formulaRef>
                          <c15:sqref>'일일 팔로워'!$A$11:$B$40</c15:sqref>
                        </c15:formulaRef>
                      </c:ext>
                    </c:extLst>
                    <c:multiLvlStrCache>
                      <c:ptCount val="30"/>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lvl>
                    </c:multiLvlStrCache>
                  </c:multiLvlStrRef>
                </c:cat>
                <c:val>
                  <c:numRef>
                    <c:extLst xmlns:c15="http://schemas.microsoft.com/office/drawing/2012/chart">
                      <c:ext xmlns:c15="http://schemas.microsoft.com/office/drawing/2012/chart" uri="{02D57815-91ED-43cb-92C2-25804820EDAC}">
                        <c15:fullRef>
                          <c15:sqref>'일일 팔로워'!$G$11:$G$41</c15:sqref>
                        </c15:fullRef>
                        <c15:formulaRef>
                          <c15:sqref>'일일 팔로워'!$G$11:$G$40</c15:sqref>
                        </c15:formulaRef>
                      </c:ext>
                    </c:extLst>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xmlns:c15="http://schemas.microsoft.com/office/drawing/2012/chart">
                  <c:ext xmlns:c16="http://schemas.microsoft.com/office/drawing/2014/chart" uri="{C3380CC4-5D6E-409C-BE32-E72D297353CC}">
                    <c16:uniqueId val="{00000003-7B9D-406F-B517-15E18D8D0FD0}"/>
                  </c:ext>
                </c:extLst>
              </c15:ser>
            </c15:filteredBarSeries>
          </c:ext>
        </c:extLst>
      </c:barChart>
      <c:catAx>
        <c:axId val="-17540768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6272"/>
        <c:crosses val="autoZero"/>
        <c:auto val="1"/>
        <c:lblAlgn val="ctr"/>
        <c:lblOffset val="100"/>
        <c:noMultiLvlLbl val="0"/>
      </c:catAx>
      <c:valAx>
        <c:axId val="-1754076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crossAx val="-1754076816"/>
        <c:crosses val="autoZero"/>
        <c:crossBetween val="between"/>
      </c:valAx>
      <c:spPr>
        <a:noFill/>
        <a:ln>
          <a:noFill/>
        </a:ln>
        <a:effectLst/>
      </c:spPr>
    </c:plotArea>
    <c:legend>
      <c:legendPos val="b"/>
      <c:layout>
        <c:manualLayout>
          <c:xMode val="edge"/>
          <c:yMode val="edge"/>
          <c:x val="0.24475765276857664"/>
          <c:y val="0.10934086014938049"/>
          <c:w val="0.38030608530146148"/>
          <c:h val="5.7889119183234403E-2"/>
        </c:manualLayout>
      </c:layout>
      <c:overlay val="0"/>
      <c:spPr>
        <a:noFill/>
        <a:ln>
          <a:noFill/>
        </a:ln>
        <a:effectLst/>
      </c:spPr>
      <c:txPr>
        <a:bodyPr rot="0" spcFirstLastPara="1" vertOverflow="ellipsis" vert="horz" wrap="square" anchor="ctr" anchorCtr="1"/>
        <a:lstStyle/>
        <a:p>
          <a:pPr algn="just">
            <a:defRPr sz="950" b="1"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a:pPr>
      <a:endParaRPr lang="ko-K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1">
                  <c:v>136</c:v>
                </c:pt>
                <c:pt idx="2">
                  <c:v>63</c:v>
                </c:pt>
                <c:pt idx="3">
                  <c:v>89</c:v>
                </c:pt>
                <c:pt idx="4">
                  <c:v>133</c:v>
                </c:pt>
                <c:pt idx="5">
                  <c:v>94</c:v>
                </c:pt>
                <c:pt idx="6">
                  <c:v>47</c:v>
                </c:pt>
                <c:pt idx="7">
                  <c:v>107</c:v>
                </c:pt>
                <c:pt idx="8">
                  <c:v>207</c:v>
                </c:pt>
                <c:pt idx="9">
                  <c:v>95</c:v>
                </c:pt>
                <c:pt idx="10">
                  <c:v>105</c:v>
                </c:pt>
                <c:pt idx="11">
                  <c:v>87</c:v>
                </c:pt>
                <c:pt idx="12">
                  <c:v>124</c:v>
                </c:pt>
                <c:pt idx="13">
                  <c:v>113</c:v>
                </c:pt>
                <c:pt idx="14">
                  <c:v>124</c:v>
                </c:pt>
                <c:pt idx="15">
                  <c:v>94</c:v>
                </c:pt>
                <c:pt idx="16">
                  <c:v>93</c:v>
                </c:pt>
                <c:pt idx="17">
                  <c:v>76</c:v>
                </c:pt>
                <c:pt idx="18">
                  <c:v>109</c:v>
                </c:pt>
                <c:pt idx="19">
                  <c:v>92</c:v>
                </c:pt>
                <c:pt idx="20">
                  <c:v>55</c:v>
                </c:pt>
                <c:pt idx="21">
                  <c:v>160</c:v>
                </c:pt>
                <c:pt idx="22">
                  <c:v>128</c:v>
                </c:pt>
                <c:pt idx="23">
                  <c:v>89</c:v>
                </c:pt>
                <c:pt idx="24">
                  <c:v>41</c:v>
                </c:pt>
                <c:pt idx="25">
                  <c:v>45</c:v>
                </c:pt>
                <c:pt idx="26">
                  <c:v>55</c:v>
                </c:pt>
                <c:pt idx="27">
                  <c:v>80</c:v>
                </c:pt>
                <c:pt idx="28">
                  <c:v>177</c:v>
                </c:pt>
                <c:pt idx="29">
                  <c:v>119</c:v>
                </c:pt>
                <c:pt idx="30">
                  <c:v>109</c:v>
                </c:pt>
                <c:pt idx="31">
                  <c:v>158</c:v>
                </c:pt>
              </c:numCache>
            </c:numRef>
          </c:val>
          <c:smooth val="0"/>
          <c:extLst>
            <c:ext xmlns:c16="http://schemas.microsoft.com/office/drawing/2014/chart" uri="{C3380CC4-5D6E-409C-BE32-E72D297353CC}">
              <c16:uniqueId val="{00000000-076D-4DCC-9138-46A323820440}"/>
            </c:ext>
          </c:extLst>
        </c:ser>
        <c:ser>
          <c:idx val="5"/>
          <c:order val="5"/>
          <c:tx>
            <c:strRef>
              <c:f>'모바일 PV 월별 비교'!$F$3:$H$3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4">
                  <c:v>82</c:v>
                </c:pt>
                <c:pt idx="5">
                  <c:v>125</c:v>
                </c:pt>
                <c:pt idx="6">
                  <c:v>129</c:v>
                </c:pt>
                <c:pt idx="7">
                  <c:v>170</c:v>
                </c:pt>
                <c:pt idx="8">
                  <c:v>226</c:v>
                </c:pt>
                <c:pt idx="9">
                  <c:v>154</c:v>
                </c:pt>
                <c:pt idx="10">
                  <c:v>101</c:v>
                </c:pt>
                <c:pt idx="11">
                  <c:v>76</c:v>
                </c:pt>
                <c:pt idx="12">
                  <c:v>99</c:v>
                </c:pt>
                <c:pt idx="13">
                  <c:v>122</c:v>
                </c:pt>
                <c:pt idx="14">
                  <c:v>121</c:v>
                </c:pt>
                <c:pt idx="15">
                  <c:v>142</c:v>
                </c:pt>
                <c:pt idx="16">
                  <c:v>58</c:v>
                </c:pt>
                <c:pt idx="17">
                  <c:v>104</c:v>
                </c:pt>
                <c:pt idx="18">
                  <c:v>98</c:v>
                </c:pt>
                <c:pt idx="19">
                  <c:v>184</c:v>
                </c:pt>
                <c:pt idx="20">
                  <c:v>236</c:v>
                </c:pt>
                <c:pt idx="21">
                  <c:v>196</c:v>
                </c:pt>
                <c:pt idx="22">
                  <c:v>114</c:v>
                </c:pt>
                <c:pt idx="23">
                  <c:v>116</c:v>
                </c:pt>
                <c:pt idx="24">
                  <c:v>84</c:v>
                </c:pt>
                <c:pt idx="25">
                  <c:v>134</c:v>
                </c:pt>
                <c:pt idx="26">
                  <c:v>101</c:v>
                </c:pt>
                <c:pt idx="27">
                  <c:v>76</c:v>
                </c:pt>
                <c:pt idx="28">
                  <c:v>157</c:v>
                </c:pt>
                <c:pt idx="29">
                  <c:v>197</c:v>
                </c:pt>
                <c:pt idx="30">
                  <c:v>98</c:v>
                </c:pt>
                <c:pt idx="31">
                  <c:v>93</c:v>
                </c:pt>
                <c:pt idx="32">
                  <c:v>143</c:v>
                </c:pt>
                <c:pt idx="33">
                  <c:v>141</c:v>
                </c:pt>
                <c:pt idx="34">
                  <c:v>139</c:v>
                </c:pt>
              </c:numCache>
            </c:numRef>
          </c:val>
          <c:smooth val="0"/>
          <c:extLst>
            <c:ext xmlns:c16="http://schemas.microsoft.com/office/drawing/2014/chart" uri="{C3380CC4-5D6E-409C-BE32-E72D297353CC}">
              <c16:uniqueId val="{00000001-076D-4DCC-9138-46A323820440}"/>
            </c:ext>
          </c:extLst>
        </c:ser>
        <c:ser>
          <c:idx val="8"/>
          <c:order val="8"/>
          <c:tx>
            <c:strRef>
              <c:f>'모바일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206</c:v>
                </c:pt>
                <c:pt idx="1">
                  <c:v>165</c:v>
                </c:pt>
                <c:pt idx="2">
                  <c:v>134</c:v>
                </c:pt>
                <c:pt idx="3">
                  <c:v>101</c:v>
                </c:pt>
                <c:pt idx="4">
                  <c:v>147</c:v>
                </c:pt>
                <c:pt idx="5">
                  <c:v>140</c:v>
                </c:pt>
                <c:pt idx="6">
                  <c:v>188</c:v>
                </c:pt>
                <c:pt idx="7">
                  <c:v>169</c:v>
                </c:pt>
                <c:pt idx="8">
                  <c:v>137</c:v>
                </c:pt>
                <c:pt idx="9">
                  <c:v>135</c:v>
                </c:pt>
                <c:pt idx="10">
                  <c:v>152</c:v>
                </c:pt>
                <c:pt idx="11">
                  <c:v>120</c:v>
                </c:pt>
                <c:pt idx="12">
                  <c:v>159</c:v>
                </c:pt>
                <c:pt idx="13">
                  <c:v>142</c:v>
                </c:pt>
                <c:pt idx="14">
                  <c:v>185</c:v>
                </c:pt>
                <c:pt idx="15">
                  <c:v>161</c:v>
                </c:pt>
                <c:pt idx="16">
                  <c:v>123</c:v>
                </c:pt>
                <c:pt idx="17">
                  <c:v>70</c:v>
                </c:pt>
                <c:pt idx="18">
                  <c:v>143</c:v>
                </c:pt>
                <c:pt idx="19">
                  <c:v>173</c:v>
                </c:pt>
                <c:pt idx="20">
                  <c:v>184</c:v>
                </c:pt>
                <c:pt idx="21">
                  <c:v>281</c:v>
                </c:pt>
                <c:pt idx="22">
                  <c:v>212</c:v>
                </c:pt>
                <c:pt idx="23">
                  <c:v>157</c:v>
                </c:pt>
                <c:pt idx="24">
                  <c:v>133</c:v>
                </c:pt>
                <c:pt idx="25">
                  <c:v>127</c:v>
                </c:pt>
                <c:pt idx="26">
                  <c:v>194</c:v>
                </c:pt>
                <c:pt idx="27">
                  <c:v>177</c:v>
                </c:pt>
                <c:pt idx="28">
                  <c:v>249</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076D-4DCC-9138-46A323820440}"/>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076D-4DCC-9138-46A32382044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076D-4DCC-9138-46A32382044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076D-4DCC-9138-46A323820440}"/>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076D-4DCC-9138-46A323820440}"/>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076D-4DCC-9138-46A323820440}"/>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076D-4DCC-9138-46A323820440}"/>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1">
                  <c:v>261</c:v>
                </c:pt>
                <c:pt idx="2">
                  <c:v>67</c:v>
                </c:pt>
                <c:pt idx="3">
                  <c:v>89</c:v>
                </c:pt>
                <c:pt idx="4">
                  <c:v>256</c:v>
                </c:pt>
                <c:pt idx="5">
                  <c:v>228</c:v>
                </c:pt>
                <c:pt idx="6">
                  <c:v>142</c:v>
                </c:pt>
                <c:pt idx="7">
                  <c:v>250</c:v>
                </c:pt>
                <c:pt idx="8">
                  <c:v>219</c:v>
                </c:pt>
                <c:pt idx="9">
                  <c:v>75</c:v>
                </c:pt>
                <c:pt idx="10">
                  <c:v>51</c:v>
                </c:pt>
                <c:pt idx="11">
                  <c:v>215</c:v>
                </c:pt>
                <c:pt idx="12">
                  <c:v>271</c:v>
                </c:pt>
                <c:pt idx="13">
                  <c:v>235</c:v>
                </c:pt>
                <c:pt idx="14">
                  <c:v>288</c:v>
                </c:pt>
                <c:pt idx="15">
                  <c:v>224</c:v>
                </c:pt>
                <c:pt idx="16">
                  <c:v>57</c:v>
                </c:pt>
                <c:pt idx="17">
                  <c:v>57</c:v>
                </c:pt>
                <c:pt idx="18">
                  <c:v>211</c:v>
                </c:pt>
                <c:pt idx="19">
                  <c:v>262</c:v>
                </c:pt>
                <c:pt idx="20">
                  <c:v>213</c:v>
                </c:pt>
                <c:pt idx="21">
                  <c:v>204</c:v>
                </c:pt>
                <c:pt idx="22">
                  <c:v>201</c:v>
                </c:pt>
                <c:pt idx="23">
                  <c:v>71</c:v>
                </c:pt>
                <c:pt idx="24">
                  <c:v>30</c:v>
                </c:pt>
                <c:pt idx="25">
                  <c:v>94</c:v>
                </c:pt>
                <c:pt idx="26">
                  <c:v>164</c:v>
                </c:pt>
                <c:pt idx="27">
                  <c:v>165</c:v>
                </c:pt>
                <c:pt idx="28">
                  <c:v>165</c:v>
                </c:pt>
                <c:pt idx="29">
                  <c:v>162</c:v>
                </c:pt>
                <c:pt idx="30">
                  <c:v>68</c:v>
                </c:pt>
                <c:pt idx="31">
                  <c:v>82</c:v>
                </c:pt>
              </c:numCache>
            </c:numRef>
          </c:val>
          <c:smooth val="0"/>
          <c:extLst>
            <c:ext xmlns:c16="http://schemas.microsoft.com/office/drawing/2014/chart" uri="{C3380CC4-5D6E-409C-BE32-E72D297353CC}">
              <c16:uniqueId val="{0000000B-9BE7-4707-800C-CD0F375AC09D}"/>
            </c:ext>
          </c:extLst>
        </c:ser>
        <c:ser>
          <c:idx val="5"/>
          <c:order val="5"/>
          <c:tx>
            <c:strRef>
              <c:f>'PC PV 월별 비교'!$F$3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4">
                  <c:v>62</c:v>
                </c:pt>
                <c:pt idx="5">
                  <c:v>191</c:v>
                </c:pt>
                <c:pt idx="6">
                  <c:v>314</c:v>
                </c:pt>
                <c:pt idx="7">
                  <c:v>264</c:v>
                </c:pt>
                <c:pt idx="8">
                  <c:v>168</c:v>
                </c:pt>
                <c:pt idx="9">
                  <c:v>62</c:v>
                </c:pt>
                <c:pt idx="10">
                  <c:v>85</c:v>
                </c:pt>
                <c:pt idx="11">
                  <c:v>244</c:v>
                </c:pt>
                <c:pt idx="12">
                  <c:v>365</c:v>
                </c:pt>
                <c:pt idx="13">
                  <c:v>325</c:v>
                </c:pt>
                <c:pt idx="14">
                  <c:v>259</c:v>
                </c:pt>
                <c:pt idx="15">
                  <c:v>233</c:v>
                </c:pt>
                <c:pt idx="16">
                  <c:v>92</c:v>
                </c:pt>
                <c:pt idx="17">
                  <c:v>74</c:v>
                </c:pt>
                <c:pt idx="18">
                  <c:v>219</c:v>
                </c:pt>
                <c:pt idx="19">
                  <c:v>334</c:v>
                </c:pt>
                <c:pt idx="20">
                  <c:v>256</c:v>
                </c:pt>
                <c:pt idx="21">
                  <c:v>241</c:v>
                </c:pt>
                <c:pt idx="22">
                  <c:v>309</c:v>
                </c:pt>
                <c:pt idx="23">
                  <c:v>67</c:v>
                </c:pt>
                <c:pt idx="24">
                  <c:v>79</c:v>
                </c:pt>
                <c:pt idx="25">
                  <c:v>225</c:v>
                </c:pt>
                <c:pt idx="26">
                  <c:v>308</c:v>
                </c:pt>
                <c:pt idx="27">
                  <c:v>246</c:v>
                </c:pt>
                <c:pt idx="28">
                  <c:v>272</c:v>
                </c:pt>
                <c:pt idx="29">
                  <c:v>305</c:v>
                </c:pt>
                <c:pt idx="30">
                  <c:v>41</c:v>
                </c:pt>
                <c:pt idx="31">
                  <c:v>70</c:v>
                </c:pt>
                <c:pt idx="32">
                  <c:v>225</c:v>
                </c:pt>
                <c:pt idx="33">
                  <c:v>276</c:v>
                </c:pt>
                <c:pt idx="34">
                  <c:v>271</c:v>
                </c:pt>
              </c:numCache>
            </c:numRef>
          </c:val>
          <c:smooth val="0"/>
          <c:extLst>
            <c:ext xmlns:c16="http://schemas.microsoft.com/office/drawing/2014/chart" uri="{C3380CC4-5D6E-409C-BE32-E72D297353CC}">
              <c16:uniqueId val="{0000000E-9BE7-4707-800C-CD0F375AC09D}"/>
            </c:ext>
          </c:extLst>
        </c:ser>
        <c:ser>
          <c:idx val="8"/>
          <c:order val="8"/>
          <c:tx>
            <c:strRef>
              <c:f>'PC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290</c:v>
                </c:pt>
                <c:pt idx="1">
                  <c:v>240</c:v>
                </c:pt>
                <c:pt idx="2">
                  <c:v>49</c:v>
                </c:pt>
                <c:pt idx="3">
                  <c:v>74</c:v>
                </c:pt>
                <c:pt idx="4">
                  <c:v>259</c:v>
                </c:pt>
                <c:pt idx="5">
                  <c:v>290</c:v>
                </c:pt>
                <c:pt idx="6">
                  <c:v>405</c:v>
                </c:pt>
                <c:pt idx="7">
                  <c:v>277</c:v>
                </c:pt>
                <c:pt idx="8">
                  <c:v>179</c:v>
                </c:pt>
                <c:pt idx="9">
                  <c:v>73</c:v>
                </c:pt>
                <c:pt idx="10">
                  <c:v>71</c:v>
                </c:pt>
                <c:pt idx="11">
                  <c:v>189</c:v>
                </c:pt>
                <c:pt idx="12">
                  <c:v>311</c:v>
                </c:pt>
                <c:pt idx="13">
                  <c:v>345</c:v>
                </c:pt>
                <c:pt idx="14">
                  <c:v>227</c:v>
                </c:pt>
                <c:pt idx="15">
                  <c:v>269</c:v>
                </c:pt>
                <c:pt idx="16">
                  <c:v>67</c:v>
                </c:pt>
                <c:pt idx="17">
                  <c:v>87</c:v>
                </c:pt>
                <c:pt idx="18">
                  <c:v>291</c:v>
                </c:pt>
                <c:pt idx="19">
                  <c:v>242</c:v>
                </c:pt>
                <c:pt idx="20">
                  <c:v>321</c:v>
                </c:pt>
                <c:pt idx="21">
                  <c:v>244</c:v>
                </c:pt>
                <c:pt idx="22">
                  <c:v>289</c:v>
                </c:pt>
                <c:pt idx="23">
                  <c:v>73</c:v>
                </c:pt>
                <c:pt idx="24">
                  <c:v>63</c:v>
                </c:pt>
                <c:pt idx="25">
                  <c:v>307</c:v>
                </c:pt>
                <c:pt idx="26">
                  <c:v>270</c:v>
                </c:pt>
                <c:pt idx="27">
                  <c:v>337</c:v>
                </c:pt>
                <c:pt idx="28">
                  <c:v>275</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11-9BE7-4707-800C-CD0F375AC09D}"/>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9-9BE7-4707-800C-CD0F375AC09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A-9BE7-4707-800C-CD0F375AC09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C-9BE7-4707-800C-CD0F375AC09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D-9BE7-4707-800C-CD0F375AC09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F-9BE7-4707-800C-CD0F375AC09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10-9BE7-4707-800C-CD0F375AC09D}"/>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a:t>[</a:t>
            </a:r>
            <a:r>
              <a:rPr lang="ko-KR"/>
              <a:t> </a:t>
            </a:r>
            <a:r>
              <a:rPr lang="en-US"/>
              <a:t>Total Page Views by Desktop &amp; Mobile</a:t>
            </a:r>
            <a:r>
              <a:rPr lang="ko-KR"/>
              <a:t> </a:t>
            </a:r>
            <a:r>
              <a:rPr lang="en-US"/>
              <a:t>]</a:t>
            </a:r>
          </a:p>
        </c:rich>
      </c:tx>
      <c:layout>
        <c:manualLayout>
          <c:xMode val="edge"/>
          <c:yMode val="edge"/>
          <c:x val="0.35656597437023335"/>
          <c:y val="0"/>
        </c:manualLayout>
      </c:layout>
      <c:overlay val="0"/>
      <c:spPr>
        <a:noFill/>
        <a:ln>
          <a:noFill/>
        </a:ln>
        <a:effectLst/>
      </c:spPr>
      <c:txPr>
        <a:bodyPr rot="0" spcFirstLastPara="1" vertOverflow="ellipsis" vert="horz" wrap="square" anchor="ctr" anchorCtr="1"/>
        <a:lstStyle/>
        <a:p>
          <a:pPr>
            <a:defRPr sz="132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4.1783859883427692E-2"/>
          <c:y val="9.2871623472686432E-2"/>
          <c:w val="0.94187387056714322"/>
          <c:h val="0.63238325539742324"/>
        </c:manualLayout>
      </c:layout>
      <c:lineChart>
        <c:grouping val="standard"/>
        <c:varyColors val="0"/>
        <c:ser>
          <c:idx val="0"/>
          <c:order val="0"/>
          <c:tx>
            <c:strRef>
              <c:f>'PC 모바일 비교'!$C$10</c:f>
              <c:strCache>
                <c:ptCount val="1"/>
                <c:pt idx="0">
                  <c:v>DESKTOP</c:v>
                </c:pt>
              </c:strCache>
            </c:strRef>
          </c:tx>
          <c:spPr>
            <a:ln w="34925" cap="rnd">
              <a:solidFill>
                <a:srgbClr val="0E306D"/>
              </a:solidFill>
              <a:prstDash val="solid"/>
              <a:round/>
            </a:ln>
            <a:effectLst/>
          </c:spPr>
          <c:marker>
            <c:symbol val="none"/>
          </c:marker>
          <c:cat>
            <c:multiLvlStrRef>
              <c:f>'PC 모바일 비교'!$A$11:$B$41</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pt idx="30">
                    <c:v>#VALUE!</c:v>
                  </c:pt>
                </c:lvl>
              </c:multiLvlStrCache>
            </c:multiLvlStrRef>
          </c:cat>
          <c:val>
            <c:numRef>
              <c:f>'PC 모바일 비교'!$C$11:$C$41</c:f>
              <c:numCache>
                <c:formatCode>General</c:formatCode>
                <c:ptCount val="31"/>
                <c:pt idx="0">
                  <c:v>102</c:v>
                </c:pt>
                <c:pt idx="1">
                  <c:v>313</c:v>
                </c:pt>
                <c:pt idx="2">
                  <c:v>480</c:v>
                </c:pt>
                <c:pt idx="3">
                  <c:v>422</c:v>
                </c:pt>
                <c:pt idx="4">
                  <c:v>382</c:v>
                </c:pt>
                <c:pt idx="5">
                  <c:v>316</c:v>
                </c:pt>
                <c:pt idx="6">
                  <c:v>165</c:v>
                </c:pt>
                <c:pt idx="7">
                  <c:v>134</c:v>
                </c:pt>
                <c:pt idx="8">
                  <c:v>458</c:v>
                </c:pt>
                <c:pt idx="9">
                  <c:v>420</c:v>
                </c:pt>
                <c:pt idx="10">
                  <c:v>423</c:v>
                </c:pt>
                <c:pt idx="11">
                  <c:v>367</c:v>
                </c:pt>
                <c:pt idx="12">
                  <c:v>338</c:v>
                </c:pt>
                <c:pt idx="13">
                  <c:v>187</c:v>
                </c:pt>
                <c:pt idx="14">
                  <c:v>118</c:v>
                </c:pt>
                <c:pt idx="15">
                  <c:v>341</c:v>
                </c:pt>
                <c:pt idx="16">
                  <c:v>396</c:v>
                </c:pt>
                <c:pt idx="17">
                  <c:v>338</c:v>
                </c:pt>
                <c:pt idx="18">
                  <c:v>368</c:v>
                </c:pt>
                <c:pt idx="19">
                  <c:v>376</c:v>
                </c:pt>
                <c:pt idx="20">
                  <c:v>177</c:v>
                </c:pt>
                <c:pt idx="21">
                  <c:v>143</c:v>
                </c:pt>
                <c:pt idx="22">
                  <c:v>411</c:v>
                </c:pt>
                <c:pt idx="23">
                  <c:v>493</c:v>
                </c:pt>
                <c:pt idx="24">
                  <c:v>428</c:v>
                </c:pt>
                <c:pt idx="25">
                  <c:v>474</c:v>
                </c:pt>
                <c:pt idx="26">
                  <c:v>368</c:v>
                </c:pt>
                <c:pt idx="27">
                  <c:v>165</c:v>
                </c:pt>
                <c:pt idx="28">
                  <c:v>150</c:v>
                </c:pt>
                <c:pt idx="29">
                  <c:v>360</c:v>
                </c:pt>
                <c:pt idx="30">
                  <c:v>#N/A</c:v>
                </c:pt>
              </c:numCache>
            </c:numRef>
          </c:val>
          <c:smooth val="0"/>
          <c:extLst>
            <c:ext xmlns:c16="http://schemas.microsoft.com/office/drawing/2014/chart" uri="{C3380CC4-5D6E-409C-BE32-E72D297353CC}">
              <c16:uniqueId val="{00000000-1F70-4F8D-8C62-D2394AFE4FB5}"/>
            </c:ext>
          </c:extLst>
        </c:ser>
        <c:ser>
          <c:idx val="1"/>
          <c:order val="1"/>
          <c:tx>
            <c:strRef>
              <c:f>'PC 모바일 비교'!$D$10</c:f>
              <c:strCache>
                <c:ptCount val="1"/>
                <c:pt idx="0">
                  <c:v>MOBILE</c:v>
                </c:pt>
              </c:strCache>
            </c:strRef>
          </c:tx>
          <c:spPr>
            <a:ln w="34925" cap="rnd">
              <a:solidFill>
                <a:srgbClr val="C00000"/>
              </a:solidFill>
              <a:prstDash val="solid"/>
              <a:round/>
            </a:ln>
            <a:effectLst/>
          </c:spPr>
          <c:marker>
            <c:symbol val="none"/>
          </c:marker>
          <c:cat>
            <c:multiLvlStrRef>
              <c:f>'PC 모바일 비교'!$A$11:$B$41</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pt idx="30">
                    <c:v>#VALUE!</c:v>
                  </c:pt>
                </c:lvl>
              </c:multiLvlStrCache>
            </c:multiLvlStrRef>
          </c:cat>
          <c:val>
            <c:numRef>
              <c:f>'PC 모바일 비교'!$D$11:$D$41</c:f>
              <c:numCache>
                <c:formatCode>General</c:formatCode>
                <c:ptCount val="31"/>
                <c:pt idx="0">
                  <c:v>135</c:v>
                </c:pt>
                <c:pt idx="1">
                  <c:v>195</c:v>
                </c:pt>
                <c:pt idx="2">
                  <c:v>189</c:v>
                </c:pt>
                <c:pt idx="3">
                  <c:v>185</c:v>
                </c:pt>
                <c:pt idx="4">
                  <c:v>209</c:v>
                </c:pt>
                <c:pt idx="5">
                  <c:v>123</c:v>
                </c:pt>
                <c:pt idx="6">
                  <c:v>156</c:v>
                </c:pt>
                <c:pt idx="7">
                  <c:v>125</c:v>
                </c:pt>
                <c:pt idx="8">
                  <c:v>167</c:v>
                </c:pt>
                <c:pt idx="9">
                  <c:v>205</c:v>
                </c:pt>
                <c:pt idx="10">
                  <c:v>209</c:v>
                </c:pt>
                <c:pt idx="11">
                  <c:v>134</c:v>
                </c:pt>
                <c:pt idx="12">
                  <c:v>168</c:v>
                </c:pt>
                <c:pt idx="13">
                  <c:v>126</c:v>
                </c:pt>
                <c:pt idx="14">
                  <c:v>130</c:v>
                </c:pt>
                <c:pt idx="15">
                  <c:v>124</c:v>
                </c:pt>
                <c:pt idx="16">
                  <c:v>181</c:v>
                </c:pt>
                <c:pt idx="17">
                  <c:v>165</c:v>
                </c:pt>
                <c:pt idx="18">
                  <c:v>159</c:v>
                </c:pt>
                <c:pt idx="19">
                  <c:v>196</c:v>
                </c:pt>
                <c:pt idx="20">
                  <c:v>153</c:v>
                </c:pt>
                <c:pt idx="21">
                  <c:v>126</c:v>
                </c:pt>
                <c:pt idx="22">
                  <c:v>141</c:v>
                </c:pt>
                <c:pt idx="23">
                  <c:v>233</c:v>
                </c:pt>
                <c:pt idx="24">
                  <c:v>205</c:v>
                </c:pt>
                <c:pt idx="25">
                  <c:v>247</c:v>
                </c:pt>
                <c:pt idx="26">
                  <c:v>158</c:v>
                </c:pt>
                <c:pt idx="27">
                  <c:v>78</c:v>
                </c:pt>
                <c:pt idx="28">
                  <c:v>176</c:v>
                </c:pt>
                <c:pt idx="29">
                  <c:v>134</c:v>
                </c:pt>
                <c:pt idx="30">
                  <c:v>#N/A</c:v>
                </c:pt>
              </c:numCache>
            </c:numRef>
          </c:val>
          <c:smooth val="0"/>
          <c:extLst>
            <c:ext xmlns:c16="http://schemas.microsoft.com/office/drawing/2014/chart" uri="{C3380CC4-5D6E-409C-BE32-E72D297353CC}">
              <c16:uniqueId val="{00000001-1F70-4F8D-8C62-D2394AFE4FB5}"/>
            </c:ext>
          </c:extLst>
        </c:ser>
        <c:dLbls>
          <c:showLegendKey val="0"/>
          <c:showVal val="0"/>
          <c:showCatName val="0"/>
          <c:showSerName val="0"/>
          <c:showPercent val="0"/>
          <c:showBubbleSize val="0"/>
        </c:dLbls>
        <c:smooth val="0"/>
        <c:axId val="-1754074640"/>
        <c:axId val="-1754074096"/>
      </c:lineChart>
      <c:catAx>
        <c:axId val="-1754074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754074096"/>
        <c:crosses val="autoZero"/>
        <c:auto val="1"/>
        <c:lblAlgn val="ctr"/>
        <c:lblOffset val="100"/>
        <c:noMultiLvlLbl val="0"/>
      </c:catAx>
      <c:valAx>
        <c:axId val="-17540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75407464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rgbClr val="F5F5F5"/>
    </a:solidFill>
    <a:ln w="9525" cap="flat" cmpd="sng" algn="ctr">
      <a:noFill/>
      <a:round/>
    </a:ln>
    <a:effectLst/>
  </c:spPr>
  <c:txPr>
    <a:bodyPr/>
    <a:lstStyle/>
    <a:p>
      <a:pPr>
        <a:defRPr sz="1100">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a:t>PC/ Mobile </a:t>
            </a:r>
            <a:r>
              <a:rPr lang="ko-KR"/>
              <a:t>연간 </a:t>
            </a:r>
            <a:r>
              <a:rPr lang="en-US"/>
              <a:t>PV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lineChart>
        <c:grouping val="standard"/>
        <c:varyColors val="0"/>
        <c:ser>
          <c:idx val="0"/>
          <c:order val="0"/>
          <c:tx>
            <c:strRef>
              <c:f>'PC 모바일 비교'!$I$69</c:f>
              <c:strCache>
                <c:ptCount val="1"/>
                <c:pt idx="0">
                  <c:v>DESKTOP</c:v>
                </c:pt>
              </c:strCache>
            </c:strRef>
          </c:tx>
          <c:spPr>
            <a:ln w="3492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'PC 모바일 비교'!$H$70:$H$81</c:f>
              <c:numCache>
                <c:formatCode>yy"년"\ m"월"</c:formatCode>
                <c:ptCount val="12"/>
                <c:pt idx="0">
                  <c:v>45200</c:v>
                </c:pt>
                <c:pt idx="1">
                  <c:v>45231</c:v>
                </c:pt>
                <c:pt idx="2">
                  <c:v>45261</c:v>
                </c:pt>
                <c:pt idx="3">
                  <c:v>45292</c:v>
                </c:pt>
                <c:pt idx="4">
                  <c:v>45323</c:v>
                </c:pt>
                <c:pt idx="5">
                  <c:v>45352</c:v>
                </c:pt>
                <c:pt idx="6">
                  <c:v>45383</c:v>
                </c:pt>
                <c:pt idx="7">
                  <c:v>45413</c:v>
                </c:pt>
                <c:pt idx="8">
                  <c:v>45444</c:v>
                </c:pt>
                <c:pt idx="9">
                  <c:v>45474</c:v>
                </c:pt>
                <c:pt idx="10">
                  <c:v>45505</c:v>
                </c:pt>
                <c:pt idx="11">
                  <c:v>45536</c:v>
                </c:pt>
              </c:numCache>
            </c:numRef>
          </c:cat>
          <c:val>
            <c:numRef>
              <c:f>'PC 모바일 비교'!$I$70:$I$81</c:f>
              <c:numCache>
                <c:formatCode>General</c:formatCode>
                <c:ptCount val="12"/>
                <c:pt idx="0">
                  <c:v>4950</c:v>
                </c:pt>
                <c:pt idx="1">
                  <c:v>5743</c:v>
                </c:pt>
                <c:pt idx="2">
                  <c:v>2160</c:v>
                </c:pt>
                <c:pt idx="3">
                  <c:v>6482</c:v>
                </c:pt>
                <c:pt idx="4">
                  <c:v>6414</c:v>
                </c:pt>
                <c:pt idx="5">
                  <c:v>7280</c:v>
                </c:pt>
                <c:pt idx="6">
                  <c:v>5814</c:v>
                </c:pt>
                <c:pt idx="7">
                  <c:v>5693</c:v>
                </c:pt>
                <c:pt idx="8">
                  <c:v>5607</c:v>
                </c:pt>
                <c:pt idx="9">
                  <c:v>10516</c:v>
                </c:pt>
                <c:pt idx="10">
                  <c:v>10742</c:v>
                </c:pt>
                <c:pt idx="11">
                  <c:v>9613</c:v>
                </c:pt>
              </c:numCache>
            </c:numRef>
          </c:val>
          <c:smooth val="0"/>
          <c:extLst>
            <c:ext xmlns:c16="http://schemas.microsoft.com/office/drawing/2014/chart" uri="{C3380CC4-5D6E-409C-BE32-E72D297353CC}">
              <c16:uniqueId val="{00000000-BEC8-4219-84F1-E4741D6F80A8}"/>
            </c:ext>
          </c:extLst>
        </c:ser>
        <c:ser>
          <c:idx val="1"/>
          <c:order val="1"/>
          <c:tx>
            <c:strRef>
              <c:f>'PC 모바일 비교'!$J$69</c:f>
              <c:strCache>
                <c:ptCount val="1"/>
                <c:pt idx="0">
                  <c:v>MOBILE</c:v>
                </c:pt>
              </c:strCache>
            </c:strRef>
          </c:tx>
          <c:spPr>
            <a:ln w="3492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'PC 모바일 비교'!$H$70:$H$81</c:f>
              <c:numCache>
                <c:formatCode>yy"년"\ m"월"</c:formatCode>
                <c:ptCount val="12"/>
                <c:pt idx="0">
                  <c:v>45200</c:v>
                </c:pt>
                <c:pt idx="1">
                  <c:v>45231</c:v>
                </c:pt>
                <c:pt idx="2">
                  <c:v>45261</c:v>
                </c:pt>
                <c:pt idx="3">
                  <c:v>45292</c:v>
                </c:pt>
                <c:pt idx="4">
                  <c:v>45323</c:v>
                </c:pt>
                <c:pt idx="5">
                  <c:v>45352</c:v>
                </c:pt>
                <c:pt idx="6">
                  <c:v>45383</c:v>
                </c:pt>
                <c:pt idx="7">
                  <c:v>45413</c:v>
                </c:pt>
                <c:pt idx="8">
                  <c:v>45444</c:v>
                </c:pt>
                <c:pt idx="9">
                  <c:v>45474</c:v>
                </c:pt>
                <c:pt idx="10">
                  <c:v>45505</c:v>
                </c:pt>
                <c:pt idx="11">
                  <c:v>45536</c:v>
                </c:pt>
              </c:numCache>
            </c:numRef>
          </c:cat>
          <c:val>
            <c:numRef>
              <c:f>'PC 모바일 비교'!$J$70:$J$81</c:f>
              <c:numCache>
                <c:formatCode>General</c:formatCode>
                <c:ptCount val="12"/>
                <c:pt idx="0">
                  <c:v>3883</c:v>
                </c:pt>
                <c:pt idx="1">
                  <c:v>6921</c:v>
                </c:pt>
                <c:pt idx="2">
                  <c:v>1915</c:v>
                </c:pt>
                <c:pt idx="3">
                  <c:v>4016</c:v>
                </c:pt>
                <c:pt idx="4">
                  <c:v>4664</c:v>
                </c:pt>
                <c:pt idx="5">
                  <c:v>6025</c:v>
                </c:pt>
                <c:pt idx="6">
                  <c:v>7480</c:v>
                </c:pt>
                <c:pt idx="7">
                  <c:v>8413</c:v>
                </c:pt>
                <c:pt idx="8">
                  <c:v>5987</c:v>
                </c:pt>
                <c:pt idx="9">
                  <c:v>5315</c:v>
                </c:pt>
                <c:pt idx="10">
                  <c:v>6503</c:v>
                </c:pt>
                <c:pt idx="11">
                  <c:v>4932</c:v>
                </c:pt>
              </c:numCache>
            </c:numRef>
          </c:val>
          <c:smooth val="0"/>
          <c:extLst>
            <c:ext xmlns:c16="http://schemas.microsoft.com/office/drawing/2014/chart" uri="{C3380CC4-5D6E-409C-BE32-E72D297353CC}">
              <c16:uniqueId val="{00000001-BEC8-4219-84F1-E4741D6F80A8}"/>
            </c:ext>
          </c:extLst>
        </c:ser>
        <c:dLbls>
          <c:dLblPos val="t"/>
          <c:showLegendKey val="0"/>
          <c:showVal val="1"/>
          <c:showCatName val="0"/>
          <c:showSerName val="0"/>
          <c:showPercent val="0"/>
          <c:showBubbleSize val="0"/>
        </c:dLbls>
        <c:smooth val="0"/>
        <c:axId val="1131551215"/>
        <c:axId val="1131551695"/>
      </c:lineChart>
      <c:dateAx>
        <c:axId val="1131551215"/>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131551695"/>
        <c:crosses val="autoZero"/>
        <c:auto val="1"/>
        <c:lblOffset val="100"/>
        <c:baseTimeUnit val="months"/>
      </c:dateAx>
      <c:valAx>
        <c:axId val="113155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131551215"/>
        <c:crosses val="autoZero"/>
        <c:crossBetween val="between"/>
      </c:valAx>
      <c:spPr>
        <a:noFill/>
        <a:ln>
          <a:noFill/>
        </a:ln>
        <a:effectLst/>
      </c:spPr>
    </c:plotArea>
    <c:legend>
      <c:legendPos val="t"/>
      <c:layout>
        <c:manualLayout>
          <c:xMode val="edge"/>
          <c:yMode val="edge"/>
          <c:x val="0.87601428794562586"/>
          <c:y val="7.0340734917684958E-2"/>
          <c:w val="0.10293330425326508"/>
          <c:h val="0.1134384279309879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월간비교!$A$1</c:f>
          <c:strCache>
            <c:ptCount val="1"/>
            <c:pt idx="0">
              <c:v>[7·8·9월 페이지 지표 비교]</c:v>
            </c:pt>
          </c:strCache>
        </c:strRef>
      </c:tx>
      <c:layout>
        <c:manualLayout>
          <c:xMode val="edge"/>
          <c:yMode val="edge"/>
          <c:x val="0.51462534398449933"/>
          <c:y val="1.2496651364828667E-2"/>
        </c:manualLayout>
      </c:layout>
      <c:overlay val="0"/>
      <c:spPr>
        <a:noFill/>
        <a:ln>
          <a:noFill/>
        </a:ln>
        <a:effectLst/>
      </c:spPr>
      <c:txPr>
        <a:bodyPr rot="0" vert="horz"/>
        <a:lstStyle/>
        <a:p>
          <a:pPr>
            <a:defRPr/>
          </a:pPr>
          <a:endParaRPr lang="ko-KR"/>
        </a:p>
      </c:txPr>
    </c:title>
    <c:autoTitleDeleted val="0"/>
    <c:plotArea>
      <c:layout/>
      <c:barChart>
        <c:barDir val="col"/>
        <c:grouping val="clustered"/>
        <c:varyColors val="0"/>
        <c:ser>
          <c:idx val="0"/>
          <c:order val="0"/>
          <c:tx>
            <c:strRef>
              <c:f>월간비교!$J$28</c:f>
              <c:strCache>
                <c:ptCount val="1"/>
                <c:pt idx="0">
                  <c:v>6월</c:v>
                </c:pt>
              </c:strCache>
            </c:strRef>
          </c:tx>
          <c:spPr>
            <a:solidFill>
              <a:srgbClr val="00B0F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월간비교!$J$29:$J$32</c:f>
              <c:numCache>
                <c:formatCode>General</c:formatCode>
                <c:ptCount val="4"/>
                <c:pt idx="0">
                  <c:v>11594</c:v>
                </c:pt>
                <c:pt idx="1">
                  <c:v>5607</c:v>
                </c:pt>
                <c:pt idx="2">
                  <c:v>5987</c:v>
                </c:pt>
                <c:pt idx="3">
                  <c:v>5125</c:v>
                </c:pt>
              </c:numCache>
            </c:numRef>
          </c:val>
          <c:extLst>
            <c:ext xmlns:c16="http://schemas.microsoft.com/office/drawing/2014/chart" uri="{C3380CC4-5D6E-409C-BE32-E72D297353CC}">
              <c16:uniqueId val="{00000000-A6CD-465B-9FC9-5D7C6DD020FF}"/>
            </c:ext>
          </c:extLst>
        </c:ser>
        <c:ser>
          <c:idx val="1"/>
          <c:order val="1"/>
          <c:tx>
            <c:strRef>
              <c:f>월간비교!$K$28</c:f>
              <c:strCache>
                <c:ptCount val="1"/>
                <c:pt idx="0">
                  <c:v>7월</c:v>
                </c:pt>
              </c:strCache>
            </c:strRef>
          </c:tx>
          <c:spPr>
            <a:solidFill>
              <a:srgbClr val="0070C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월간비교!$K$29:$K$32</c:f>
              <c:numCache>
                <c:formatCode>General</c:formatCode>
                <c:ptCount val="4"/>
                <c:pt idx="0">
                  <c:v>15831</c:v>
                </c:pt>
                <c:pt idx="1">
                  <c:v>10516</c:v>
                </c:pt>
                <c:pt idx="2">
                  <c:v>5315</c:v>
                </c:pt>
                <c:pt idx="3">
                  <c:v>7851</c:v>
                </c:pt>
              </c:numCache>
            </c:numRef>
          </c:val>
          <c:extLst>
            <c:ext xmlns:c16="http://schemas.microsoft.com/office/drawing/2014/chart" uri="{C3380CC4-5D6E-409C-BE32-E72D297353CC}">
              <c16:uniqueId val="{00000001-A6CD-465B-9FC9-5D7C6DD020FF}"/>
            </c:ext>
          </c:extLst>
        </c:ser>
        <c:ser>
          <c:idx val="2"/>
          <c:order val="2"/>
          <c:tx>
            <c:strRef>
              <c:f>월간비교!$L$28</c:f>
              <c:strCache>
                <c:ptCount val="1"/>
                <c:pt idx="0">
                  <c:v>8월</c:v>
                </c:pt>
              </c:strCache>
            </c:strRef>
          </c:tx>
          <c:spPr>
            <a:solidFill>
              <a:srgbClr val="00206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월간비교!$L$29:$L$32</c:f>
              <c:numCache>
                <c:formatCode>General</c:formatCode>
                <c:ptCount val="4"/>
                <c:pt idx="0">
                  <c:v>17245</c:v>
                </c:pt>
                <c:pt idx="1">
                  <c:v>10742</c:v>
                </c:pt>
                <c:pt idx="2">
                  <c:v>6503</c:v>
                </c:pt>
                <c:pt idx="3">
                  <c:v>8773</c:v>
                </c:pt>
              </c:numCache>
            </c:numRef>
          </c:val>
          <c:extLst>
            <c:ext xmlns:c16="http://schemas.microsoft.com/office/drawing/2014/chart" uri="{C3380CC4-5D6E-409C-BE32-E72D297353CC}">
              <c16:uniqueId val="{00000002-A6CD-465B-9FC9-5D7C6DD020FF}"/>
            </c:ext>
          </c:extLst>
        </c:ser>
        <c:dLbls>
          <c:showLegendKey val="0"/>
          <c:showVal val="0"/>
          <c:showCatName val="0"/>
          <c:showSerName val="0"/>
          <c:showPercent val="0"/>
          <c:showBubbleSize val="0"/>
        </c:dLbls>
        <c:gapWidth val="150"/>
        <c:axId val="586594688"/>
        <c:axId val="586589792"/>
      </c:barChart>
      <c:scatterChart>
        <c:scatterStyle val="lineMarker"/>
        <c:varyColors val="0"/>
        <c:ser>
          <c:idx val="3"/>
          <c:order val="3"/>
          <c:tx>
            <c:strRef>
              <c:f>월간비교!$M$28</c:f>
              <c:strCache>
                <c:ptCount val="1"/>
                <c:pt idx="0">
                  <c:v>2023년 평균</c:v>
                </c:pt>
              </c:strCache>
            </c:strRef>
          </c:tx>
          <c:spPr>
            <a:ln w="25400" cap="rnd">
              <a:noFill/>
              <a:round/>
            </a:ln>
            <a:effectLst>
              <a:outerShdw blurRad="1270000" dist="50800" dir="5400000" algn="ctr" rotWithShape="0">
                <a:srgbClr val="000000"/>
              </a:outerShdw>
            </a:effectLst>
          </c:spPr>
          <c:marker>
            <c:symbol val="picture"/>
            <c:spPr>
              <a:blipFill>
                <a:blip xmlns:r="http://schemas.openxmlformats.org/officeDocument/2006/relationships" r:embed="rId1"/>
                <a:stretch>
                  <a:fillRect/>
                </a:stretch>
              </a:blipFill>
              <a:ln w="9525">
                <a:noFill/>
              </a:ln>
              <a:effectLst>
                <a:outerShdw blurRad="1270000" dist="50800" dir="5400000" algn="ctr" rotWithShape="0">
                  <a:srgbClr val="000000"/>
                </a:outerShdw>
              </a:effectLst>
            </c:spPr>
          </c:marker>
          <c:xVal>
            <c:strRef>
              <c:f>월간비교!$I$29:$I$32</c:f>
              <c:strCache>
                <c:ptCount val="4"/>
                <c:pt idx="0">
                  <c:v>Total Page Views</c:v>
                </c:pt>
                <c:pt idx="1">
                  <c:v>PC Page Views</c:v>
                </c:pt>
                <c:pt idx="2">
                  <c:v>Mobile Page Views</c:v>
                </c:pt>
                <c:pt idx="3">
                  <c:v>Total Page Visitors</c:v>
                </c:pt>
              </c:strCache>
            </c:strRef>
          </c:xVal>
          <c:yVal>
            <c:numRef>
              <c:f>월간비교!$M$29:$M$32</c:f>
              <c:numCache>
                <c:formatCode>General</c:formatCode>
                <c:ptCount val="4"/>
                <c:pt idx="0">
                  <c:v>9067</c:v>
                </c:pt>
                <c:pt idx="1">
                  <c:v>5141</c:v>
                </c:pt>
                <c:pt idx="2">
                  <c:v>3925</c:v>
                </c:pt>
                <c:pt idx="3">
                  <c:v>4110</c:v>
                </c:pt>
              </c:numCache>
            </c:numRef>
          </c:yVal>
          <c:smooth val="0"/>
          <c:extLst>
            <c:ext xmlns:c16="http://schemas.microsoft.com/office/drawing/2014/chart" uri="{C3380CC4-5D6E-409C-BE32-E72D297353CC}">
              <c16:uniqueId val="{00000000-4A76-40A7-A5AA-C46A0E4F1A38}"/>
            </c:ext>
          </c:extLst>
        </c:ser>
        <c:dLbls>
          <c:showLegendKey val="0"/>
          <c:showVal val="0"/>
          <c:showCatName val="0"/>
          <c:showSerName val="0"/>
          <c:showPercent val="0"/>
          <c:showBubbleSize val="0"/>
        </c:dLbls>
        <c:axId val="586594688"/>
        <c:axId val="586589792"/>
      </c:scatterChart>
      <c:catAx>
        <c:axId val="58659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ko-KR"/>
          </a:p>
        </c:txPr>
        <c:crossAx val="586589792"/>
        <c:crosses val="autoZero"/>
        <c:auto val="1"/>
        <c:lblAlgn val="ctr"/>
        <c:lblOffset val="100"/>
        <c:noMultiLvlLbl val="0"/>
      </c:catAx>
      <c:valAx>
        <c:axId val="58658979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vert="horz"/>
          <a:lstStyle/>
          <a:p>
            <a:pPr>
              <a:defRPr/>
            </a:pPr>
            <a:endParaRPr lang="ko-KR"/>
          </a:p>
        </c:txPr>
        <c:crossAx val="586594688"/>
        <c:crosses val="autoZero"/>
        <c:crossBetween val="between"/>
      </c:valAx>
      <c:spPr>
        <a:noFill/>
        <a:ln>
          <a:noFill/>
        </a:ln>
        <a:effectLst/>
      </c:spPr>
    </c:plotArea>
    <c:legend>
      <c:legendPos val="b"/>
      <c:legendEntry>
        <c:idx val="3"/>
        <c:delete val="1"/>
      </c:legendEntry>
      <c:layout>
        <c:manualLayout>
          <c:xMode val="edge"/>
          <c:yMode val="edge"/>
          <c:x val="4.971854864640273E-3"/>
          <c:y val="1.9744709156429296E-2"/>
          <c:w val="0.1952937366724278"/>
          <c:h val="6.9402721073746773E-2"/>
        </c:manualLayout>
      </c:layout>
      <c:overlay val="0"/>
      <c:spPr>
        <a:noFill/>
        <a:ln>
          <a:noFill/>
        </a:ln>
        <a:effectLst/>
      </c:spPr>
      <c:txPr>
        <a:bodyPr rot="0" vert="horz"/>
        <a:lstStyle/>
        <a:p>
          <a:pPr>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872192247962728"/>
          <c:y val="0.14175931033391892"/>
          <c:w val="0.70011367093066068"/>
          <c:h val="0.70973681825337387"/>
        </c:manualLayout>
      </c:layout>
      <c:barChart>
        <c:barDir val="col"/>
        <c:grouping val="clustered"/>
        <c:varyColors val="0"/>
        <c:ser>
          <c:idx val="0"/>
          <c:order val="0"/>
          <c:tx>
            <c:strRef>
              <c:f>월간비교!$J$28</c:f>
              <c:strCache>
                <c:ptCount val="1"/>
                <c:pt idx="0">
                  <c:v>6월</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월간비교!$J$33</c:f>
              <c:numCache>
                <c:formatCode>General</c:formatCode>
                <c:ptCount val="1"/>
                <c:pt idx="0">
                  <c:v>38</c:v>
                </c:pt>
              </c:numCache>
            </c:numRef>
          </c:val>
          <c:extLst>
            <c:ext xmlns:c16="http://schemas.microsoft.com/office/drawing/2014/chart" uri="{C3380CC4-5D6E-409C-BE32-E72D297353CC}">
              <c16:uniqueId val="{00000000-2D88-42BF-B23D-3DFC8BF7152C}"/>
            </c:ext>
          </c:extLst>
        </c:ser>
        <c:ser>
          <c:idx val="1"/>
          <c:order val="1"/>
          <c:tx>
            <c:strRef>
              <c:f>월간비교!$K$28</c:f>
              <c:strCache>
                <c:ptCount val="1"/>
                <c:pt idx="0">
                  <c:v>7월</c:v>
                </c:pt>
              </c:strCache>
            </c:strRef>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월간비교!$K$33</c:f>
              <c:numCache>
                <c:formatCode>General</c:formatCode>
                <c:ptCount val="1"/>
                <c:pt idx="0">
                  <c:v>36</c:v>
                </c:pt>
              </c:numCache>
            </c:numRef>
          </c:val>
          <c:extLst>
            <c:ext xmlns:c16="http://schemas.microsoft.com/office/drawing/2014/chart" uri="{C3380CC4-5D6E-409C-BE32-E72D297353CC}">
              <c16:uniqueId val="{00000001-2D88-42BF-B23D-3DFC8BF7152C}"/>
            </c:ext>
          </c:extLst>
        </c:ser>
        <c:ser>
          <c:idx val="2"/>
          <c:order val="2"/>
          <c:tx>
            <c:strRef>
              <c:f>월간비교!$L$28</c:f>
              <c:strCache>
                <c:ptCount val="1"/>
                <c:pt idx="0">
                  <c:v>8월</c:v>
                </c:pt>
              </c:strCache>
            </c:strRef>
          </c:tx>
          <c:spPr>
            <a:solidFill>
              <a:srgbClr val="00206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월간비교!$L$33</c:f>
              <c:numCache>
                <c:formatCode>General</c:formatCode>
                <c:ptCount val="1"/>
                <c:pt idx="0">
                  <c:v>53</c:v>
                </c:pt>
              </c:numCache>
            </c:numRef>
          </c:val>
          <c:extLst>
            <c:ext xmlns:c16="http://schemas.microsoft.com/office/drawing/2014/chart" uri="{C3380CC4-5D6E-409C-BE32-E72D297353CC}">
              <c16:uniqueId val="{00000002-2D88-42BF-B23D-3DFC8BF7152C}"/>
            </c:ext>
          </c:extLst>
        </c:ser>
        <c:dLbls>
          <c:dLblPos val="outEnd"/>
          <c:showLegendKey val="0"/>
          <c:showVal val="1"/>
          <c:showCatName val="0"/>
          <c:showSerName val="0"/>
          <c:showPercent val="0"/>
          <c:showBubbleSize val="0"/>
        </c:dLbls>
        <c:gapWidth val="150"/>
        <c:axId val="248865296"/>
        <c:axId val="586601216"/>
      </c:barChart>
      <c:catAx>
        <c:axId val="248865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601216"/>
        <c:crosses val="autoZero"/>
        <c:auto val="1"/>
        <c:lblAlgn val="ctr"/>
        <c:lblOffset val="100"/>
        <c:noMultiLvlLbl val="0"/>
      </c:catAx>
      <c:valAx>
        <c:axId val="58660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48865296"/>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c:spPr>
          <c:invertIfNegative val="0"/>
          <c:dLbls>
            <c:dLbl>
              <c:idx val="0"/>
              <c:tx>
                <c:rich>
                  <a:bodyPr/>
                  <a:lstStyle/>
                  <a:p>
                    <a:fld id="{A4761019-576B-481A-B536-75B903A41F49}"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0E79-44A8-8E97-16B27C4AE310}"/>
                </c:ext>
              </c:extLst>
            </c:dLbl>
            <c:dLbl>
              <c:idx val="1"/>
              <c:tx>
                <c:rich>
                  <a:bodyPr/>
                  <a:lstStyle/>
                  <a:p>
                    <a:fld id="{D867F2B6-FEDF-419E-80A2-FD2A73F8E05D}"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E79-44A8-8E97-16B27C4AE310}"/>
                </c:ext>
              </c:extLst>
            </c:dLbl>
            <c:dLbl>
              <c:idx val="2"/>
              <c:tx>
                <c:rich>
                  <a:bodyPr/>
                  <a:lstStyle/>
                  <a:p>
                    <a:fld id="{4650E09F-34EC-48EE-86AF-02197B0F1250}"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E79-44A8-8E97-16B27C4AE310}"/>
                </c:ext>
              </c:extLst>
            </c:dLbl>
            <c:dLbl>
              <c:idx val="3"/>
              <c:tx>
                <c:rich>
                  <a:bodyPr/>
                  <a:lstStyle/>
                  <a:p>
                    <a:fld id="{2EAE8BB9-3B3F-499E-AF5E-898F1B837144}"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0E79-44A8-8E97-16B27C4AE310}"/>
                </c:ext>
              </c:extLst>
            </c:dLbl>
            <c:dLbl>
              <c:idx val="4"/>
              <c:tx>
                <c:rich>
                  <a:bodyPr/>
                  <a:lstStyle/>
                  <a:p>
                    <a:fld id="{776BB1C1-C121-4F05-B4DF-DCAA937A7960}"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E79-44A8-8E97-16B27C4AE310}"/>
                </c:ext>
              </c:extLst>
            </c:dLbl>
            <c:dLbl>
              <c:idx val="5"/>
              <c:tx>
                <c:rich>
                  <a:bodyPr/>
                  <a:lstStyle/>
                  <a:p>
                    <a:fld id="{D8701ED6-0732-4227-9635-57ED6FEF1255}"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E79-44A8-8E97-16B27C4AE310}"/>
                </c:ext>
              </c:extLst>
            </c:dLbl>
            <c:dLbl>
              <c:idx val="6"/>
              <c:tx>
                <c:rich>
                  <a:bodyPr/>
                  <a:lstStyle/>
                  <a:p>
                    <a:fld id="{0BDDABB3-8ECF-49EC-95AA-C4C4874AC788}"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E79-44A8-8E97-16B27C4AE310}"/>
                </c:ext>
              </c:extLst>
            </c:dLbl>
            <c:dLbl>
              <c:idx val="7"/>
              <c:tx>
                <c:rich>
                  <a:bodyPr/>
                  <a:lstStyle/>
                  <a:p>
                    <a:fld id="{6141225D-24AB-4F9C-B2C0-38F9CC0590E4}"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0E79-44A8-8E97-16B27C4AE310}"/>
                </c:ext>
              </c:extLst>
            </c:dLbl>
            <c:dLbl>
              <c:idx val="8"/>
              <c:tx>
                <c:rich>
                  <a:bodyPr/>
                  <a:lstStyle/>
                  <a:p>
                    <a:fld id="{D8599F0E-FD19-4AE5-AD7F-46E87BF02D6A}"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0E79-44A8-8E97-16B27C4AE310}"/>
                </c:ext>
              </c:extLst>
            </c:dLbl>
            <c:dLbl>
              <c:idx val="9"/>
              <c:tx>
                <c:rich>
                  <a:bodyPr/>
                  <a:lstStyle/>
                  <a:p>
                    <a:fld id="{426FFF97-2E55-4BD1-B579-9663AC1D56A6}"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0E79-44A8-8E97-16B27C4AE310}"/>
                </c:ext>
              </c:extLst>
            </c:dLbl>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Engineering</c:v>
                </c:pt>
                <c:pt idx="1">
                  <c:v>Business Development</c:v>
                </c:pt>
                <c:pt idx="2">
                  <c:v>Sales</c:v>
                </c:pt>
                <c:pt idx="3">
                  <c:v>Human Resources</c:v>
                </c:pt>
                <c:pt idx="4">
                  <c:v>Operations</c:v>
                </c:pt>
                <c:pt idx="5">
                  <c:v>Research</c:v>
                </c:pt>
                <c:pt idx="6">
                  <c:v>Information Technology</c:v>
                </c:pt>
                <c:pt idx="7">
                  <c:v>Marketing</c:v>
                </c:pt>
                <c:pt idx="8">
                  <c:v>Education</c:v>
                </c:pt>
                <c:pt idx="9">
                  <c:v>Arts and Design</c:v>
                </c:pt>
              </c:strCache>
            </c:strRef>
          </c:cat>
          <c:val>
            <c:numRef>
              <c:f>'Visitor Demographic'!$L$5:$L$14</c:f>
              <c:numCache>
                <c:formatCode>General</c:formatCode>
                <c:ptCount val="10"/>
                <c:pt idx="0">
                  <c:v>1921</c:v>
                </c:pt>
                <c:pt idx="1">
                  <c:v>1059</c:v>
                </c:pt>
                <c:pt idx="2">
                  <c:v>995</c:v>
                </c:pt>
                <c:pt idx="3">
                  <c:v>634</c:v>
                </c:pt>
                <c:pt idx="4">
                  <c:v>634</c:v>
                </c:pt>
                <c:pt idx="5">
                  <c:v>551</c:v>
                </c:pt>
                <c:pt idx="6">
                  <c:v>504</c:v>
                </c:pt>
                <c:pt idx="7">
                  <c:v>447</c:v>
                </c:pt>
                <c:pt idx="8">
                  <c:v>407</c:v>
                </c:pt>
                <c:pt idx="9">
                  <c:v>332</c:v>
                </c:pt>
              </c:numCache>
            </c:numRef>
          </c:val>
          <c:extLst>
            <c:ext xmlns:c15="http://schemas.microsoft.com/office/drawing/2012/chart" uri="{02D57815-91ED-43cb-92C2-25804820EDAC}">
              <c15:datalabelsRange>
                <c15:f>'Visitor Demographic'!$M$5:$M$14</c15:f>
                <c15:dlblRangeCache>
                  <c:ptCount val="10"/>
                  <c:pt idx="0">
                    <c:v>21.0%</c:v>
                  </c:pt>
                  <c:pt idx="1">
                    <c:v>11.6%</c:v>
                  </c:pt>
                  <c:pt idx="2">
                    <c:v>10.9%</c:v>
                  </c:pt>
                  <c:pt idx="3">
                    <c:v>6.9%</c:v>
                  </c:pt>
                  <c:pt idx="4">
                    <c:v>6.9%</c:v>
                  </c:pt>
                  <c:pt idx="5">
                    <c:v>6.0%</c:v>
                  </c:pt>
                  <c:pt idx="6">
                    <c:v>5.5%</c:v>
                  </c:pt>
                  <c:pt idx="7">
                    <c:v>4.9%</c:v>
                  </c:pt>
                  <c:pt idx="8">
                    <c:v>4.5%</c:v>
                  </c:pt>
                  <c:pt idx="9">
                    <c:v>3.6%</c:v>
                  </c:pt>
                </c15:dlblRangeCache>
              </c15:datalabelsRange>
            </c:ext>
            <c:ext xmlns:c16="http://schemas.microsoft.com/office/drawing/2014/chart" uri="{C3380CC4-5D6E-409C-BE32-E72D297353CC}">
              <c16:uniqueId val="{00000010-0EA8-457E-AF9D-E710CAEE8A16}"/>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invertIfNegative val="0"/>
          <c:cat>
            <c:strRef>
              <c:f>'Visitor Demographic'!$K$5:$K$14</c:f>
              <c:strCache>
                <c:ptCount val="10"/>
                <c:pt idx="0">
                  <c:v>Engineering</c:v>
                </c:pt>
                <c:pt idx="1">
                  <c:v>Business Development</c:v>
                </c:pt>
                <c:pt idx="2">
                  <c:v>Sales</c:v>
                </c:pt>
                <c:pt idx="3">
                  <c:v>Human Resources</c:v>
                </c:pt>
                <c:pt idx="4">
                  <c:v>Operations</c:v>
                </c:pt>
                <c:pt idx="5">
                  <c:v>Research</c:v>
                </c:pt>
                <c:pt idx="6">
                  <c:v>Information Technology</c:v>
                </c:pt>
                <c:pt idx="7">
                  <c:v>Marketing</c:v>
                </c:pt>
                <c:pt idx="8">
                  <c:v>Education</c:v>
                </c:pt>
                <c:pt idx="9">
                  <c:v>Arts and Design</c:v>
                </c:pt>
              </c:strCache>
            </c:strRef>
          </c:cat>
          <c:val>
            <c:numRef>
              <c:f>'Visitor Demographic'!$M$5:$M$14</c:f>
              <c:numCache>
                <c:formatCode>0.0%</c:formatCode>
                <c:ptCount val="10"/>
                <c:pt idx="0">
                  <c:v>0.21019805230331545</c:v>
                </c:pt>
                <c:pt idx="1">
                  <c:v>0.11587701061385272</c:v>
                </c:pt>
                <c:pt idx="2">
                  <c:v>0.1088740562424773</c:v>
                </c:pt>
                <c:pt idx="3">
                  <c:v>6.9373016741437796E-2</c:v>
                </c:pt>
                <c:pt idx="4">
                  <c:v>6.9373016741437796E-2</c:v>
                </c:pt>
                <c:pt idx="5">
                  <c:v>6.0291060291060294E-2</c:v>
                </c:pt>
                <c:pt idx="6">
                  <c:v>5.5148265674581462E-2</c:v>
                </c:pt>
                <c:pt idx="7">
                  <c:v>4.8911259437575225E-2</c:v>
                </c:pt>
                <c:pt idx="8">
                  <c:v>4.4534412955465584E-2</c:v>
                </c:pt>
                <c:pt idx="9">
                  <c:v>3.6327825801510012E-2</c:v>
                </c:pt>
              </c:numCache>
            </c:numRef>
          </c:val>
          <c:extLst>
            <c:ext xmlns:c16="http://schemas.microsoft.com/office/drawing/2014/chart" uri="{C3380CC4-5D6E-409C-BE32-E72D297353CC}">
              <c16:uniqueId val="{00000001-0E79-44A8-8E97-16B27C4AE310}"/>
            </c:ext>
          </c:extLst>
        </c:ser>
        <c:dLbls>
          <c:showLegendKey val="0"/>
          <c:showVal val="0"/>
          <c:showCatName val="0"/>
          <c:showSerName val="0"/>
          <c:showPercent val="0"/>
          <c:showBubbleSize val="0"/>
        </c:dLbls>
        <c:gapWidth val="150"/>
        <c:overlap val="10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max"/>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C00000"/>
            </a:solidFill>
            <a:ln>
              <a:noFill/>
            </a:ln>
            <a:effectLst/>
          </c:spPr>
          <c:invertIfNegative val="0"/>
          <c:dLbls>
            <c:dLbl>
              <c:idx val="0"/>
              <c:tx>
                <c:rich>
                  <a:bodyPr/>
                  <a:lstStyle/>
                  <a:p>
                    <a:fld id="{7EDE2A1E-4969-42B6-AAF8-33BB8A672B72}"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AF7-448B-B89D-26CE8D2F346A}"/>
                </c:ext>
              </c:extLst>
            </c:dLbl>
            <c:dLbl>
              <c:idx val="1"/>
              <c:tx>
                <c:rich>
                  <a:bodyPr/>
                  <a:lstStyle/>
                  <a:p>
                    <a:fld id="{96919FCB-3ADD-46C5-9A9E-76AC86D8ABCB}"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AF7-448B-B89D-26CE8D2F346A}"/>
                </c:ext>
              </c:extLst>
            </c:dLbl>
            <c:dLbl>
              <c:idx val="2"/>
              <c:tx>
                <c:rich>
                  <a:bodyPr/>
                  <a:lstStyle/>
                  <a:p>
                    <a:fld id="{D80C6271-FA7F-45BA-9ADE-D160DAA1159A}"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AF7-448B-B89D-26CE8D2F346A}"/>
                </c:ext>
              </c:extLst>
            </c:dLbl>
            <c:dLbl>
              <c:idx val="3"/>
              <c:tx>
                <c:rich>
                  <a:bodyPr/>
                  <a:lstStyle/>
                  <a:p>
                    <a:fld id="{7C64351C-F654-4EA0-8190-EC592887A5B1}"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AF7-448B-B89D-26CE8D2F346A}"/>
                </c:ext>
              </c:extLst>
            </c:dLbl>
            <c:dLbl>
              <c:idx val="4"/>
              <c:tx>
                <c:rich>
                  <a:bodyPr/>
                  <a:lstStyle/>
                  <a:p>
                    <a:fld id="{F9AB01CB-3BA3-4947-B7D8-CC43B325F746}"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AF7-448B-B89D-26CE8D2F346A}"/>
                </c:ext>
              </c:extLst>
            </c:dLbl>
            <c:dLbl>
              <c:idx val="5"/>
              <c:tx>
                <c:rich>
                  <a:bodyPr/>
                  <a:lstStyle/>
                  <a:p>
                    <a:fld id="{C8B2CA6E-E47B-4BE0-8205-78664BC8E86A}"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AF7-448B-B89D-26CE8D2F346A}"/>
                </c:ext>
              </c:extLst>
            </c:dLbl>
            <c:dLbl>
              <c:idx val="6"/>
              <c:tx>
                <c:rich>
                  <a:bodyPr/>
                  <a:lstStyle/>
                  <a:p>
                    <a:fld id="{05F6DE73-FAC1-4CDC-B317-D4732C0D4990}"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AF7-448B-B89D-26CE8D2F346A}"/>
                </c:ext>
              </c:extLst>
            </c:dLbl>
            <c:dLbl>
              <c:idx val="7"/>
              <c:tx>
                <c:rich>
                  <a:bodyPr/>
                  <a:lstStyle/>
                  <a:p>
                    <a:fld id="{CFBF4F4F-9A86-4DDB-97EF-70723189C34B}"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AF7-448B-B89D-26CE8D2F346A}"/>
                </c:ext>
              </c:extLst>
            </c:dLbl>
            <c:dLbl>
              <c:idx val="8"/>
              <c:tx>
                <c:rich>
                  <a:bodyPr/>
                  <a:lstStyle/>
                  <a:p>
                    <a:fld id="{185E7EB8-FD04-4E22-8E95-536ADE9CE9A3}"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AF7-448B-B89D-26CE8D2F346A}"/>
                </c:ext>
              </c:extLst>
            </c:dLbl>
            <c:dLbl>
              <c:idx val="9"/>
              <c:tx>
                <c:rich>
                  <a:bodyPr/>
                  <a:lstStyle/>
                  <a:p>
                    <a:fld id="{FCD8AE06-DE51-4315-A7FA-8AFB0C021ECC}"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AF7-448B-B89D-26CE8D2F346A}"/>
                </c:ext>
              </c:extLst>
            </c:dLbl>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IT Services and IT Consulting</c:v>
                </c:pt>
                <c:pt idx="1">
                  <c:v>Semiconductor Manufacturing</c:v>
                </c:pt>
                <c:pt idx="2">
                  <c:v>Software Development</c:v>
                </c:pt>
                <c:pt idx="3">
                  <c:v>Advertising Services</c:v>
                </c:pt>
                <c:pt idx="4">
                  <c:v>Appliances, Electrical, and Electronics Manufacturing</c:v>
                </c:pt>
                <c:pt idx="5">
                  <c:v>Financial Services</c:v>
                </c:pt>
                <c:pt idx="6">
                  <c:v>Higher Education</c:v>
                </c:pt>
                <c:pt idx="7">
                  <c:v>Staffing and Recruiting</c:v>
                </c:pt>
                <c:pt idx="8">
                  <c:v>Human Resources Services</c:v>
                </c:pt>
                <c:pt idx="9">
                  <c:v>Business Consulting and Services</c:v>
                </c:pt>
              </c:strCache>
            </c:strRef>
          </c:cat>
          <c:val>
            <c:numRef>
              <c:f>'Visitor Demographic'!$V$5:$V$14</c:f>
              <c:numCache>
                <c:formatCode>General</c:formatCode>
                <c:ptCount val="10"/>
                <c:pt idx="0">
                  <c:v>2308</c:v>
                </c:pt>
                <c:pt idx="1">
                  <c:v>2074</c:v>
                </c:pt>
                <c:pt idx="2">
                  <c:v>2032</c:v>
                </c:pt>
                <c:pt idx="3">
                  <c:v>819</c:v>
                </c:pt>
                <c:pt idx="4">
                  <c:v>617</c:v>
                </c:pt>
                <c:pt idx="5">
                  <c:v>480</c:v>
                </c:pt>
                <c:pt idx="6">
                  <c:v>402</c:v>
                </c:pt>
                <c:pt idx="7">
                  <c:v>322</c:v>
                </c:pt>
                <c:pt idx="8">
                  <c:v>273</c:v>
                </c:pt>
                <c:pt idx="9">
                  <c:v>271</c:v>
                </c:pt>
              </c:numCache>
            </c:numRef>
          </c:val>
          <c:extLst>
            <c:ext xmlns:c15="http://schemas.microsoft.com/office/drawing/2012/chart" uri="{02D57815-91ED-43cb-92C2-25804820EDAC}">
              <c15:datalabelsRange>
                <c15:f>'Visitor Demographic'!$W$5:$W$14</c15:f>
                <c15:dlblRangeCache>
                  <c:ptCount val="10"/>
                  <c:pt idx="0">
                    <c:v>15.7%</c:v>
                  </c:pt>
                  <c:pt idx="1">
                    <c:v>14.1%</c:v>
                  </c:pt>
                  <c:pt idx="2">
                    <c:v>13.8%</c:v>
                  </c:pt>
                  <c:pt idx="3">
                    <c:v>5.6%</c:v>
                  </c:pt>
                  <c:pt idx="4">
                    <c:v>4.2%</c:v>
                  </c:pt>
                  <c:pt idx="5">
                    <c:v>3.3%</c:v>
                  </c:pt>
                  <c:pt idx="6">
                    <c:v>2.7%</c:v>
                  </c:pt>
                  <c:pt idx="7">
                    <c:v>2.2%</c:v>
                  </c:pt>
                  <c:pt idx="8">
                    <c:v>1.9%</c:v>
                  </c:pt>
                  <c:pt idx="9">
                    <c:v>1.8%</c:v>
                  </c:pt>
                </c15:dlblRangeCache>
              </c15:datalabelsRange>
            </c:ext>
            <c:ext xmlns:c16="http://schemas.microsoft.com/office/drawing/2014/chart" uri="{C3380CC4-5D6E-409C-BE32-E72D297353CC}">
              <c16:uniqueId val="{0000000C-AADB-4BAF-B335-DEC61DF454F7}"/>
            </c:ext>
          </c:extLst>
        </c:ser>
        <c:dLbls>
          <c:showLegendKey val="0"/>
          <c:showVal val="0"/>
          <c:showCatName val="0"/>
          <c:showSerName val="0"/>
          <c:showPercent val="0"/>
          <c:showBubbleSize val="0"/>
        </c:dLbls>
        <c:gapWidth val="150"/>
        <c:overlap val="10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sz="1400" b="1" i="0" u="none" strike="noStrike" kern="1200" spc="0" baseline="0" dirty="0" err="1">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월별 오가닉</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Total</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Impression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및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Engagement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추이</a:t>
            </a:r>
            <a:endParaRPr lang="ko-KR"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'노출,참여 추이'!$I$25</c:f>
              <c:strCache>
                <c:ptCount val="1"/>
                <c:pt idx="0">
                  <c:v>Impression</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45108</c:v>
                </c:pt>
                <c:pt idx="1">
                  <c:v>45139</c:v>
                </c:pt>
                <c:pt idx="2">
                  <c:v>45170</c:v>
                </c:pt>
                <c:pt idx="3">
                  <c:v>45200</c:v>
                </c:pt>
                <c:pt idx="4">
                  <c:v>45231</c:v>
                </c:pt>
                <c:pt idx="5">
                  <c:v>45261</c:v>
                </c:pt>
                <c:pt idx="6">
                  <c:v>45292</c:v>
                </c:pt>
                <c:pt idx="7">
                  <c:v>45323</c:v>
                </c:pt>
                <c:pt idx="8">
                  <c:v>45352</c:v>
                </c:pt>
                <c:pt idx="9">
                  <c:v>45383</c:v>
                </c:pt>
                <c:pt idx="10">
                  <c:v>45413</c:v>
                </c:pt>
                <c:pt idx="11">
                  <c:v>45444</c:v>
                </c:pt>
                <c:pt idx="12">
                  <c:v>45474</c:v>
                </c:pt>
                <c:pt idx="13">
                  <c:v>45505</c:v>
                </c:pt>
                <c:pt idx="14">
                  <c:v>45536</c:v>
                </c:pt>
              </c:numCache>
            </c:numRef>
          </c:cat>
          <c:val>
            <c:numRef>
              <c:f>'노출,참여 추이'!$I$26:$I$40</c:f>
              <c:numCache>
                <c:formatCode>#,##0_ </c:formatCode>
                <c:ptCount val="15"/>
                <c:pt idx="0">
                  <c:v>111215</c:v>
                </c:pt>
                <c:pt idx="1">
                  <c:v>114968</c:v>
                </c:pt>
                <c:pt idx="2">
                  <c:v>132612</c:v>
                </c:pt>
                <c:pt idx="3">
                  <c:v>138632</c:v>
                </c:pt>
                <c:pt idx="4">
                  <c:v>160929</c:v>
                </c:pt>
                <c:pt idx="5">
                  <c:v>96535</c:v>
                </c:pt>
                <c:pt idx="6">
                  <c:v>120721</c:v>
                </c:pt>
                <c:pt idx="7">
                  <c:v>139143</c:v>
                </c:pt>
                <c:pt idx="8">
                  <c:v>170500</c:v>
                </c:pt>
                <c:pt idx="9">
                  <c:v>191459</c:v>
                </c:pt>
                <c:pt idx="10">
                  <c:v>220430</c:v>
                </c:pt>
                <c:pt idx="11">
                  <c:v>200257</c:v>
                </c:pt>
                <c:pt idx="12">
                  <c:v>209300</c:v>
                </c:pt>
                <c:pt idx="13">
                  <c:v>239939</c:v>
                </c:pt>
                <c:pt idx="14">
                  <c:v>209273</c:v>
                </c:pt>
              </c:numCache>
            </c:numRef>
          </c:val>
          <c:extLst>
            <c:ext xmlns:c16="http://schemas.microsoft.com/office/drawing/2014/chart" uri="{C3380CC4-5D6E-409C-BE32-E72D297353CC}">
              <c16:uniqueId val="{00000009-968F-4A63-B276-588C20B6D8F7}"/>
            </c:ext>
          </c:extLst>
        </c:ser>
        <c:dLbls>
          <c:showLegendKey val="0"/>
          <c:showVal val="0"/>
          <c:showCatName val="0"/>
          <c:showSerName val="0"/>
          <c:showPercent val="0"/>
          <c:showBubbleSize val="0"/>
        </c:dLbls>
        <c:gapWidth val="219"/>
        <c:axId val="672412432"/>
        <c:axId val="655969904"/>
      </c:barChart>
      <c:lineChart>
        <c:grouping val="standard"/>
        <c:varyColors val="0"/>
        <c:ser>
          <c:idx val="1"/>
          <c:order val="1"/>
          <c:tx>
            <c:strRef>
              <c:f>'노출,참여 추이'!$J$25</c:f>
              <c:strCache>
                <c:ptCount val="1"/>
                <c:pt idx="0">
                  <c:v>Engagement</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ko-KR"/>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45108</c:v>
                </c:pt>
                <c:pt idx="1">
                  <c:v>45139</c:v>
                </c:pt>
                <c:pt idx="2">
                  <c:v>45170</c:v>
                </c:pt>
                <c:pt idx="3">
                  <c:v>45200</c:v>
                </c:pt>
                <c:pt idx="4">
                  <c:v>45231</c:v>
                </c:pt>
                <c:pt idx="5">
                  <c:v>45261</c:v>
                </c:pt>
                <c:pt idx="6">
                  <c:v>45292</c:v>
                </c:pt>
                <c:pt idx="7">
                  <c:v>45323</c:v>
                </c:pt>
                <c:pt idx="8">
                  <c:v>45352</c:v>
                </c:pt>
                <c:pt idx="9">
                  <c:v>45383</c:v>
                </c:pt>
                <c:pt idx="10">
                  <c:v>45413</c:v>
                </c:pt>
                <c:pt idx="11">
                  <c:v>45444</c:v>
                </c:pt>
                <c:pt idx="12">
                  <c:v>45474</c:v>
                </c:pt>
                <c:pt idx="13">
                  <c:v>45505</c:v>
                </c:pt>
                <c:pt idx="14">
                  <c:v>45536</c:v>
                </c:pt>
              </c:numCache>
            </c:numRef>
          </c:cat>
          <c:val>
            <c:numRef>
              <c:f>'노출,참여 추이'!$J$26:$J$40</c:f>
              <c:numCache>
                <c:formatCode>#,##0_ </c:formatCode>
                <c:ptCount val="15"/>
                <c:pt idx="0">
                  <c:v>6177</c:v>
                </c:pt>
                <c:pt idx="1">
                  <c:v>9620</c:v>
                </c:pt>
                <c:pt idx="2">
                  <c:v>12295</c:v>
                </c:pt>
                <c:pt idx="3">
                  <c:v>16261</c:v>
                </c:pt>
                <c:pt idx="4">
                  <c:v>20617</c:v>
                </c:pt>
                <c:pt idx="5">
                  <c:v>5071</c:v>
                </c:pt>
                <c:pt idx="6">
                  <c:v>7086</c:v>
                </c:pt>
                <c:pt idx="7">
                  <c:v>9922</c:v>
                </c:pt>
                <c:pt idx="8">
                  <c:v>20307</c:v>
                </c:pt>
                <c:pt idx="9">
                  <c:v>19100</c:v>
                </c:pt>
                <c:pt idx="10">
                  <c:v>20060</c:v>
                </c:pt>
                <c:pt idx="11">
                  <c:v>22647</c:v>
                </c:pt>
                <c:pt idx="12">
                  <c:v>19684</c:v>
                </c:pt>
                <c:pt idx="13">
                  <c:v>25963</c:v>
                </c:pt>
                <c:pt idx="14">
                  <c:v>25532</c:v>
                </c:pt>
              </c:numCache>
            </c:numRef>
          </c:val>
          <c:smooth val="0"/>
          <c:extLst>
            <c:ext xmlns:c16="http://schemas.microsoft.com/office/drawing/2014/chart" uri="{C3380CC4-5D6E-409C-BE32-E72D297353CC}">
              <c16:uniqueId val="{0000000A-968F-4A63-B276-588C20B6D8F7}"/>
            </c:ext>
          </c:extLst>
        </c:ser>
        <c:dLbls>
          <c:showLegendKey val="0"/>
          <c:showVal val="0"/>
          <c:showCatName val="0"/>
          <c:showSerName val="0"/>
          <c:showPercent val="0"/>
          <c:showBubbleSize val="0"/>
        </c:dLbls>
        <c:marker val="1"/>
        <c:smooth val="0"/>
        <c:axId val="182843760"/>
        <c:axId val="1003625344"/>
      </c:lineChart>
      <c:dateAx>
        <c:axId val="672412432"/>
        <c:scaling>
          <c:orientation val="minMax"/>
        </c:scaling>
        <c:delete val="0"/>
        <c:axPos val="b"/>
        <c:numFmt formatCode="\'yy\ 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55969904"/>
        <c:crosses val="autoZero"/>
        <c:auto val="1"/>
        <c:lblOffset val="100"/>
        <c:baseTimeUnit val="months"/>
      </c:dateAx>
      <c:valAx>
        <c:axId val="65596990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ko-KR"/>
          </a:p>
        </c:txPr>
        <c:crossAx val="672412432"/>
        <c:crosses val="autoZero"/>
        <c:crossBetween val="between"/>
      </c:valAx>
      <c:valAx>
        <c:axId val="1003625344"/>
        <c:scaling>
          <c:orientation val="minMax"/>
        </c:scaling>
        <c:delete val="0"/>
        <c:axPos val="r"/>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ko-KR"/>
          </a:p>
        </c:txPr>
        <c:crossAx val="182843760"/>
        <c:crosses val="max"/>
        <c:crossBetween val="between"/>
      </c:valAx>
      <c:dateAx>
        <c:axId val="182843760"/>
        <c:scaling>
          <c:orientation val="minMax"/>
        </c:scaling>
        <c:delete val="1"/>
        <c:axPos val="b"/>
        <c:numFmt formatCode="\'yy\ mm" sourceLinked="1"/>
        <c:majorTickMark val="out"/>
        <c:minorTickMark val="none"/>
        <c:tickLblPos val="nextTo"/>
        <c:crossAx val="1003625344"/>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9</xdr:col>
      <xdr:colOff>764216</xdr:colOff>
      <xdr:row>9</xdr:row>
      <xdr:rowOff>199196</xdr:rowOff>
    </xdr:from>
    <xdr:to>
      <xdr:col>24</xdr:col>
      <xdr:colOff>55011</xdr:colOff>
      <xdr:row>23</xdr:row>
      <xdr:rowOff>133649</xdr:rowOff>
    </xdr:to>
    <xdr:graphicFrame macro="">
      <xdr:nvGraphicFramePr>
        <xdr:cNvPr id="2" name="차트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47625</xdr:colOff>
      <xdr:row>12</xdr:row>
      <xdr:rowOff>38100</xdr:rowOff>
    </xdr:from>
    <xdr:to>
      <xdr:col>24</xdr:col>
      <xdr:colOff>483627</xdr:colOff>
      <xdr:row>31</xdr:row>
      <xdr:rowOff>117154</xdr:rowOff>
    </xdr:to>
    <xdr:graphicFrame macro="">
      <xdr:nvGraphicFramePr>
        <xdr:cNvPr id="2" name="차트 1">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0.77413</cdr:x>
      <cdr:y>0.01402</cdr:y>
    </cdr:from>
    <cdr:to>
      <cdr:x>0.99259</cdr:x>
      <cdr:y>0.14024</cdr:y>
    </cdr:to>
    <cdr:sp macro="" textlink="">
      <cdr:nvSpPr>
        <cdr:cNvPr id="2" name="TextBox 1"/>
        <cdr:cNvSpPr txBox="1"/>
      </cdr:nvSpPr>
      <cdr:spPr>
        <a:xfrm xmlns:a="http://schemas.openxmlformats.org/drawingml/2006/main">
          <a:off x="8892477" y="44028"/>
          <a:ext cx="2509520" cy="396240"/>
        </a:xfrm>
        <a:prstGeom xmlns:a="http://schemas.openxmlformats.org/drawingml/2006/main" prst="rect">
          <a:avLst/>
        </a:prstGeom>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*SK </a:t>
          </a:r>
          <a:r>
            <a:rPr lang="ko-KR" altLang="en-US" sz="800" dirty="0" err="1">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하이닉스</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링크드인 페이지</a:t>
          </a:r>
          <a:endParaRPr lang="en-US" altLang="ko-KR" sz="800" b="1" dirty="0">
            <a:ln>
              <a:solidFill>
                <a:schemeClr val="bg1">
                  <a:alpha val="10000"/>
                </a:schemeClr>
              </a:solidFill>
            </a:ln>
            <a:solidFill>
              <a:schemeClr val="tx1"/>
            </a:solidFill>
            <a:latin typeface="나눔바른고딕" panose="020B0603020101020101" pitchFamily="50" charset="-127"/>
            <a:ea typeface="나눔바른고딕" panose="020B0603020101020101" pitchFamily="50" charset="-127"/>
          </a:endParaRPr>
        </a:p>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2024.01.01 ~ 2024.01.31</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dr:relSizeAnchor xmlns:cdr="http://schemas.openxmlformats.org/drawingml/2006/chartDrawing">
    <cdr:from>
      <cdr:x>0.00263</cdr:x>
      <cdr:y>0.00629</cdr:y>
    </cdr:from>
    <cdr:to>
      <cdr:x>0.18631</cdr:x>
      <cdr:y>0.06929</cdr:y>
    </cdr:to>
    <cdr:sp macro="" textlink="">
      <cdr:nvSpPr>
        <cdr:cNvPr id="3" name="TextBox 2"/>
        <cdr:cNvSpPr txBox="1"/>
      </cdr:nvSpPr>
      <cdr:spPr>
        <a:xfrm xmlns:a="http://schemas.openxmlformats.org/drawingml/2006/main">
          <a:off x="26894" y="27377"/>
          <a:ext cx="1876318" cy="274167"/>
        </a:xfrm>
        <a:prstGeom xmlns:a="http://schemas.openxmlformats.org/drawingml/2006/main" prst="rect">
          <a:avLst/>
        </a:prstGeom>
        <a:ln xmlns:a="http://schemas.openxmlformats.org/drawingml/2006/main">
          <a:noFill/>
        </a:ln>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just"/>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X: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일자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Y: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신규 팔로워 유입 수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22</xdr:col>
      <xdr:colOff>27214</xdr:colOff>
      <xdr:row>10</xdr:row>
      <xdr:rowOff>63499</xdr:rowOff>
    </xdr:from>
    <xdr:to>
      <xdr:col>38</xdr:col>
      <xdr:colOff>708933</xdr:colOff>
      <xdr:row>31</xdr:row>
      <xdr:rowOff>195036</xdr:rowOff>
    </xdr:to>
    <xdr:graphicFrame macro="">
      <xdr:nvGraphicFramePr>
        <xdr:cNvPr id="3" name="차트 2">
          <a:extLst>
            <a:ext uri="{FF2B5EF4-FFF2-40B4-BE49-F238E27FC236}">
              <a16:creationId xmlns:a16="http://schemas.microsoft.com/office/drawing/2014/main" id="{8C43005E-7AC7-4603-852A-3843DE2D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18</xdr:col>
      <xdr:colOff>511174</xdr:colOff>
      <xdr:row>9</xdr:row>
      <xdr:rowOff>114300</xdr:rowOff>
    </xdr:from>
    <xdr:to>
      <xdr:col>35</xdr:col>
      <xdr:colOff>298450</xdr:colOff>
      <xdr:row>31</xdr:row>
      <xdr:rowOff>76200</xdr:rowOff>
    </xdr:to>
    <xdr:graphicFrame macro="">
      <xdr:nvGraphicFramePr>
        <xdr:cNvPr id="3" name="차트 2">
          <a:extLst>
            <a:ext uri="{FF2B5EF4-FFF2-40B4-BE49-F238E27FC236}">
              <a16:creationId xmlns:a16="http://schemas.microsoft.com/office/drawing/2014/main" id="{55EA6231-92AF-D85E-9BCD-179F59714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163286</xdr:colOff>
      <xdr:row>14</xdr:row>
      <xdr:rowOff>176893</xdr:rowOff>
    </xdr:from>
    <xdr:to>
      <xdr:col>22</xdr:col>
      <xdr:colOff>358</xdr:colOff>
      <xdr:row>33</xdr:row>
      <xdr:rowOff>113316</xdr:rowOff>
    </xdr:to>
    <xdr:graphicFrame macro="">
      <xdr:nvGraphicFramePr>
        <xdr:cNvPr id="2" name="차트 1">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213632</xdr:colOff>
      <xdr:row>43</xdr:row>
      <xdr:rowOff>107496</xdr:rowOff>
    </xdr:from>
    <xdr:to>
      <xdr:col>21</xdr:col>
      <xdr:colOff>649060</xdr:colOff>
      <xdr:row>62</xdr:row>
      <xdr:rowOff>179615</xdr:rowOff>
    </xdr:to>
    <xdr:graphicFrame macro="">
      <xdr:nvGraphicFramePr>
        <xdr:cNvPr id="3" name="차트 2">
          <a:extLst>
            <a:ext uri="{FF2B5EF4-FFF2-40B4-BE49-F238E27FC236}">
              <a16:creationId xmlns:a16="http://schemas.microsoft.com/office/drawing/2014/main" id="{272BBA85-F0BC-C5A9-A842-21D52BB31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69850</xdr:colOff>
      <xdr:row>6</xdr:row>
      <xdr:rowOff>114300</xdr:rowOff>
    </xdr:from>
    <xdr:to>
      <xdr:col>12</xdr:col>
      <xdr:colOff>1059136</xdr:colOff>
      <xdr:row>25</xdr:row>
      <xdr:rowOff>51889</xdr:rowOff>
    </xdr:to>
    <xdr:graphicFrame macro="">
      <xdr:nvGraphicFramePr>
        <xdr:cNvPr id="2" name="차트 1">
          <a:extLst>
            <a:ext uri="{FF2B5EF4-FFF2-40B4-BE49-F238E27FC236}">
              <a16:creationId xmlns:a16="http://schemas.microsoft.com/office/drawing/2014/main" id="{559DA9D5-B6C7-5DEA-2149-25C852A6F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1052604</xdr:colOff>
      <xdr:row>6</xdr:row>
      <xdr:rowOff>117288</xdr:rowOff>
    </xdr:from>
    <xdr:to>
      <xdr:col>16</xdr:col>
      <xdr:colOff>20444</xdr:colOff>
      <xdr:row>25</xdr:row>
      <xdr:rowOff>54877</xdr:rowOff>
    </xdr:to>
    <xdr:graphicFrame macro="">
      <xdr:nvGraphicFramePr>
        <xdr:cNvPr id="3" name="차트 2">
          <a:extLst>
            <a:ext uri="{FF2B5EF4-FFF2-40B4-BE49-F238E27FC236}">
              <a16:creationId xmlns:a16="http://schemas.microsoft.com/office/drawing/2014/main" id="{06B4BF9B-A7C9-94B3-C983-DB7225B9A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87876798-E1EB-0E04-8213-99BF1B0D8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4" name="차트 3">
          <a:extLst>
            <a:ext uri="{FF2B5EF4-FFF2-40B4-BE49-F238E27FC236}">
              <a16:creationId xmlns:a16="http://schemas.microsoft.com/office/drawing/2014/main" id="{EA081C5E-6E7F-C677-B4C2-C2C8CF5B6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530224</xdr:colOff>
      <xdr:row>3</xdr:row>
      <xdr:rowOff>146050</xdr:rowOff>
    </xdr:from>
    <xdr:to>
      <xdr:col>19</xdr:col>
      <xdr:colOff>12699</xdr:colOff>
      <xdr:row>21</xdr:row>
      <xdr:rowOff>6350</xdr:rowOff>
    </xdr:to>
    <xdr:graphicFrame macro="">
      <xdr:nvGraphicFramePr>
        <xdr:cNvPr id="3" name="차트 2">
          <a:extLst>
            <a:ext uri="{FF2B5EF4-FFF2-40B4-BE49-F238E27FC236}">
              <a16:creationId xmlns:a16="http://schemas.microsoft.com/office/drawing/2014/main" id="{8BB4956C-E1B7-8A3E-507C-7C4B242D1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79998168889431442"/>
  </sheetPr>
  <dimension ref="A1:AA85"/>
  <sheetViews>
    <sheetView zoomScale="85" zoomScaleNormal="85" workbookViewId="0">
      <selection activeCell="Q8" sqref="Q8"/>
    </sheetView>
  </sheetViews>
  <sheetFormatPr defaultRowHeight="15"/>
  <cols>
    <col min="1" max="1" width="11.125" style="306" bestFit="1" customWidth="1"/>
    <col min="2" max="2" width="16" style="348" customWidth="1"/>
    <col min="3" max="3" width="18.625" style="348" customWidth="1"/>
    <col min="4" max="6" width="9" style="306"/>
    <col min="7" max="10" width="12.625" style="306" customWidth="1"/>
    <col min="11" max="12" width="9" style="306"/>
    <col min="13" max="13" width="13.625" style="306" customWidth="1"/>
    <col min="14" max="16384" width="9" style="306"/>
  </cols>
  <sheetData>
    <row r="1" spans="1:27">
      <c r="A1" s="347"/>
      <c r="G1" s="349" t="s">
        <v>4</v>
      </c>
      <c r="H1" s="349" t="s">
        <v>5</v>
      </c>
      <c r="I1" s="349" t="s">
        <v>6</v>
      </c>
      <c r="J1" s="349" t="s">
        <v>7</v>
      </c>
      <c r="K1" s="349" t="s">
        <v>21</v>
      </c>
      <c r="L1" s="349" t="s">
        <v>82</v>
      </c>
      <c r="M1" s="349" t="s">
        <v>499</v>
      </c>
    </row>
    <row r="2" spans="1:27" ht="15.75" thickBot="1">
      <c r="A2" s="347"/>
      <c r="G2" s="446">
        <f>followers!H1</f>
        <v>45536</v>
      </c>
      <c r="H2" s="447">
        <f>SUM(followers!C:C)</f>
        <v>2798</v>
      </c>
      <c r="I2" s="447">
        <f>SUM(followers!B:B)</f>
        <v>2380</v>
      </c>
      <c r="J2" s="447">
        <f>SUM(followers!D:D)</f>
        <v>5178</v>
      </c>
      <c r="K2" s="447" cm="1">
        <f t="array" ref="K2">IF(INDEX(B:B,COUNTA(B:B)+2)+J2-M2=J2,INDEX(B:B,COUNTA(B:B)+1)+J2-M2,INDEX(B:B,COUNTA(B:B)+2)+J2-M2)</f>
        <v>243</v>
      </c>
      <c r="L2" s="351">
        <v>446</v>
      </c>
      <c r="M2" s="351">
        <v>122145</v>
      </c>
      <c r="R2" s="306" t="s">
        <v>1175</v>
      </c>
    </row>
    <row r="3" spans="1:27">
      <c r="A3" s="352" t="s">
        <v>8</v>
      </c>
      <c r="B3" s="353" t="s">
        <v>9</v>
      </c>
      <c r="C3" s="354" t="s">
        <v>112</v>
      </c>
      <c r="R3" s="306" t="s">
        <v>1176</v>
      </c>
    </row>
    <row r="4" spans="1:27" ht="15.75" thickBot="1">
      <c r="A4" s="355">
        <v>44835</v>
      </c>
      <c r="B4" s="356">
        <v>70404</v>
      </c>
      <c r="C4" s="356"/>
      <c r="M4" s="357" t="s">
        <v>15</v>
      </c>
    </row>
    <row r="5" spans="1:27" ht="15.75">
      <c r="A5" s="355">
        <v>44866</v>
      </c>
      <c r="B5" s="356">
        <v>71106</v>
      </c>
      <c r="C5" s="356"/>
      <c r="G5" s="405" t="s">
        <v>10</v>
      </c>
      <c r="H5" s="406"/>
      <c r="I5" s="407"/>
      <c r="M5" s="357" t="str">
        <f>TEXT(followers!H3,"yyyy.mm.dd")&amp;" ~ "&amp;TEXT(followers!H2,"yyyy.mm.dd")</f>
        <v>2024.03.31 ~ 2024.09.30</v>
      </c>
      <c r="AA5" s="358"/>
    </row>
    <row r="6" spans="1:27">
      <c r="A6" s="355">
        <v>44896</v>
      </c>
      <c r="B6" s="356">
        <v>71735</v>
      </c>
      <c r="C6" s="356"/>
      <c r="G6" s="359" t="s">
        <v>11</v>
      </c>
      <c r="H6" s="360" t="s">
        <v>12</v>
      </c>
      <c r="I6" s="361" t="s">
        <v>13</v>
      </c>
      <c r="AA6" s="362"/>
    </row>
    <row r="7" spans="1:27" ht="15.75" thickBot="1">
      <c r="A7" s="355">
        <v>44927</v>
      </c>
      <c r="B7" s="356">
        <v>72472</v>
      </c>
      <c r="C7" s="356">
        <v>72472</v>
      </c>
      <c r="G7" s="350">
        <f>followers!H1</f>
        <v>45536</v>
      </c>
      <c r="H7" s="363" t="str">
        <f>IF(G7=INDEX(A:A,COUNTA(A:A)+2),"",INDEX(B:B,COUNTA(B:B)+2)+J2-K2)</f>
        <v/>
      </c>
      <c r="I7" s="364" t="str">
        <f>IF(G7=INDEX(A:A,COUNTA(A:A)+2),"",INDEX(C:C,COUNTA(C:C)+5)+H2)</f>
        <v/>
      </c>
      <c r="AA7" s="362"/>
    </row>
    <row r="8" spans="1:27" ht="15.75">
      <c r="A8" s="355">
        <v>44958</v>
      </c>
      <c r="B8" s="356">
        <v>74323</v>
      </c>
      <c r="C8" s="356">
        <v>73566</v>
      </c>
      <c r="D8" s="348"/>
      <c r="AA8" s="358"/>
    </row>
    <row r="9" spans="1:27" ht="17.25" customHeight="1">
      <c r="A9" s="355">
        <v>44986</v>
      </c>
      <c r="B9" s="356">
        <v>79682</v>
      </c>
      <c r="C9" s="356">
        <v>75272</v>
      </c>
      <c r="G9" s="365" t="s">
        <v>22</v>
      </c>
    </row>
    <row r="10" spans="1:27">
      <c r="A10" s="355">
        <v>45017</v>
      </c>
      <c r="B10" s="356">
        <v>81070</v>
      </c>
      <c r="C10" s="356">
        <v>76294</v>
      </c>
    </row>
    <row r="11" spans="1:27" ht="15.75">
      <c r="A11" s="355">
        <v>45047</v>
      </c>
      <c r="B11" s="356">
        <v>82605</v>
      </c>
      <c r="C11" s="356">
        <v>77280</v>
      </c>
      <c r="G11" s="333" t="str">
        <f>TEXT(EOMONTH(followers!H1,0)+1,"yyyy년 m월 d일")&amp;" 기준 팔로워 "&amp;TEXT(H49,"#,###")&amp;"명 달성 (전년 比 "&amp;TEXT((H49-H38)/H38,"#.#%")&amp;" 증가, 전월 比 "&amp;TEXT((H49-H48)/H48,"#.#%")&amp;" 증가)"</f>
        <v>2024년 10월 1일 기준 팔로워 122,145명 달성 (전년 比 36.9% 증가, 전월 比 4.2% 증가)</v>
      </c>
    </row>
    <row r="12" spans="1:27" ht="15.75">
      <c r="A12" s="355">
        <v>45078</v>
      </c>
      <c r="B12" s="356">
        <v>85127</v>
      </c>
      <c r="C12" s="356">
        <v>78433</v>
      </c>
      <c r="G12" s="333" t="str">
        <f>"팔로워 "&amp;TEXT(J2,"#,##0"&amp;"명 (")&amp;TEXT(J2/(INDEX(B:B,COUNTA(B:B)+2)),"0.0%")&amp;") 증가"</f>
        <v>팔로워 5,178명 (4.2%) 증가</v>
      </c>
      <c r="H12" s="366"/>
    </row>
    <row r="13" spans="1:27">
      <c r="A13" s="355">
        <v>45108</v>
      </c>
      <c r="B13" s="356">
        <v>86371</v>
      </c>
      <c r="C13" s="356">
        <v>79382</v>
      </c>
      <c r="G13" s="367" t="str">
        <f>"(오가닉 "&amp;TEXT(H2,"#,##0")&amp;"명, 광고 "&amp;TEXT(I2:I2,"#,##0")&amp;"명)"</f>
        <v>(오가닉 2,798명, 광고 2,380명)</v>
      </c>
      <c r="AA13" s="306" t="s">
        <v>83</v>
      </c>
    </row>
    <row r="14" spans="1:27" ht="15.75">
      <c r="A14" s="355">
        <v>45139</v>
      </c>
      <c r="B14" s="356">
        <v>88176</v>
      </c>
      <c r="C14" s="356">
        <v>80463</v>
      </c>
      <c r="G14" s="408" t="str">
        <f>"총 "&amp;MAX(contents!W:W)&amp;"건의 콘텐츠 발행 (Repost "&amp;COUNTIF('contents 장표'!E:E,"REPOST")&amp;"건)"</f>
        <v>총 30건의 콘텐츠 발행 (Repost 0건)</v>
      </c>
      <c r="H14" s="408"/>
      <c r="I14" s="408"/>
    </row>
    <row r="15" spans="1:27">
      <c r="A15" s="355">
        <v>45170</v>
      </c>
      <c r="B15" s="356">
        <v>86573</v>
      </c>
      <c r="C15" s="356">
        <v>81510</v>
      </c>
      <c r="G15" s="368" t="str">
        <f>"- Products 카테고리 "&amp;COUNTIF('contents 장표'!H:H,"Products")&amp;"건"</f>
        <v>- Products 카테고리 0건</v>
      </c>
      <c r="H15" s="368" t="str">
        <f>"- Interest 카테고리 "&amp;COUNTIF('contents 장표'!H:H,"Interest")&amp;"건"</f>
        <v>- Interest 카테고리 0건</v>
      </c>
      <c r="I15" s="368" t="str">
        <f>"- News 카테고리 "&amp;COUNTIF('contents 장표'!H:H,"News")&amp;"건"</f>
        <v>- News 카테고리 0건</v>
      </c>
    </row>
    <row r="16" spans="1:27">
      <c r="A16" s="355">
        <v>45200</v>
      </c>
      <c r="B16" s="356">
        <v>89234</v>
      </c>
      <c r="C16" s="356">
        <v>82805</v>
      </c>
      <c r="G16" s="368" t="str">
        <f>"- Seasonal 카테고리 "&amp;COUNTIF('contents 장표'!H:H,"Seasonal")&amp;"건"</f>
        <v>- Seasonal 카테고리 0건</v>
      </c>
      <c r="H16" s="368" t="str">
        <f>"- Events 카테고리 "&amp;COUNTIF('contents 장표'!H:H,"Events")&amp;"건"</f>
        <v>- Events 카테고리 0건</v>
      </c>
      <c r="I16" s="369"/>
    </row>
    <row r="17" spans="1:14">
      <c r="A17" s="355">
        <v>45231</v>
      </c>
      <c r="B17" s="356">
        <v>91659</v>
      </c>
      <c r="C17" s="356">
        <v>84407</v>
      </c>
    </row>
    <row r="18" spans="1:14">
      <c r="A18" s="355">
        <v>45261</v>
      </c>
      <c r="B18" s="356">
        <v>93101</v>
      </c>
      <c r="C18" s="356">
        <v>85319</v>
      </c>
      <c r="G18" s="370" t="str">
        <f>"     신규 유입 "&amp;TEXT(J2,"#,###")&amp;"명"&amp;" (오가닉 "&amp;TEXT(H2,"#,###")&amp;"명, 광고 "&amp;TEXT(I2,"#,###")&amp;"명)"</f>
        <v xml:space="preserve">     신규 유입 5,178명 (오가닉 2,798명, 광고 2,380명)</v>
      </c>
    </row>
    <row r="19" spans="1:14">
      <c r="A19" s="355">
        <v>45292</v>
      </c>
      <c r="B19" s="356">
        <v>94705</v>
      </c>
      <c r="C19" s="356">
        <v>86458</v>
      </c>
      <c r="G19" s="371" t="str">
        <f>"     전체 팔로워 중 이탈 "&amp;TEXT(K2,"#,###")&amp;"명, 최종 신규 유입 팔로워 "&amp;TEXT(J2-K2,"#,###")&amp;"명"</f>
        <v xml:space="preserve">     전체 팔로워 중 이탈 243명, 최종 신규 유입 팔로워 4,935명</v>
      </c>
    </row>
    <row r="20" spans="1:14">
      <c r="A20" s="372">
        <v>45323</v>
      </c>
      <c r="B20" s="356">
        <v>96767</v>
      </c>
      <c r="C20" s="356">
        <v>87626</v>
      </c>
      <c r="G20" s="373"/>
    </row>
    <row r="21" spans="1:14">
      <c r="A21" s="355">
        <v>45352</v>
      </c>
      <c r="B21" s="356">
        <v>98407</v>
      </c>
      <c r="C21" s="356">
        <v>88905</v>
      </c>
    </row>
    <row r="22" spans="1:14">
      <c r="A22" s="355">
        <v>45383</v>
      </c>
      <c r="B22" s="356">
        <v>100455</v>
      </c>
      <c r="C22" s="356">
        <v>90725</v>
      </c>
      <c r="G22" s="374" t="s">
        <v>19</v>
      </c>
    </row>
    <row r="23" spans="1:14">
      <c r="A23" s="355">
        <v>45413</v>
      </c>
      <c r="B23" s="356">
        <v>103141</v>
      </c>
      <c r="C23" s="356">
        <v>93136</v>
      </c>
      <c r="G23" s="375" t="str">
        <f>IF('PC 모바일 비교'!U2&gt;'PC 모바일 비교'!V2,"페이지 View "&amp;TEXT(ABS((('PC 모바일 비교'!U2-'PC 모바일 비교'!V2)/'PC 모바일 비교'!V2)),"0.0%")&amp;" 증가 ("&amp;TEXT('PC 모바일 비교'!V2,"#,##0")&amp;" → "&amp;TEXT('PC 모바일 비교'!U2,"#,##0")&amp;")","페이지 View "&amp;TEXT(ABS((('PC 모바일 비교'!U2-'PC 모바일 비교'!V2)/'PC 모바일 비교'!V2)),"0.0%")&amp;" 감소 ("&amp;TEXT('PC 모바일 비교'!V2,"#,##0")&amp;" → "&amp;TEXT('PC 모바일 비교'!U2,"#,##0")&amp;")")</f>
        <v>페이지 View 15.7% 감소 (17,245 → 14,545)</v>
      </c>
    </row>
    <row r="24" spans="1:14">
      <c r="A24" s="355">
        <v>45444</v>
      </c>
      <c r="B24" s="356">
        <v>106003</v>
      </c>
      <c r="C24" s="356">
        <v>95434</v>
      </c>
      <c r="G24" s="375" t="str">
        <f ca="1">IF('PC 모바일 비교'!U3&gt;'PC 모바일 비교'!V3,"페이지 순 방문자 수 "&amp;TEXT(('PC 모바일 비교'!U3-'PC 모바일 비교'!V3)/'PC 모바일 비교'!V3,"0.0%")&amp;" 증가 ("&amp;TEXT('PC 모바일 비교'!V3,"#,##0")&amp;" → "&amp;TEXT('PC 모바일 비교'!U3,"#,##0")&amp;")","페이지 순 방문자 수 "&amp;TEXT(('PC 모바일 비교'!U3-'PC 모바일 비교'!V3)/'PC 모바일 비교'!V3,"0.0%")&amp;" 감소 ("&amp;TEXT('PC 모바일 비교'!V3,"#,##0")&amp;" → "&amp;TEXT('PC 모바일 비교'!U3,"#,##0")&amp;")")</f>
        <v>페이지 순 방문자 수 -12.0% 감소 (8,773 → 7,720)</v>
      </c>
    </row>
    <row r="25" spans="1:14">
      <c r="A25" s="355">
        <v>45474</v>
      </c>
      <c r="B25" s="356">
        <v>112252</v>
      </c>
      <c r="C25" s="356">
        <v>99386</v>
      </c>
    </row>
    <row r="26" spans="1:14">
      <c r="A26" s="355">
        <v>45505</v>
      </c>
      <c r="B26" s="356">
        <v>117210</v>
      </c>
      <c r="C26" s="356">
        <v>102500</v>
      </c>
      <c r="H26" s="366"/>
      <c r="K26" s="366"/>
    </row>
    <row r="27" spans="1:14">
      <c r="A27" s="355">
        <v>45536</v>
      </c>
      <c r="B27" s="356">
        <v>122145</v>
      </c>
      <c r="C27" s="356">
        <v>105298</v>
      </c>
    </row>
    <row r="28" spans="1:14">
      <c r="A28" s="355"/>
      <c r="B28" s="356"/>
      <c r="C28" s="356"/>
      <c r="G28" s="374" t="s">
        <v>20</v>
      </c>
    </row>
    <row r="29" spans="1:14">
      <c r="A29" s="355"/>
      <c r="B29" s="356"/>
      <c r="C29" s="356"/>
      <c r="G29" s="375" t="str">
        <f ca="1">IF('contents(daily)'!X2&gt;'contents(daily)'!Y2,"Impression 약 "&amp;TEXT((('contents(daily)'!X2-'contents(daily)'!Y2)/'contents(daily)'!Y2),"0.0%")&amp;" 증가 ("&amp;TEXT('contents(daily)'!Y2,"#,##0")&amp;" --&gt; "&amp;TEXT('contents(daily)'!X2,"#,##0")&amp;")","Impression 약 "&amp;TEXT(ABS((('contents(daily)'!X2-'contents(daily)'!Y2)/'contents(daily)'!Y2)),"0.0%")&amp;" 감소 ("&amp;TEXT('contents(daily)'!Y2,"#,##0")&amp;" --&gt; "&amp;TEXT('contents(daily)'!X2,"#,##0")&amp;")")</f>
        <v>Impression 약 12.8% 감소 (239,939 --&gt; 209,273)</v>
      </c>
    </row>
    <row r="30" spans="1:14">
      <c r="A30" s="355"/>
      <c r="B30" s="356"/>
      <c r="C30" s="356"/>
      <c r="G30" s="375" t="str">
        <f ca="1">IF('contents(daily)'!X2&gt;'contents(daily)'!Y2,"Engagement 약 "&amp;TEXT((('contents(daily)'!X3-'contents(daily)'!Y3)/'contents(daily)'!Y3),"0.0%")&amp;" 증가 ("&amp;TEXT('contents(daily)'!Y3,"#,##0")&amp;" --&gt; "&amp;TEXT('contents(daily)'!X3,"#,##0")&amp;")","Engagement 약 "&amp;TEXT(ABS((('contents(daily)'!X3-'contents(daily)'!Y3)/'contents(daily)'!Y3)),"0.0%")&amp;" 감소 ("&amp;TEXT('contents(daily)'!Y3,"#,##0")&amp;" --&gt; "&amp;TEXT('contents(daily)'!X3,"#,##0")&amp;")")</f>
        <v>Engagement 약 1.7% 감소 (25,963 --&gt; 25,532)</v>
      </c>
      <c r="M30" s="376"/>
    </row>
    <row r="31" spans="1:14">
      <c r="A31" s="372"/>
      <c r="B31" s="356"/>
      <c r="C31" s="356"/>
      <c r="G31" s="375" t="str">
        <f ca="1">IF('contents(daily)'!X4&gt;'contents(daily)'!Y4,"총 클릭 수 약 "&amp;TEXT(ABS(('contents(daily)'!X4-'contents(daily)'!Y4)/'contents(daily)'!Y4),"0.0%")&amp;" 증가","총 클릭 수 약 "&amp;TEXT(ABS(('contents(daily)'!X4-'contents(daily)'!Y4)/'contents(daily)'!Y4),"0.0%")&amp;" 감소")</f>
        <v>총 클릭 수 약 0.3% 증가</v>
      </c>
      <c r="N31" s="306" t="s">
        <v>114</v>
      </c>
    </row>
    <row r="32" spans="1:14">
      <c r="A32" s="355"/>
      <c r="B32" s="356"/>
      <c r="C32" s="356"/>
    </row>
    <row r="33" spans="1:13">
      <c r="A33" s="355"/>
      <c r="B33" s="356"/>
      <c r="C33" s="356"/>
      <c r="M33" s="373"/>
    </row>
    <row r="34" spans="1:13">
      <c r="A34" s="355"/>
      <c r="B34" s="356"/>
      <c r="C34" s="356"/>
    </row>
    <row r="35" spans="1:13" ht="15.75" thickBot="1">
      <c r="A35" s="355"/>
      <c r="B35" s="356"/>
      <c r="C35" s="356"/>
    </row>
    <row r="36" spans="1:13">
      <c r="A36" s="355"/>
      <c r="B36" s="356"/>
      <c r="C36" s="356"/>
      <c r="G36" s="377" t="s">
        <v>4</v>
      </c>
      <c r="H36" s="378" t="s">
        <v>9</v>
      </c>
      <c r="I36" s="379" t="s">
        <v>5</v>
      </c>
    </row>
    <row r="37" spans="1:13">
      <c r="A37" s="355"/>
      <c r="B37" s="356"/>
      <c r="C37" s="356"/>
      <c r="G37" s="448" cm="1">
        <f t="array" ref="G37">INDEX(A:A,COUNTA(A:A)-10)</f>
        <v>45170</v>
      </c>
      <c r="H37" s="449" cm="1">
        <f t="array" ref="H37">INDEX(B:B,COUNTA(B:B)-10)</f>
        <v>86573</v>
      </c>
      <c r="I37" s="450" cm="1">
        <f t="array" ref="I37">INDEX(C:C,COUNTA(C:C)-7)</f>
        <v>81510</v>
      </c>
    </row>
    <row r="38" spans="1:13">
      <c r="A38" s="355"/>
      <c r="B38" s="356"/>
      <c r="C38" s="356"/>
      <c r="G38" s="448" cm="1">
        <f t="array" ref="G38">INDEX(A:A,COUNTA(A:A)-9)</f>
        <v>45200</v>
      </c>
      <c r="H38" s="449" cm="1">
        <f t="array" ref="H38">INDEX(B:B,COUNTA(B:B)-9)</f>
        <v>89234</v>
      </c>
      <c r="I38" s="450" cm="1">
        <f t="array" ref="I38">INDEX(C:C,COUNTA(C:C)-6)</f>
        <v>82805</v>
      </c>
    </row>
    <row r="39" spans="1:13">
      <c r="A39" s="355"/>
      <c r="B39" s="356"/>
      <c r="C39" s="356"/>
      <c r="G39" s="448" cm="1">
        <f t="array" ref="G39">INDEX(A:A,COUNTA(A:A)-8)</f>
        <v>45231</v>
      </c>
      <c r="H39" s="449" cm="1">
        <f t="array" ref="H39">INDEX(B:B,COUNTA(B:B)-8)</f>
        <v>91659</v>
      </c>
      <c r="I39" s="450" cm="1">
        <f t="array" ref="I39">INDEX(C:C,COUNTA(C:C)-5)</f>
        <v>84407</v>
      </c>
    </row>
    <row r="40" spans="1:13">
      <c r="A40" s="355"/>
      <c r="B40" s="356"/>
      <c r="C40" s="356"/>
      <c r="G40" s="448" cm="1">
        <f t="array" ref="G40">INDEX(A:A,COUNTA(A:A)-7)</f>
        <v>45261</v>
      </c>
      <c r="H40" s="449" cm="1">
        <f t="array" ref="H40">INDEX(B:B,COUNTA(B:B)-7)</f>
        <v>93101</v>
      </c>
      <c r="I40" s="450" cm="1">
        <f t="array" ref="I40">INDEX(C:C,COUNTA(C:C)-4)</f>
        <v>85319</v>
      </c>
    </row>
    <row r="41" spans="1:13">
      <c r="A41" s="355"/>
      <c r="B41" s="356"/>
      <c r="C41" s="356"/>
      <c r="G41" s="448" cm="1">
        <f t="array" ref="G41">INDEX(A:A,COUNTA(A:A)-6)</f>
        <v>45292</v>
      </c>
      <c r="H41" s="449" cm="1">
        <f t="array" ref="H41">INDEX(B:B,COUNTA(B:B)-6)</f>
        <v>94705</v>
      </c>
      <c r="I41" s="450" cm="1">
        <f t="array" ref="I41">INDEX(C:C,COUNTA(C:C)-3)</f>
        <v>86458</v>
      </c>
    </row>
    <row r="42" spans="1:13">
      <c r="A42" s="372"/>
      <c r="B42" s="356"/>
      <c r="C42" s="356"/>
      <c r="G42" s="448" cm="1">
        <f t="array" ref="G42">INDEX(A:A,COUNTA(A:A)-5)</f>
        <v>45323</v>
      </c>
      <c r="H42" s="449" cm="1">
        <f t="array" ref="H42">INDEX(B:B,COUNTA(B:B)-5)</f>
        <v>96767</v>
      </c>
      <c r="I42" s="450" cm="1">
        <f t="array" ref="I42">INDEX(C:C,COUNTA(C:C)-2)</f>
        <v>87626</v>
      </c>
    </row>
    <row r="43" spans="1:13">
      <c r="A43" s="355"/>
      <c r="B43" s="356"/>
      <c r="C43" s="356"/>
      <c r="G43" s="448" cm="1">
        <f t="array" ref="G43">INDEX(A:A,COUNTA(A:A)-4)</f>
        <v>45352</v>
      </c>
      <c r="H43" s="449" cm="1">
        <f t="array" ref="H43">INDEX(B:B,COUNTA(B:B)-4)</f>
        <v>98407</v>
      </c>
      <c r="I43" s="450" cm="1">
        <f t="array" ref="I43">INDEX(C:C,COUNTA(C:C)-1)</f>
        <v>88905</v>
      </c>
    </row>
    <row r="44" spans="1:13">
      <c r="A44" s="355"/>
      <c r="B44" s="356"/>
      <c r="C44" s="356"/>
      <c r="G44" s="448" cm="1">
        <f t="array" ref="G44">INDEX(A:A,COUNTA(A:A)-3)</f>
        <v>45383</v>
      </c>
      <c r="H44" s="449" cm="1">
        <f t="array" ref="H44">INDEX(B:B,COUNTA(B:B)-3)</f>
        <v>100455</v>
      </c>
      <c r="I44" s="450" cm="1">
        <f t="array" ref="I44">INDEX(C:C,COUNTA(C:C))</f>
        <v>90725</v>
      </c>
    </row>
    <row r="45" spans="1:13">
      <c r="A45" s="355"/>
      <c r="B45" s="356"/>
      <c r="C45" s="356"/>
      <c r="G45" s="448" cm="1">
        <f t="array" ref="G45">INDEX(A:A,COUNTA(A:A)-2)</f>
        <v>45413</v>
      </c>
      <c r="H45" s="449" cm="1">
        <f t="array" ref="H45">INDEX(B:B,COUNTA(B:B)-2)</f>
        <v>103141</v>
      </c>
      <c r="I45" s="450" cm="1">
        <f t="array" ref="I45">INDEX(C:C,COUNTA(C:C)+1)</f>
        <v>93136</v>
      </c>
    </row>
    <row r="46" spans="1:13">
      <c r="A46" s="355"/>
      <c r="B46" s="356"/>
      <c r="C46" s="356"/>
      <c r="G46" s="448" cm="1">
        <f t="array" ref="G46">INDEX(A:A,COUNTA(A:A)-1)</f>
        <v>45444</v>
      </c>
      <c r="H46" s="449" cm="1">
        <f t="array" ref="H46">INDEX(B:B,COUNTA(B:B)-1)</f>
        <v>106003</v>
      </c>
      <c r="I46" s="450" cm="1">
        <f t="array" ref="I46">INDEX(C:C,COUNTA(C:C)+2)</f>
        <v>95434</v>
      </c>
    </row>
    <row r="47" spans="1:13">
      <c r="A47" s="355"/>
      <c r="B47" s="356"/>
      <c r="C47" s="356"/>
      <c r="G47" s="448" cm="1">
        <f t="array" ref="G47">INDEX(A:A,COUNTA(A:A))</f>
        <v>45474</v>
      </c>
      <c r="H47" s="449" cm="1">
        <f t="array" ref="H47">INDEX(B:B,COUNTA(B:B))</f>
        <v>112252</v>
      </c>
      <c r="I47" s="450" cm="1">
        <f t="array" ref="I47">INDEX(C:C,COUNTA(C:C)+3)</f>
        <v>99386</v>
      </c>
    </row>
    <row r="48" spans="1:13">
      <c r="A48" s="355"/>
      <c r="B48" s="356"/>
      <c r="C48" s="356"/>
      <c r="G48" s="448" cm="1">
        <f t="array" ref="G48">INDEX(A:A,COUNTA(A:A)+1)</f>
        <v>45505</v>
      </c>
      <c r="H48" s="449" cm="1">
        <f t="array" ref="H48">INDEX(B:B,COUNTA(B:B)+1)</f>
        <v>117210</v>
      </c>
      <c r="I48" s="450" cm="1">
        <f t="array" ref="I48">INDEX(C:C,COUNTA(C:C)+4)</f>
        <v>102500</v>
      </c>
    </row>
    <row r="49" spans="1:9" ht="15.75" thickBot="1">
      <c r="A49" s="355"/>
      <c r="B49" s="356"/>
      <c r="C49" s="356"/>
      <c r="G49" s="446" cm="1">
        <f t="array" ref="G49">INDEX(A:A,COUNTA(A:A)+2)</f>
        <v>45536</v>
      </c>
      <c r="H49" s="451" cm="1">
        <f t="array" ref="H49">INDEX(B:B,COUNTA(B:B)+2)</f>
        <v>122145</v>
      </c>
      <c r="I49" s="452" cm="1">
        <f t="array" ref="I49">INDEX(C:C,COUNTA(C:C)+5)</f>
        <v>105298</v>
      </c>
    </row>
    <row r="50" spans="1:9">
      <c r="A50" s="355"/>
      <c r="B50" s="356"/>
      <c r="C50" s="356"/>
    </row>
    <row r="51" spans="1:9">
      <c r="A51" s="355"/>
      <c r="B51" s="356"/>
      <c r="C51" s="356"/>
    </row>
    <row r="52" spans="1:9">
      <c r="A52" s="355"/>
      <c r="B52" s="356"/>
      <c r="C52" s="356"/>
    </row>
    <row r="53" spans="1:9">
      <c r="A53" s="372"/>
      <c r="B53" s="356"/>
      <c r="C53" s="356"/>
    </row>
    <row r="54" spans="1:9">
      <c r="A54" s="355"/>
      <c r="B54" s="356"/>
      <c r="C54" s="356"/>
    </row>
    <row r="55" spans="1:9">
      <c r="A55" s="355"/>
      <c r="B55" s="356"/>
      <c r="C55" s="356"/>
    </row>
    <row r="56" spans="1:9">
      <c r="A56" s="355"/>
      <c r="B56" s="356"/>
      <c r="C56" s="356"/>
    </row>
    <row r="57" spans="1:9">
      <c r="A57" s="355"/>
      <c r="B57" s="356"/>
      <c r="C57" s="356"/>
    </row>
    <row r="58" spans="1:9">
      <c r="A58" s="355"/>
      <c r="B58" s="356"/>
      <c r="C58" s="356"/>
    </row>
    <row r="59" spans="1:9">
      <c r="A59" s="355"/>
      <c r="B59" s="356"/>
      <c r="C59" s="356"/>
    </row>
    <row r="60" spans="1:9">
      <c r="A60" s="355"/>
      <c r="B60" s="356"/>
      <c r="C60" s="356"/>
    </row>
    <row r="61" spans="1:9">
      <c r="A61" s="355"/>
      <c r="B61" s="356"/>
      <c r="C61" s="356"/>
    </row>
    <row r="62" spans="1:9">
      <c r="A62" s="355"/>
      <c r="B62" s="356"/>
      <c r="C62" s="356"/>
    </row>
    <row r="63" spans="1:9">
      <c r="A63" s="355"/>
      <c r="B63" s="356"/>
      <c r="C63" s="356"/>
    </row>
    <row r="64" spans="1:9">
      <c r="A64" s="372"/>
      <c r="B64" s="356"/>
      <c r="C64" s="356"/>
    </row>
    <row r="65" spans="1:3">
      <c r="A65" s="355"/>
      <c r="B65" s="356"/>
      <c r="C65" s="356"/>
    </row>
    <row r="66" spans="1:3">
      <c r="A66" s="355"/>
      <c r="B66" s="356"/>
      <c r="C66" s="356"/>
    </row>
    <row r="67" spans="1:3">
      <c r="A67" s="355"/>
      <c r="B67" s="356"/>
      <c r="C67" s="356"/>
    </row>
    <row r="68" spans="1:3">
      <c r="A68" s="355"/>
      <c r="B68" s="356"/>
      <c r="C68" s="356"/>
    </row>
    <row r="69" spans="1:3">
      <c r="A69" s="355"/>
      <c r="B69" s="356"/>
      <c r="C69" s="356"/>
    </row>
    <row r="70" spans="1:3">
      <c r="A70" s="355"/>
      <c r="B70" s="356"/>
      <c r="C70" s="356"/>
    </row>
    <row r="71" spans="1:3">
      <c r="A71" s="355"/>
      <c r="B71" s="356"/>
      <c r="C71" s="356"/>
    </row>
    <row r="72" spans="1:3">
      <c r="A72" s="355"/>
      <c r="B72" s="356"/>
      <c r="C72" s="356"/>
    </row>
    <row r="73" spans="1:3">
      <c r="A73" s="355"/>
      <c r="B73" s="356"/>
      <c r="C73" s="356"/>
    </row>
    <row r="74" spans="1:3">
      <c r="A74" s="347"/>
    </row>
    <row r="75" spans="1:3">
      <c r="A75" s="380"/>
    </row>
    <row r="76" spans="1:3">
      <c r="A76" s="347"/>
    </row>
    <row r="77" spans="1:3">
      <c r="A77" s="347"/>
    </row>
    <row r="78" spans="1:3">
      <c r="A78" s="347"/>
    </row>
    <row r="79" spans="1:3">
      <c r="A79" s="347"/>
    </row>
    <row r="80" spans="1:3">
      <c r="A80" s="347"/>
    </row>
    <row r="81" spans="1:1">
      <c r="A81" s="347"/>
    </row>
    <row r="82" spans="1:1">
      <c r="A82" s="347"/>
    </row>
    <row r="83" spans="1:1">
      <c r="A83" s="347"/>
    </row>
    <row r="84" spans="1:1">
      <c r="A84" s="347"/>
    </row>
    <row r="85" spans="1:1">
      <c r="A85" s="347"/>
    </row>
  </sheetData>
  <mergeCells count="2">
    <mergeCell ref="G5:I5"/>
    <mergeCell ref="G14:I14"/>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79998168889431442"/>
  </sheetPr>
  <dimension ref="A2:R44"/>
  <sheetViews>
    <sheetView topLeftCell="A10" zoomScaleNormal="100" workbookViewId="0">
      <selection activeCell="A41" sqref="A41"/>
    </sheetView>
  </sheetViews>
  <sheetFormatPr defaultRowHeight="16.5"/>
  <cols>
    <col min="2" max="2" width="11.125" style="3" bestFit="1" customWidth="1"/>
    <col min="3" max="3" width="11.125" style="3" customWidth="1"/>
    <col min="4" max="5" width="5.5" bestFit="1" customWidth="1"/>
    <col min="6" max="6" width="6" bestFit="1" customWidth="1"/>
    <col min="9" max="9" width="11.625" customWidth="1"/>
  </cols>
  <sheetData>
    <row r="2" spans="1:18">
      <c r="D2" s="13" t="str">
        <f>TEXT(followers!H2+1,"m월 d일")&amp;" 기준 총 팔로워 현황 "&amp;TEXT(INDEX('월간 HL'!B:B,COUNTA('월간 HL'!B:B)+2),"#,##0")&amp;"명 (광고 유입 포함 전월 대비 "&amp;TEXT(VALUE('월간 HL'!J2/INDEX('월간 HL'!B:B,COUNTA('월간 HL'!B:B)+1)),"0.0%")&amp;" 증가)"</f>
        <v>10월 1일 기준 총 팔로워 현황 122,145명 (광고 유입 포함 전월 대비 4.4% 증가)</v>
      </c>
    </row>
    <row r="3" spans="1:18">
      <c r="D3" s="16" t="str">
        <f>IF((INDEX('월간 HL'!C:C,COUNTA('월간 HL'!C:C)+5)-(INDEX('월간 HL'!C:C,COUNTA('월간 HL'!C:C)+4)))/((INDEX('월간 HL'!C:C,COUNTA('월간 HL'!C:C)+4)-(INDEX('월간 HL'!C:C,COUNTA('월간 HL'!C:C)+3))))-1&gt;0,MONTH(followers!H1)&amp;"월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증가)",MONTH(followers!H1)&amp;"월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감소)")</f>
        <v>9월 총 신규 팔로워 유입 수는 5,178명으로, 이 중 오가닉은 2,798명 (오가닉 팔로워 전월 比 10.1% 감소)</v>
      </c>
    </row>
    <row r="4" spans="1:18">
      <c r="D4" s="51" t="str">
        <f>IF(('월간 HL'!K2/'월간 HL'!J2)-('월간 HL'!L2/(INDEX('월간 HL'!B:B,COUNTA('월간 HL'!B:B)+1)-INDEX('월간 HL'!B:B,COUNTA('월간 HL'!B:B))))&gt;0,"최종 "&amp;MONTH(followers!H1)&amp;"월 신규 팔로워는 "&amp;TEXT('월간 HL'!J2-'월간 HL'!K2,"#,##0")&amp;"명으로 집계 (이탈자 "&amp;TEXT('월간 HL'!K2,"#,##0")&amp;"명, 유입 대비 이탈율 "&amp;TEXT('월간 HL'!K2/'월간 HL'!J2,"0.0%")&amp;": 전월대비 "&amp;TEXT('월간 HL'!K2/'월간 HL'!J2,"0.0%")&amp;": 전월대비 "&amp;TEXT(ABS((('월간 HL'!K2/'월간 HL'!J2)-('월간 HL'!L2/(INDEX('월간 HL'!B:B,COUNTA('월간 HL'!B:B)+1)-INDEX('월간 HL'!B:B,COUNTA('월간 HL'!B:B)))))),"0.0%p")&amp;" 증가 / 단, 이탈자의 팔로우 유입 경로(오가닉 여부) 식별 제한)","최종 "&amp;MONTH(followers!H1)&amp;"월 신규 팔로워는 "&amp;TEXT('월간 HL'!J2-'월간 HL'!K2,"#,##0")&amp;"명으로 집계 (이탈자 "&amp;TEXT('월간 HL'!K2,"#,##0")&amp;"명, 유입 대비 이탈율 "&amp;TEXT('월간 HL'!K2/'월간 HL'!J2,"0.0%")&amp;": 전월대비 "&amp;TEXT(ABS((('월간 HL'!K2/'월간 HL'!J2)-('월간 HL'!L2/(INDEX('월간 HL'!B:B,COUNTA('월간 HL'!B:B)+1)-INDEX('월간 HL'!B:B,COUNTA('월간 HL'!B:B)))))),"0.0%p")&amp;" 감소 / 단, 이탈자의 팔로우 유입 경로(오가닉 여부) 식별 제한)")</f>
        <v>최종 9월 신규 팔로워는 4,935명으로 집계 (이탈자 243명, 유입 대비 이탈율 4.7%: 전월대비 4.3%p 감소 / 단, 이탈자의 팔로우 유입 경로(오가닉 여부) 식별 제한)</v>
      </c>
    </row>
    <row r="7" spans="1:18">
      <c r="R7" s="17" t="s">
        <v>14</v>
      </c>
    </row>
    <row r="8" spans="1:18">
      <c r="R8" s="17" t="str">
        <f>TEXT(followers!H1,"yyyy.mm.dd")&amp;" ~ "&amp;TEXT(followers!H2,"yyyy.mm.dd")</f>
        <v>2024.09.01 ~ 2024.09.30</v>
      </c>
    </row>
    <row r="10" spans="1:18">
      <c r="B10" s="32"/>
      <c r="C10" s="32" t="str">
        <f>MONTH(followers!H1)&amp;"월 광고 오가닉 팔로워 수"</f>
        <v>9월 광고 오가닉 팔로워 수</v>
      </c>
      <c r="D10" s="9" t="str">
        <f>MONTH(followers!H1)&amp;"월 신규 오가닉 팔로워 수"</f>
        <v>9월 신규 오가닉 팔로워 수</v>
      </c>
      <c r="E10" s="9" t="str">
        <f>MONTH(followers!H1)&amp;"월 신규 오가닉+광고 팔로워 수"</f>
        <v>9월 신규 오가닉+광고 팔로워 수</v>
      </c>
      <c r="F10" s="9" t="s">
        <v>90</v>
      </c>
      <c r="G10" s="12" t="s">
        <v>89</v>
      </c>
    </row>
    <row r="11" spans="1:18">
      <c r="A11" t="str">
        <f>IF(
OR(MOD(I11,7)&gt;5,MOD(I11,7)&lt;2),"","1주차")</f>
        <v/>
      </c>
      <c r="B11" s="33" t="str">
        <f>IF(D11="","",TEXT(followers!E2,"d")&amp;CHAR(10)&amp;TEXT(followers!E2,"aaa"))</f>
        <v>1
일</v>
      </c>
      <c r="C11" s="9">
        <f>IF(followers!B2="","",followers!B2)</f>
        <v>34</v>
      </c>
      <c r="D11" s="9">
        <f>IF(followers!C2="","",followers!C2)</f>
        <v>87</v>
      </c>
      <c r="E11" s="9">
        <f>IF(followers!D2="","",followers!D2)</f>
        <v>121</v>
      </c>
      <c r="F11" s="239" t="e">
        <f>IF(OR(COUNTIF('Follower Ad'!E5:E13,TEXT(I11,"mm월 dd일"))&gt;0,
COUNTIFS(contents!AA:AA,I:I,contents!C:C,"sponsored")&gt;0),
E11+50,
NA())</f>
        <v>#N/A</v>
      </c>
      <c r="G11" t="str">
        <f>IF(COUNTIFS(contents!X:X,followers!E2)&gt;0,"Yes","")</f>
        <v/>
      </c>
      <c r="H11" t="str">
        <f>TEXT(followers!E2,"aaa")</f>
        <v>일</v>
      </c>
      <c r="I11" s="3">
        <f>followers!E2</f>
        <v>45536</v>
      </c>
    </row>
    <row r="12" spans="1:18">
      <c r="A12" t="str">
        <f>IFERROR(IF(MOD(I12,7)&lt;&gt;2,"",(COUNTA($A$11:A11)-COUNTBLANK($A$11:A11)+1)&amp;"주차"), "")</f>
        <v>1주차</v>
      </c>
      <c r="B12" s="33" t="str">
        <f>IF(D12="","",TEXT(followers!E3,"d")&amp;CHAR(10)&amp;TEXT(followers!E3,"aaa"))</f>
        <v>2
월</v>
      </c>
      <c r="C12" s="9">
        <f>IF(followers!B3="","",followers!B3)</f>
        <v>65</v>
      </c>
      <c r="D12" s="9">
        <f>IF(followers!C3="","",followers!C3)</f>
        <v>115</v>
      </c>
      <c r="E12" s="9">
        <f>IF(followers!D3="","",followers!D3)</f>
        <v>180</v>
      </c>
      <c r="F12" s="239" t="e">
        <f>IF(OR(COUNTIF('Follower Ad'!E6:E14,TEXT(I12,"mm월 dd일"))&gt;0,
COUNTIFS(contents!AA:AA,I:I,contents!C:C,"sponsored")&gt;0),
E12+50,
NA())</f>
        <v>#N/A</v>
      </c>
      <c r="G12" t="str">
        <f>IF(COUNTIFS(contents!X:X,followers!E3)&gt;0,"Yes","")</f>
        <v>Yes</v>
      </c>
      <c r="H12" t="str">
        <f>TEXT(followers!E3,"aaa")</f>
        <v>월</v>
      </c>
      <c r="I12" s="3">
        <f>followers!E3</f>
        <v>45537</v>
      </c>
    </row>
    <row r="13" spans="1:18">
      <c r="A13" t="str">
        <f>IFERROR(IF(MOD(I13,7)&lt;&gt;2,"",(COUNTA($A$11:A12)-COUNTBLANK($A$11:A12)+1)&amp;"주차"), "")</f>
        <v/>
      </c>
      <c r="B13" s="33" t="str">
        <f>IF(D13="","",TEXT(followers!E4,"d")&amp;CHAR(10)&amp;TEXT(followers!E4,"aaa"))</f>
        <v>3
화</v>
      </c>
      <c r="C13" s="9">
        <f>IF(followers!B4="","",followers!B4)</f>
        <v>106</v>
      </c>
      <c r="D13" s="9">
        <f>IF(followers!C4="","",followers!C4)</f>
        <v>133</v>
      </c>
      <c r="E13" s="9">
        <f>IF(followers!D4="","",followers!D4)</f>
        <v>239</v>
      </c>
      <c r="F13" s="239" t="e">
        <f>IF(OR(COUNTIF('Follower Ad'!E7:E15,TEXT(I13,"mm월 dd일"))&gt;0,
COUNTIFS(contents!AA:AA,I:I,contents!C:C,"sponsored")&gt;0),
E13+50,
NA())</f>
        <v>#N/A</v>
      </c>
      <c r="G13" t="str">
        <f>IF(COUNTIFS(contents!X:X,followers!E4)&gt;0,"Yes","")</f>
        <v>Yes</v>
      </c>
      <c r="H13" t="str">
        <f>TEXT(followers!E4,"aaa")</f>
        <v>화</v>
      </c>
      <c r="I13" s="3">
        <f>followers!E4</f>
        <v>45538</v>
      </c>
    </row>
    <row r="14" spans="1:18">
      <c r="A14" t="str">
        <f>IFERROR(IF(MOD(I14,7)&lt;&gt;2,"",(COUNTA($A$11:A13)-COUNTBLANK($A$11:A13)+1)&amp;"주차"), "")</f>
        <v/>
      </c>
      <c r="B14" s="33" t="str">
        <f>IF(D14="","",TEXT(followers!E5,"d")&amp;CHAR(10)&amp;TEXT(followers!E5,"aaa"))</f>
        <v>4
수</v>
      </c>
      <c r="C14" s="9">
        <f>IF(followers!B5="","",followers!B5)</f>
        <v>100</v>
      </c>
      <c r="D14" s="9">
        <f>IF(followers!C5="","",followers!C5)</f>
        <v>121</v>
      </c>
      <c r="E14" s="9">
        <f>IF(followers!D5="","",followers!D5)</f>
        <v>221</v>
      </c>
      <c r="F14" s="239" t="e">
        <f>IF(OR(COUNTIF('Follower Ad'!E8:E16,TEXT(I14,"mm월 dd일"))&gt;0,
COUNTIFS(contents!AA:AA,I:I,contents!C:C,"sponsored")&gt;0),
E14+50,
NA())</f>
        <v>#N/A</v>
      </c>
      <c r="G14" t="str">
        <f>IF(COUNTIFS(contents!X:X,followers!E5)&gt;0,"Yes","")</f>
        <v>Yes</v>
      </c>
      <c r="H14" t="str">
        <f>TEXT(followers!E5,"aaa")</f>
        <v>수</v>
      </c>
      <c r="I14" s="3">
        <f>followers!E5</f>
        <v>45539</v>
      </c>
    </row>
    <row r="15" spans="1:18">
      <c r="A15" t="str">
        <f>IFERROR(IF(MOD(I15,7)&lt;&gt;2,"",(COUNTA($A$11:A14)-COUNTBLANK($A$11:A14)+1)&amp;"주차"), "")</f>
        <v/>
      </c>
      <c r="B15" s="33" t="str">
        <f>IF(D15="","",TEXT(followers!E6,"d")&amp;CHAR(10)&amp;TEXT(followers!E6,"aaa"))</f>
        <v>5
목</v>
      </c>
      <c r="C15" s="9">
        <f>IF(followers!B6="","",followers!B6)</f>
        <v>99</v>
      </c>
      <c r="D15" s="9">
        <f>IF(followers!C6="","",followers!C6)</f>
        <v>122</v>
      </c>
      <c r="E15" s="9">
        <f>IF(followers!D6="","",followers!D6)</f>
        <v>221</v>
      </c>
      <c r="F15" s="239" t="e">
        <f>IF(OR(COUNTIF('Follower Ad'!E9:E17,TEXT(I15,"mm월 dd일"))&gt;0,
COUNTIFS(contents!AA:AA,I:I,contents!C:C,"sponsored")&gt;0),
E15+50,
NA())</f>
        <v>#N/A</v>
      </c>
      <c r="G15" t="str">
        <f>IF(COUNTIFS(contents!X:X,followers!E6)&gt;0,"Yes","")</f>
        <v>Yes</v>
      </c>
      <c r="H15" t="str">
        <f>TEXT(followers!E6,"aaa")</f>
        <v>목</v>
      </c>
      <c r="I15" s="3">
        <f>followers!E6</f>
        <v>45540</v>
      </c>
    </row>
    <row r="16" spans="1:18">
      <c r="A16" t="str">
        <f>IFERROR(IF(MOD(I16,7)&lt;&gt;2,"",(COUNTA($A$11:A15)-COUNTBLANK($A$11:A15)+1)&amp;"주차"), "")</f>
        <v/>
      </c>
      <c r="B16" s="33" t="str">
        <f>IF(D16="","",TEXT(followers!E7,"d")&amp;CHAR(10)&amp;TEXT(followers!E7,"aaa"))</f>
        <v>6
금</v>
      </c>
      <c r="C16" s="9">
        <f>IF(followers!B7="","",followers!B7)</f>
        <v>90</v>
      </c>
      <c r="D16" s="9">
        <f>IF(followers!C7="","",followers!C7)</f>
        <v>108</v>
      </c>
      <c r="E16" s="9">
        <f>IF(followers!D7="","",followers!D7)</f>
        <v>198</v>
      </c>
      <c r="F16" s="239" t="e">
        <f>IF(OR(COUNTIF('Follower Ad'!E10:E18,TEXT(I16,"mm월 dd일"))&gt;0,
COUNTIFS(contents!AA:AA,I:I,contents!C:C,"sponsored")&gt;0),
E16+50,
NA())</f>
        <v>#N/A</v>
      </c>
      <c r="G16" t="str">
        <f>IF(COUNTIFS(contents!X:X,followers!E7)&gt;0,"Yes","")</f>
        <v>Yes</v>
      </c>
      <c r="H16" t="str">
        <f>TEXT(followers!E7,"aaa")</f>
        <v>금</v>
      </c>
      <c r="I16" s="3">
        <f>followers!E7</f>
        <v>45541</v>
      </c>
    </row>
    <row r="17" spans="1:9">
      <c r="A17" t="str">
        <f>IFERROR(IF(MOD(I17,7)&lt;&gt;2,"",(COUNTA($A$11:A16)-COUNTBLANK($A$11:A16)+1)&amp;"주차"), "")</f>
        <v/>
      </c>
      <c r="B17" s="33" t="str">
        <f>IF(D17="","",TEXT(followers!E8,"d")&amp;CHAR(10)&amp;TEXT(followers!E8,"aaa"))</f>
        <v>7
토</v>
      </c>
      <c r="C17" s="9">
        <f>IF(followers!B8="","",followers!B8)</f>
        <v>57</v>
      </c>
      <c r="D17" s="9">
        <f>IF(followers!C8="","",followers!C8)</f>
        <v>73</v>
      </c>
      <c r="E17" s="9">
        <f>IF(followers!D8="","",followers!D8)</f>
        <v>130</v>
      </c>
      <c r="F17" s="239" t="e">
        <f>IF(OR(COUNTIF('Follower Ad'!E11:E19,TEXT(I17,"mm월 dd일"))&gt;0,
COUNTIFS(contents!AA:AA,I:I,contents!C:C,"sponsored")&gt;0),
E17+50,
NA())</f>
        <v>#N/A</v>
      </c>
      <c r="G17" t="str">
        <f>IF(COUNTIFS(contents!X:X,followers!E8)&gt;0,"Yes","")</f>
        <v/>
      </c>
      <c r="H17" t="str">
        <f>TEXT(followers!E8,"aaa")</f>
        <v>토</v>
      </c>
      <c r="I17" s="3">
        <f>followers!E8</f>
        <v>45542</v>
      </c>
    </row>
    <row r="18" spans="1:9">
      <c r="A18" t="str">
        <f>IFERROR(IF(MOD(I18,7)&lt;&gt;2,"",(COUNTA($A$11:A17)-COUNTBLANK($A$11:A17)+1)&amp;"주차"), "")</f>
        <v/>
      </c>
      <c r="B18" s="33" t="str">
        <f>IF(D18="","",TEXT(followers!E9,"d")&amp;CHAR(10)&amp;TEXT(followers!E9,"aaa"))</f>
        <v>8
일</v>
      </c>
      <c r="C18" s="9">
        <f>IF(followers!B9="","",followers!B9)</f>
        <v>61</v>
      </c>
      <c r="D18" s="9">
        <f>IF(followers!C9="","",followers!C9)</f>
        <v>74</v>
      </c>
      <c r="E18" s="9">
        <f>IF(followers!D9="","",followers!D9)</f>
        <v>135</v>
      </c>
      <c r="F18" s="239" t="e">
        <f>IF(OR(COUNTIF('Follower Ad'!E12:E20,TEXT(I18,"mm월 dd일"))&gt;0,
COUNTIFS(contents!AA:AA,I:I,contents!C:C,"sponsored")&gt;0),
E18+50,
NA())</f>
        <v>#N/A</v>
      </c>
      <c r="G18" t="str">
        <f>IF(COUNTIFS(contents!X:X,followers!E9)&gt;0,"Yes","")</f>
        <v/>
      </c>
      <c r="H18" t="str">
        <f>TEXT(followers!E9,"aaa")</f>
        <v>일</v>
      </c>
      <c r="I18" s="3">
        <f>followers!E9</f>
        <v>45543</v>
      </c>
    </row>
    <row r="19" spans="1:9">
      <c r="A19" t="str">
        <f>IFERROR(IF(MOD(I19,7)&lt;&gt;2,"",(COUNTA($A$11:A18)-COUNTBLANK($A$11:A18)+1)&amp;"주차"), "")</f>
        <v>2주차</v>
      </c>
      <c r="B19" s="33" t="str">
        <f>IF(D19="","",TEXT(followers!E10,"d")&amp;CHAR(10)&amp;TEXT(followers!E10,"aaa"))</f>
        <v>9
월</v>
      </c>
      <c r="C19" s="9">
        <f>IF(followers!B10="","",followers!B10)</f>
        <v>116</v>
      </c>
      <c r="D19" s="9">
        <f>IF(followers!C10="","",followers!C10)</f>
        <v>104</v>
      </c>
      <c r="E19" s="9">
        <f>IF(followers!D10="","",followers!D10)</f>
        <v>220</v>
      </c>
      <c r="F19" s="239" t="e">
        <f>IF(OR(COUNTIF('Follower Ad'!E13:E21,TEXT(I19,"mm월 dd일"))&gt;0,
COUNTIFS(contents!AA:AA,I:I,contents!C:C,"sponsored")&gt;0),
E19+50,
NA())</f>
        <v>#N/A</v>
      </c>
      <c r="G19" t="str">
        <f>IF(COUNTIFS(contents!X:X,followers!E10)&gt;0,"Yes","")</f>
        <v>Yes</v>
      </c>
      <c r="H19" t="str">
        <f>TEXT(followers!E10,"aaa")</f>
        <v>월</v>
      </c>
      <c r="I19" s="3">
        <f>followers!E10</f>
        <v>45544</v>
      </c>
    </row>
    <row r="20" spans="1:9">
      <c r="A20" t="str">
        <f>IFERROR(IF(MOD(I20,7)&lt;&gt;2,"",(COUNTA($A$11:A19)-COUNTBLANK($A$11:A19)+1)&amp;"주차"), "")</f>
        <v/>
      </c>
      <c r="B20" s="33" t="str">
        <f>IF(D20="","",TEXT(followers!E11,"d")&amp;CHAR(10)&amp;TEXT(followers!E11,"aaa"))</f>
        <v>10
화</v>
      </c>
      <c r="C20" s="9">
        <f>IF(followers!B11="","",followers!B11)</f>
        <v>90</v>
      </c>
      <c r="D20" s="9">
        <f>IF(followers!C11="","",followers!C11)</f>
        <v>114</v>
      </c>
      <c r="E20" s="9">
        <f>IF(followers!D11="","",followers!D11)</f>
        <v>204</v>
      </c>
      <c r="F20" s="239" t="e">
        <f>IF(OR(COUNTIF('Follower Ad'!E14:E22,TEXT(I20,"mm월 dd일"))&gt;0,
COUNTIFS(contents!AA:AA,I:I,contents!C:C,"sponsored")&gt;0),
E20+50,
NA())</f>
        <v>#N/A</v>
      </c>
      <c r="G20" t="str">
        <f>IF(COUNTIFS(contents!X:X,followers!E11)&gt;0,"Yes","")</f>
        <v>Yes</v>
      </c>
      <c r="H20" t="str">
        <f>TEXT(followers!E11,"aaa")</f>
        <v>화</v>
      </c>
      <c r="I20" s="3">
        <f>followers!E11</f>
        <v>45545</v>
      </c>
    </row>
    <row r="21" spans="1:9">
      <c r="A21" t="str">
        <f>IFERROR(IF(MOD(I21,7)&lt;&gt;2,"",(COUNTA($A$11:A20)-COUNTBLANK($A$11:A20)+1)&amp;"주차"), "")</f>
        <v/>
      </c>
      <c r="B21" s="33" t="str">
        <f>IF(D21="","",TEXT(followers!E12,"d")&amp;CHAR(10)&amp;TEXT(followers!E12,"aaa"))</f>
        <v>11
수</v>
      </c>
      <c r="C21" s="9">
        <f>IF(followers!B12="","",followers!B12)</f>
        <v>86</v>
      </c>
      <c r="D21" s="9">
        <f>IF(followers!C12="","",followers!C12)</f>
        <v>117</v>
      </c>
      <c r="E21" s="9">
        <f>IF(followers!D12="","",followers!D12)</f>
        <v>203</v>
      </c>
      <c r="F21" s="239" t="e">
        <f>IF(OR(COUNTIF('Follower Ad'!E15:E23,TEXT(I21,"mm월 dd일"))&gt;0,
COUNTIFS(contents!AA:AA,I:I,contents!C:C,"sponsored")&gt;0),
E21+50,
NA())</f>
        <v>#N/A</v>
      </c>
      <c r="G21" t="str">
        <f>IF(COUNTIFS(contents!X:X,followers!E12)&gt;0,"Yes","")</f>
        <v>Yes</v>
      </c>
      <c r="H21" t="str">
        <f>TEXT(followers!E12,"aaa")</f>
        <v>수</v>
      </c>
      <c r="I21" s="3">
        <f>followers!E12</f>
        <v>45546</v>
      </c>
    </row>
    <row r="22" spans="1:9">
      <c r="A22" t="str">
        <f>IFERROR(IF(MOD(I22,7)&lt;&gt;2,"",(COUNTA($A$11:A21)-COUNTBLANK($A$11:A21)+1)&amp;"주차"), "")</f>
        <v/>
      </c>
      <c r="B22" s="33" t="str">
        <f>IF(D22="","",TEXT(followers!E13,"d")&amp;CHAR(10)&amp;TEXT(followers!E13,"aaa"))</f>
        <v>12
목</v>
      </c>
      <c r="C22" s="9">
        <f>IF(followers!B13="","",followers!B13)</f>
        <v>85</v>
      </c>
      <c r="D22" s="9">
        <f>IF(followers!C13="","",followers!C13)</f>
        <v>103</v>
      </c>
      <c r="E22" s="9">
        <f>IF(followers!D13="","",followers!D13)</f>
        <v>188</v>
      </c>
      <c r="F22" s="239" t="e">
        <f>IF(OR(COUNTIF('Follower Ad'!E16:E24,TEXT(I22,"mm월 dd일"))&gt;0,
COUNTIFS(contents!AA:AA,I:I,contents!C:C,"sponsored")&gt;0),
E22+50,
NA())</f>
        <v>#N/A</v>
      </c>
      <c r="G22" t="str">
        <f>IF(COUNTIFS(contents!X:X,followers!E13)&gt;0,"Yes","")</f>
        <v>Yes</v>
      </c>
      <c r="H22" t="str">
        <f>TEXT(followers!E13,"aaa")</f>
        <v>목</v>
      </c>
      <c r="I22" s="3">
        <f>followers!E13</f>
        <v>45547</v>
      </c>
    </row>
    <row r="23" spans="1:9">
      <c r="A23" t="str">
        <f>IFERROR(IF(MOD(I23,7)&lt;&gt;2,"",(COUNTA($A$11:A22)-COUNTBLANK($A$11:A22)+1)&amp;"주차"), "")</f>
        <v/>
      </c>
      <c r="B23" s="33" t="str">
        <f>IF(D23="","",TEXT(followers!E14,"d")&amp;CHAR(10)&amp;TEXT(followers!E14,"aaa"))</f>
        <v>13
금</v>
      </c>
      <c r="C23" s="9">
        <f>IF(followers!B14="","",followers!B14)</f>
        <v>87</v>
      </c>
      <c r="D23" s="9">
        <f>IF(followers!C14="","",followers!C14)</f>
        <v>96</v>
      </c>
      <c r="E23" s="9">
        <f>IF(followers!D14="","",followers!D14)</f>
        <v>183</v>
      </c>
      <c r="F23" s="239" t="e">
        <f>IF(OR(COUNTIF('Follower Ad'!E17:E25,TEXT(I23,"mm월 dd일"))&gt;0,
COUNTIFS(contents!AA:AA,I:I,contents!C:C,"sponsored")&gt;0),
E23+50,
NA())</f>
        <v>#N/A</v>
      </c>
      <c r="G23" t="str">
        <f>IF(COUNTIFS(contents!X:X,followers!E14)&gt;0,"Yes","")</f>
        <v>Yes</v>
      </c>
      <c r="H23" t="str">
        <f>TEXT(followers!E14,"aaa")</f>
        <v>금</v>
      </c>
      <c r="I23" s="3">
        <f>followers!E14</f>
        <v>45548</v>
      </c>
    </row>
    <row r="24" spans="1:9">
      <c r="A24" t="str">
        <f>IFERROR(IF(MOD(I24,7)&lt;&gt;2,"",(COUNTA($A$11:A23)-COUNTBLANK($A$11:A23)+1)&amp;"주차"), "")</f>
        <v/>
      </c>
      <c r="B24" s="33" t="str">
        <f>IF(D24="","",TEXT(followers!E15,"d")&amp;CHAR(10)&amp;TEXT(followers!E15,"aaa"))</f>
        <v>14
토</v>
      </c>
      <c r="C24" s="9">
        <f>IF(followers!B15="","",followers!B15)</f>
        <v>54</v>
      </c>
      <c r="D24" s="9">
        <f>IF(followers!C15="","",followers!C15)</f>
        <v>72</v>
      </c>
      <c r="E24" s="9">
        <f>IF(followers!D15="","",followers!D15)</f>
        <v>126</v>
      </c>
      <c r="F24" s="239" t="e">
        <f>IF(OR(COUNTIF('Follower Ad'!E18:E26,TEXT(I24,"mm월 dd일"))&gt;0,
COUNTIFS(contents!AA:AA,I:I,contents!C:C,"sponsored")&gt;0),
E24+50,
NA())</f>
        <v>#N/A</v>
      </c>
      <c r="G24" t="str">
        <f>IF(COUNTIFS(contents!X:X,followers!E15)&gt;0,"Yes","")</f>
        <v/>
      </c>
      <c r="H24" t="str">
        <f>TEXT(followers!E15,"aaa")</f>
        <v>토</v>
      </c>
      <c r="I24" s="3">
        <f>followers!E15</f>
        <v>45549</v>
      </c>
    </row>
    <row r="25" spans="1:9">
      <c r="A25" t="str">
        <f>IFERROR(IF(MOD(I25,7)&lt;&gt;2,"",(COUNTA($A$11:A24)-COUNTBLANK($A$11:A24)+1)&amp;"주차"), "")</f>
        <v/>
      </c>
      <c r="B25" s="33" t="str">
        <f>IF(D25="","",TEXT(followers!E16,"d")&amp;CHAR(10)&amp;TEXT(followers!E16,"aaa"))</f>
        <v>15
일</v>
      </c>
      <c r="C25" s="9">
        <f>IF(followers!B16="","",followers!B16)</f>
        <v>40</v>
      </c>
      <c r="D25" s="9">
        <f>IF(followers!C16="","",followers!C16)</f>
        <v>53</v>
      </c>
      <c r="E25" s="9">
        <f>IF(followers!D16="","",followers!D16)</f>
        <v>93</v>
      </c>
      <c r="F25" s="239" t="e">
        <f>IF(OR(COUNTIF('Follower Ad'!E19:E27,TEXT(I25,"mm월 dd일"))&gt;0,
COUNTIFS(contents!AA:AA,I:I,contents!C:C,"sponsored")&gt;0),
E25+50,
NA())</f>
        <v>#N/A</v>
      </c>
      <c r="G25" t="str">
        <f>IF(COUNTIFS(contents!X:X,followers!E16)&gt;0,"Yes","")</f>
        <v/>
      </c>
      <c r="H25" t="str">
        <f>TEXT(followers!E16,"aaa")</f>
        <v>일</v>
      </c>
      <c r="I25" s="3">
        <f>followers!E16</f>
        <v>45550</v>
      </c>
    </row>
    <row r="26" spans="1:9">
      <c r="A26" t="str">
        <f>IFERROR(IF(MOD(I26,7)&lt;&gt;2,"",(COUNTA($A$11:A25)-COUNTBLANK($A$11:A25)+1)&amp;"주차"), "")</f>
        <v>3주차</v>
      </c>
      <c r="B26" s="33" t="str">
        <f>IF(D26="","",TEXT(followers!E17,"d")&amp;CHAR(10)&amp;TEXT(followers!E17,"aaa"))</f>
        <v>16
월</v>
      </c>
      <c r="C26" s="9">
        <f>IF(followers!B17="","",followers!B17)</f>
        <v>78</v>
      </c>
      <c r="D26" s="9">
        <f>IF(followers!C17="","",followers!C17)</f>
        <v>73</v>
      </c>
      <c r="E26" s="9">
        <f>IF(followers!D17="","",followers!D17)</f>
        <v>151</v>
      </c>
      <c r="F26" s="239" t="e">
        <f>IF(OR(COUNTIF('Follower Ad'!E20:E28,TEXT(I26,"mm월 dd일"))&gt;0,
COUNTIFS(contents!AA:AA,I:I,contents!C:C,"sponsored")&gt;0),
E26+50,
NA())</f>
        <v>#N/A</v>
      </c>
      <c r="G26" t="str">
        <f>IF(COUNTIFS(contents!X:X,followers!E17)&gt;0,"Yes","")</f>
        <v/>
      </c>
      <c r="H26" t="str">
        <f>TEXT(followers!E17,"aaa")</f>
        <v>월</v>
      </c>
      <c r="I26" s="3">
        <f>followers!E17</f>
        <v>45551</v>
      </c>
    </row>
    <row r="27" spans="1:9">
      <c r="A27" t="str">
        <f>IFERROR(IF(MOD(I27,7)&lt;&gt;2,"",(COUNTA($A$11:A26)-COUNTBLANK($A$11:A26)+1)&amp;"주차"), "")</f>
        <v/>
      </c>
      <c r="B27" s="33" t="str">
        <f>IF(D27="","",TEXT(followers!E18,"d")&amp;CHAR(10)&amp;TEXT(followers!E18,"aaa"))</f>
        <v>17
화</v>
      </c>
      <c r="C27" s="9">
        <f>IF(followers!B18="","",followers!B18)</f>
        <v>103</v>
      </c>
      <c r="D27" s="9">
        <f>IF(followers!C18="","",followers!C18)</f>
        <v>82</v>
      </c>
      <c r="E27" s="9">
        <f>IF(followers!D18="","",followers!D18)</f>
        <v>185</v>
      </c>
      <c r="F27" s="239" t="e">
        <f>IF(OR(COUNTIF('Follower Ad'!E21:E29,TEXT(I27,"mm월 dd일"))&gt;0,
COUNTIFS(contents!AA:AA,I:I,contents!C:C,"sponsored")&gt;0),
E27+50,
NA())</f>
        <v>#N/A</v>
      </c>
      <c r="G27" t="str">
        <f>IF(COUNTIFS(contents!X:X,followers!E18)&gt;0,"Yes","")</f>
        <v/>
      </c>
      <c r="H27" t="str">
        <f>TEXT(followers!E18,"aaa")</f>
        <v>화</v>
      </c>
      <c r="I27" s="3">
        <f>followers!E18</f>
        <v>45552</v>
      </c>
    </row>
    <row r="28" spans="1:9">
      <c r="A28" t="str">
        <f>IFERROR(IF(MOD(I28,7)&lt;&gt;2,"",(COUNTA($A$11:A27)-COUNTBLANK($A$11:A27)+1)&amp;"주차"), "")</f>
        <v/>
      </c>
      <c r="B28" s="33" t="str">
        <f>IF(D28="","",TEXT(followers!E19,"d")&amp;CHAR(10)&amp;TEXT(followers!E19,"aaa"))</f>
        <v>18
수</v>
      </c>
      <c r="C28" s="9">
        <f>IF(followers!B19="","",followers!B19)</f>
        <v>92</v>
      </c>
      <c r="D28" s="9">
        <f>IF(followers!C19="","",followers!C19)</f>
        <v>80</v>
      </c>
      <c r="E28" s="9">
        <f>IF(followers!D19="","",followers!D19)</f>
        <v>172</v>
      </c>
      <c r="F28" s="239" t="e">
        <f>IF(OR(COUNTIF('Follower Ad'!E22:E30,TEXT(I28,"mm월 dd일"))&gt;0,
COUNTIFS(contents!AA:AA,I:I,contents!C:C,"sponsored")&gt;0),
E28+50,
NA())</f>
        <v>#N/A</v>
      </c>
      <c r="G28" t="str">
        <f>IF(COUNTIFS(contents!X:X,followers!E19)&gt;0,"Yes","")</f>
        <v/>
      </c>
      <c r="H28" t="str">
        <f>TEXT(followers!E19,"aaa")</f>
        <v>수</v>
      </c>
      <c r="I28" s="3">
        <f>followers!E19</f>
        <v>45553</v>
      </c>
    </row>
    <row r="29" spans="1:9">
      <c r="A29" t="str">
        <f>IFERROR(IF(MOD(I29,7)&lt;&gt;2,"",(COUNTA($A$11:A28)-COUNTBLANK($A$11:A28)+1)&amp;"주차"), "")</f>
        <v/>
      </c>
      <c r="B29" s="33" t="str">
        <f>IF(D29="","",TEXT(followers!E20,"d")&amp;CHAR(10)&amp;TEXT(followers!E20,"aaa"))</f>
        <v>19
목</v>
      </c>
      <c r="C29" s="9">
        <f>IF(followers!B20="","",followers!B20)</f>
        <v>93</v>
      </c>
      <c r="D29" s="9">
        <f>IF(followers!C20="","",followers!C20)</f>
        <v>124</v>
      </c>
      <c r="E29" s="9">
        <f>IF(followers!D20="","",followers!D20)</f>
        <v>217</v>
      </c>
      <c r="F29" s="239" t="e">
        <f>IF(OR(COUNTIF('Follower Ad'!E23:E31,TEXT(I29,"mm월 dd일"))&gt;0,
COUNTIFS(contents!AA:AA,I:I,contents!C:C,"sponsored")&gt;0),
E29+50,
NA())</f>
        <v>#N/A</v>
      </c>
      <c r="G29" t="str">
        <f>IF(COUNTIFS(contents!X:X,followers!E20)&gt;0,"Yes","")</f>
        <v>Yes</v>
      </c>
      <c r="H29" t="str">
        <f>TEXT(followers!E20,"aaa")</f>
        <v>목</v>
      </c>
      <c r="I29" s="3">
        <f>followers!E20</f>
        <v>45554</v>
      </c>
    </row>
    <row r="30" spans="1:9">
      <c r="A30" t="str">
        <f>IFERROR(IF(MOD(I30,7)&lt;&gt;2,"",(COUNTA($A$11:A29)-COUNTBLANK($A$11:A29)+1)&amp;"주차"), "")</f>
        <v/>
      </c>
      <c r="B30" s="33" t="str">
        <f>IF(D30="","",TEXT(followers!E21,"d")&amp;CHAR(10)&amp;TEXT(followers!E21,"aaa"))</f>
        <v>20
금</v>
      </c>
      <c r="C30" s="9">
        <f>IF(followers!B21="","",followers!B21)</f>
        <v>89</v>
      </c>
      <c r="D30" s="9">
        <f>IF(followers!C21="","",followers!C21)</f>
        <v>90</v>
      </c>
      <c r="E30" s="9">
        <f>IF(followers!D21="","",followers!D21)</f>
        <v>179</v>
      </c>
      <c r="F30" s="239">
        <f>IF(OR(COUNTIF('Follower Ad'!E24:E32,TEXT(I30,"mm월 dd일"))&gt;0,
COUNTIFS(contents!AA:AA,I:I,contents!C:C,"sponsored")&gt;0),
E30+50,
NA())</f>
        <v>229</v>
      </c>
      <c r="G30" t="str">
        <f>IF(COUNTIFS(contents!X:X,followers!E21)&gt;0,"Yes","")</f>
        <v>Yes</v>
      </c>
      <c r="H30" t="str">
        <f>TEXT(followers!E21,"aaa")</f>
        <v>금</v>
      </c>
      <c r="I30" s="3">
        <f>followers!E21</f>
        <v>45555</v>
      </c>
    </row>
    <row r="31" spans="1:9">
      <c r="A31" t="str">
        <f>IFERROR(IF(MOD(I31,7)&lt;&gt;2,"",(COUNTA($A$11:A30)-COUNTBLANK($A$11:A30)+1)&amp;"주차"), "")</f>
        <v/>
      </c>
      <c r="B31" s="33" t="str">
        <f>IF(D31="","",TEXT(followers!E22,"d")&amp;CHAR(10)&amp;TEXT(followers!E22,"aaa"))</f>
        <v>21
토</v>
      </c>
      <c r="C31" s="9">
        <f>IF(followers!B22="","",followers!B22)</f>
        <v>53</v>
      </c>
      <c r="D31" s="9">
        <f>IF(followers!C22="","",followers!C22)</f>
        <v>74</v>
      </c>
      <c r="E31" s="9">
        <f>IF(followers!D22="","",followers!D22)</f>
        <v>127</v>
      </c>
      <c r="F31" s="239" t="e">
        <f>IF(OR(COUNTIF('Follower Ad'!E25:E33,TEXT(I31,"mm월 dd일"))&gt;0,
COUNTIFS(contents!AA:AA,I:I,contents!C:C,"sponsored")&gt;0),
E31+50,
NA())</f>
        <v>#N/A</v>
      </c>
      <c r="G31" t="str">
        <f>IF(COUNTIFS(contents!X:X,followers!E22)&gt;0,"Yes","")</f>
        <v/>
      </c>
      <c r="H31" t="str">
        <f>TEXT(followers!E22,"aaa")</f>
        <v>토</v>
      </c>
      <c r="I31" s="3">
        <f>followers!E22</f>
        <v>45556</v>
      </c>
    </row>
    <row r="32" spans="1:9">
      <c r="A32" t="str">
        <f>IFERROR(IF(MOD(I32,7)&lt;&gt;2,"",(COUNTA($A$11:A31)-COUNTBLANK($A$11:A31)+1)&amp;"주차"), "")</f>
        <v/>
      </c>
      <c r="B32" s="33" t="str">
        <f>IF(D32="","",TEXT(followers!E23,"d")&amp;CHAR(10)&amp;TEXT(followers!E23,"aaa"))</f>
        <v>22
일</v>
      </c>
      <c r="C32" s="9">
        <f>IF(followers!B23="","",followers!B23)</f>
        <v>48</v>
      </c>
      <c r="D32" s="9">
        <f>IF(followers!C23="","",followers!C23)</f>
        <v>81</v>
      </c>
      <c r="E32" s="9">
        <f>IF(followers!D23="","",followers!D23)</f>
        <v>129</v>
      </c>
      <c r="F32" s="239" t="e">
        <f>IF(OR(COUNTIF('Follower Ad'!E26:E34,TEXT(I32,"mm월 dd일"))&gt;0,
COUNTIFS(contents!AA:AA,I:I,contents!C:C,"sponsored")&gt;0),
E32+50,
NA())</f>
        <v>#N/A</v>
      </c>
      <c r="G32" t="str">
        <f>IF(COUNTIFS(contents!X:X,followers!E23)&gt;0,"Yes","")</f>
        <v/>
      </c>
      <c r="H32" t="str">
        <f>TEXT(followers!E23,"aaa")</f>
        <v>일</v>
      </c>
      <c r="I32" s="3">
        <f>followers!E23</f>
        <v>45557</v>
      </c>
    </row>
    <row r="33" spans="1:14">
      <c r="A33" t="str">
        <f>IFERROR(IF(MOD(I33,7)&lt;&gt;2,"",(COUNTA($A$11:A32)-COUNTBLANK($A$11:A32)+1)&amp;"주차"), "")</f>
        <v>4주차</v>
      </c>
      <c r="B33" s="33" t="str">
        <f>IF(D33="","",TEXT(followers!E24,"d")&amp;CHAR(10)&amp;TEXT(followers!E24,"aaa"))</f>
        <v>23
월</v>
      </c>
      <c r="C33" s="9">
        <f>IF(followers!B24="","",followers!B24)</f>
        <v>86</v>
      </c>
      <c r="D33" s="9">
        <f>IF(followers!C24="","",followers!C24)</f>
        <v>85</v>
      </c>
      <c r="E33" s="9">
        <f>IF(followers!D24="","",followers!D24)</f>
        <v>171</v>
      </c>
      <c r="F33" s="239" t="e">
        <f>IF(OR(COUNTIF('Follower Ad'!E27:E35,TEXT(I33,"mm월 dd일"))&gt;0,
COUNTIFS(contents!AA:AA,I:I,contents!C:C,"sponsored")&gt;0),
E33+50,
NA())</f>
        <v>#N/A</v>
      </c>
      <c r="G33" t="str">
        <f>IF(COUNTIFS(contents!X:X,followers!E24)&gt;0,"Yes","")</f>
        <v/>
      </c>
      <c r="H33" t="str">
        <f>TEXT(followers!E24,"aaa")</f>
        <v>월</v>
      </c>
      <c r="I33" s="3">
        <f>followers!E24</f>
        <v>45558</v>
      </c>
    </row>
    <row r="34" spans="1:14">
      <c r="A34" t="str">
        <f>IFERROR(IF(MOD(I34,7)&lt;&gt;2,"",(COUNTA($A$11:A33)-COUNTBLANK($A$11:A33)+1)&amp;"주차"), "")</f>
        <v/>
      </c>
      <c r="B34" s="33" t="str">
        <f>IF(D34="","",TEXT(followers!E25,"d")&amp;CHAR(10)&amp;TEXT(followers!E25,"aaa"))</f>
        <v>24
화</v>
      </c>
      <c r="C34" s="9">
        <f>IF(followers!B25="","",followers!B25)</f>
        <v>99</v>
      </c>
      <c r="D34" s="9">
        <f>IF(followers!C25="","",followers!C25)</f>
        <v>113</v>
      </c>
      <c r="E34" s="9">
        <f>IF(followers!D25="","",followers!D25)</f>
        <v>212</v>
      </c>
      <c r="F34" s="239" t="e">
        <f>IF(OR(COUNTIF('Follower Ad'!E28:E36,TEXT(I34,"mm월 dd일"))&gt;0,
COUNTIFS(contents!AA:AA,I:I,contents!C:C,"sponsored")&gt;0),
E34+50,
NA())</f>
        <v>#N/A</v>
      </c>
      <c r="G34" t="str">
        <f>IF(COUNTIFS(contents!X:X,followers!E25)&gt;0,"Yes","")</f>
        <v>Yes</v>
      </c>
      <c r="H34" t="str">
        <f>TEXT(followers!E25,"aaa")</f>
        <v>화</v>
      </c>
      <c r="I34" s="3">
        <f>followers!E25</f>
        <v>45559</v>
      </c>
    </row>
    <row r="35" spans="1:14">
      <c r="A35" t="str">
        <f>IFERROR(IF(MOD(I35,7)&lt;&gt;2,"",(COUNTA($A$11:A34)-COUNTBLANK($A$11:A34)+1)&amp;"주차"), "")</f>
        <v/>
      </c>
      <c r="B35" s="33" t="str">
        <f>IF(D35="","",TEXT(followers!E26,"d")&amp;CHAR(10)&amp;TEXT(followers!E26,"aaa"))</f>
        <v>25
수</v>
      </c>
      <c r="C35" s="9">
        <f>IF(followers!B26="","",followers!B26)</f>
        <v>88</v>
      </c>
      <c r="D35" s="9">
        <f>IF(followers!C26="","",followers!C26)</f>
        <v>120</v>
      </c>
      <c r="E35" s="9">
        <f>IF(followers!D26="","",followers!D26)</f>
        <v>208</v>
      </c>
      <c r="F35" s="239" t="e">
        <f>IF(OR(COUNTIF('Follower Ad'!E29:E37,TEXT(I35,"mm월 dd일"))&gt;0,
COUNTIFS(contents!AA:AA,I:I,contents!C:C,"sponsored")&gt;0),
E35+50,
NA())</f>
        <v>#N/A</v>
      </c>
      <c r="G35" t="str">
        <f>IF(COUNTIFS(contents!X:X,followers!E26)&gt;0,"Yes","")</f>
        <v>Yes</v>
      </c>
      <c r="H35" t="str">
        <f>TEXT(followers!E26,"aaa")</f>
        <v>수</v>
      </c>
      <c r="I35" s="3">
        <f>followers!E26</f>
        <v>45560</v>
      </c>
      <c r="N35" t="s">
        <v>962</v>
      </c>
    </row>
    <row r="36" spans="1:14">
      <c r="A36" t="str">
        <f>IFERROR(IF(MOD(I36,7)&lt;&gt;2,"",(COUNTA($A$11:A35)-COUNTBLANK($A$11:A35)+1)&amp;"주차"), "")</f>
        <v/>
      </c>
      <c r="B36" s="33" t="str">
        <f>IF(D36="","",TEXT(followers!E27,"d")&amp;CHAR(10)&amp;TEXT(followers!E27,"aaa"))</f>
        <v>26
목</v>
      </c>
      <c r="C36" s="9">
        <f>IF(followers!B27="","",followers!B27)</f>
        <v>102</v>
      </c>
      <c r="D36" s="9">
        <f>IF(followers!C27="","",followers!C27)</f>
        <v>88</v>
      </c>
      <c r="E36" s="9">
        <f>IF(followers!D27="","",followers!D27)</f>
        <v>190</v>
      </c>
      <c r="F36" s="239">
        <f>IF(OR(COUNTIF('Follower Ad'!E30:E38,TEXT(I36,"mm월 dd일"))&gt;0,
COUNTIFS(contents!AA:AA,I:I,contents!C:C,"sponsored")&gt;0),
E36+50,
NA())</f>
        <v>240</v>
      </c>
      <c r="G36" t="str">
        <f>IF(COUNTIFS(contents!X:X,followers!E27)&gt;0,"Yes","")</f>
        <v>Yes</v>
      </c>
      <c r="H36" t="str">
        <f>TEXT(followers!E27,"aaa")</f>
        <v>목</v>
      </c>
      <c r="I36" s="3">
        <f>followers!E27</f>
        <v>45561</v>
      </c>
      <c r="N36" t="s">
        <v>971</v>
      </c>
    </row>
    <row r="37" spans="1:14">
      <c r="A37" t="str">
        <f>IFERROR(IF(MOD(I37,7)&lt;&gt;2,"",(COUNTA($A$11:A36)-COUNTBLANK($A$11:A36)+1)&amp;"주차"), "")</f>
        <v/>
      </c>
      <c r="B37" s="33" t="str">
        <f>IF(D37="","",TEXT(followers!E28,"d")&amp;CHAR(10)&amp;TEXT(followers!E28,"aaa"))</f>
        <v>27
금</v>
      </c>
      <c r="C37" s="9">
        <f>IF(followers!B28="","",followers!B28)</f>
        <v>86</v>
      </c>
      <c r="D37" s="9">
        <f>IF(followers!C28="","",followers!C28)</f>
        <v>94</v>
      </c>
      <c r="E37" s="9">
        <f>IF(followers!D28="","",followers!D28)</f>
        <v>180</v>
      </c>
      <c r="F37" s="239">
        <f>IF(OR(COUNTIF('Follower Ad'!E31:E39,TEXT(I37,"mm월 dd일"))&gt;0,
COUNTIFS(contents!AA:AA,I:I,contents!C:C,"sponsored")&gt;0),
E37+50,
NA())</f>
        <v>230</v>
      </c>
      <c r="G37" t="str">
        <f>IF(COUNTIFS(contents!X:X,followers!E28)&gt;0,"Yes","")</f>
        <v>Yes</v>
      </c>
      <c r="H37" t="str">
        <f>TEXT(followers!E28,"aaa")</f>
        <v>금</v>
      </c>
      <c r="I37" s="3">
        <f>followers!E28</f>
        <v>45562</v>
      </c>
      <c r="N37" t="s">
        <v>1036</v>
      </c>
    </row>
    <row r="38" spans="1:14">
      <c r="A38" t="str">
        <f>IFERROR(IF(MOD(I38,7)&lt;&gt;2,"",(COUNTA($A$11:A37)-COUNTBLANK($A$11:A37)+1)&amp;"주차"), "")</f>
        <v/>
      </c>
      <c r="B38" s="33" t="str">
        <f>IF(D38="","",TEXT(followers!E29,"d")&amp;CHAR(10)&amp;TEXT(followers!E29,"aaa"))</f>
        <v>28
토</v>
      </c>
      <c r="C38" s="9">
        <f>IF(followers!B29="","",followers!B29)</f>
        <v>63</v>
      </c>
      <c r="D38" s="9">
        <f>IF(followers!C29="","",followers!C29)</f>
        <v>55</v>
      </c>
      <c r="E38" s="9">
        <f>IF(followers!D29="","",followers!D29)</f>
        <v>118</v>
      </c>
      <c r="F38" s="239" t="e">
        <f>IF(OR(COUNTIF('Follower Ad'!E32:E40,TEXT(I38,"mm월 dd일"))&gt;0,
COUNTIFS(contents!AA:AA,I:I,contents!C:C,"sponsored")&gt;0),
E38+50,
NA())</f>
        <v>#N/A</v>
      </c>
      <c r="G38" t="str">
        <f>IF(COUNTIFS(contents!X:X,followers!E29)&gt;0,"Yes","")</f>
        <v/>
      </c>
      <c r="H38" t="str">
        <f>TEXT(followers!E29,"aaa")</f>
        <v>토</v>
      </c>
      <c r="I38" s="3">
        <f>followers!E29</f>
        <v>45563</v>
      </c>
    </row>
    <row r="39" spans="1:14">
      <c r="A39" t="str">
        <f>IFERROR(IF(MOD(I39,7)&lt;&gt;2,"",(COUNTA($A$11:A38)-COUNTBLANK($A$11:A38)+1)&amp;"주차"), "")</f>
        <v/>
      </c>
      <c r="B39" s="33" t="str">
        <f>IF(D39="","",TEXT(followers!E30,"d")&amp;CHAR(10)&amp;TEXT(followers!E30,"aaa"))</f>
        <v>29
일</v>
      </c>
      <c r="C39" s="9">
        <f>IF(followers!B30="","",followers!B30)</f>
        <v>56</v>
      </c>
      <c r="D39" s="9">
        <f>IF(followers!C30="","",followers!C30)</f>
        <v>73</v>
      </c>
      <c r="E39" s="9">
        <f>IF(followers!D30="","",followers!D30)</f>
        <v>129</v>
      </c>
      <c r="F39" s="239" t="e">
        <f>IF(OR(COUNTIF('Follower Ad'!E33:E41,TEXT(I39,"mm월 dd일"))&gt;0,
COUNTIFS(contents!AA:AA,I:I,contents!C:C,"sponsored")&gt;0),
E39+50,
NA())</f>
        <v>#N/A</v>
      </c>
      <c r="G39" t="str">
        <f>IF(COUNTIFS(contents!X:X,followers!E30)&gt;0,"Yes","")</f>
        <v/>
      </c>
      <c r="H39" t="str">
        <f>TEXT(followers!E30,"aaa")</f>
        <v>일</v>
      </c>
      <c r="I39" s="3">
        <f>followers!E30</f>
        <v>45564</v>
      </c>
      <c r="N39" t="s">
        <v>1103</v>
      </c>
    </row>
    <row r="40" spans="1:14">
      <c r="A40" t="str">
        <f>IFERROR(IF(MOD(I40,7)&lt;&gt;2,"",(COUNTA($A$11:A39)-COUNTBLANK($A$11:A39)+1)&amp;"주차"), "")</f>
        <v>5주차</v>
      </c>
      <c r="B40" s="33" t="str">
        <f>IF(D40="","",TEXT(followers!E31,"d")&amp;CHAR(10)&amp;TEXT(followers!E31,"aaa"))</f>
        <v>30
월</v>
      </c>
      <c r="C40" s="9">
        <f>IF(followers!B31="","",followers!B31)</f>
        <v>74</v>
      </c>
      <c r="D40" s="9">
        <f>IF(followers!C31="","",followers!C31)</f>
        <v>74</v>
      </c>
      <c r="E40" s="9">
        <f>IF(followers!D31="","",followers!D31)</f>
        <v>148</v>
      </c>
      <c r="F40" s="239" t="e">
        <f>IF(OR(COUNTIF('Follower Ad'!E34:E42,TEXT(I40,"mm월 dd일"))&gt;0,
COUNTIFS(contents!AA:AA,I:I,contents!C:C,"sponsored")&gt;0),
E40+50,
NA())</f>
        <v>#N/A</v>
      </c>
      <c r="G40" t="str">
        <f>IF(COUNTIFS(contents!X:X,followers!E31)&gt;0,"Yes","")</f>
        <v/>
      </c>
      <c r="H40" t="str">
        <f>TEXT(followers!E31,"aaa")</f>
        <v>월</v>
      </c>
      <c r="I40" s="3">
        <f>followers!E31</f>
        <v>45565</v>
      </c>
      <c r="N40" t="s">
        <v>1104</v>
      </c>
    </row>
    <row r="41" spans="1:14">
      <c r="A41" t="str">
        <f>IFERROR(IF(MOD(I41,7)&lt;&gt;2,"",(COUNTA($A$11:A40)-COUNTBLANK($A$11:A40)+1)&amp;"주차"), "")</f>
        <v/>
      </c>
      <c r="B41" s="33" t="str">
        <f>IF(D41="","",TEXT(followers!E32,"d")&amp;CHAR(10)&amp;TEXT(followers!E32,"aaa"))</f>
        <v/>
      </c>
      <c r="C41" s="9" t="str">
        <f>IF(followers!B32="","",followers!B32)</f>
        <v/>
      </c>
      <c r="D41" s="9" t="str">
        <f>IF(followers!C32="","",followers!C32)</f>
        <v/>
      </c>
      <c r="E41" s="9" t="str">
        <f>IF(followers!D32="","",followers!D32)</f>
        <v/>
      </c>
      <c r="F41" s="239" t="e">
        <f>IF(OR(COUNTIF('Follower Ad'!E35:E43,TEXT(I41,"mm월 dd일"))&gt;0,
COUNTIFS(contents!AA:AA,I:I,contents!C:C,"sponsored")&gt;0),
E41+50,
NA())</f>
        <v>#N/A</v>
      </c>
      <c r="G41" t="str">
        <f>IF(COUNTIFS(contents!X:X,followers!E32)&gt;0,"Yes","")</f>
        <v/>
      </c>
      <c r="H41" t="e">
        <f>TEXT(followers!E32,"aaa")</f>
        <v>#VALUE!</v>
      </c>
      <c r="I41" s="3" t="e">
        <f>followers!E32</f>
        <v>#VALUE!</v>
      </c>
    </row>
    <row r="44" spans="1:14">
      <c r="G44" s="12"/>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79998168889431442"/>
  </sheetPr>
  <dimension ref="A1:H32"/>
  <sheetViews>
    <sheetView zoomScale="70" zoomScaleNormal="70" workbookViewId="0">
      <selection activeCell="A2" sqref="A2:D31"/>
    </sheetView>
  </sheetViews>
  <sheetFormatPr defaultRowHeight="16.5"/>
  <cols>
    <col min="1" max="1" width="11.125" style="1" bestFit="1" customWidth="1"/>
    <col min="2" max="3" width="9" style="1"/>
    <col min="4" max="4" width="9" style="2"/>
    <col min="5" max="5" width="10.875" bestFit="1" customWidth="1"/>
    <col min="8" max="8" width="11.125" bestFit="1" customWidth="1"/>
  </cols>
  <sheetData>
    <row r="1" spans="1:8">
      <c r="A1" s="1" t="s">
        <v>0</v>
      </c>
      <c r="B1" s="1" t="s">
        <v>1</v>
      </c>
      <c r="C1" s="1" t="s">
        <v>2</v>
      </c>
      <c r="D1" s="2" t="s">
        <v>3</v>
      </c>
      <c r="G1" s="6" t="s">
        <v>16</v>
      </c>
      <c r="H1" s="85">
        <f>DATE(RIGHT(A2,4),LEFT(A2,2),MID(A2,4,2))</f>
        <v>45536</v>
      </c>
    </row>
    <row r="2" spans="1:8">
      <c r="A2" s="1" t="s">
        <v>1051</v>
      </c>
      <c r="B2" s="1">
        <v>34</v>
      </c>
      <c r="C2" s="1">
        <v>87</v>
      </c>
      <c r="D2" s="2">
        <v>121</v>
      </c>
      <c r="E2" s="3">
        <f>DATE(RIGHT(A2,4),LEFT(A2,2),MID(A2,4,2))</f>
        <v>45536</v>
      </c>
      <c r="G2" s="8" t="s">
        <v>17</v>
      </c>
      <c r="H2" s="86">
        <f>EOMONTH(H1,0)</f>
        <v>45565</v>
      </c>
    </row>
    <row r="3" spans="1:8" ht="17.25" thickBot="1">
      <c r="A3" s="49" t="s">
        <v>1052</v>
      </c>
      <c r="B3" s="1">
        <v>65</v>
      </c>
      <c r="C3" s="1">
        <v>115</v>
      </c>
      <c r="D3" s="2">
        <v>180</v>
      </c>
      <c r="E3" s="3">
        <f t="shared" ref="E3:E32" si="0">DATE(RIGHT(A3,4),LEFT(A3,2),MID(A3,4,2))</f>
        <v>45537</v>
      </c>
      <c r="G3" s="7" t="s">
        <v>18</v>
      </c>
      <c r="H3" s="87">
        <f>EOMONTH(H1,-6)</f>
        <v>45382</v>
      </c>
    </row>
    <row r="4" spans="1:8">
      <c r="A4" s="1" t="s">
        <v>1053</v>
      </c>
      <c r="B4" s="1">
        <v>106</v>
      </c>
      <c r="C4" s="1">
        <v>133</v>
      </c>
      <c r="D4" s="2">
        <v>239</v>
      </c>
      <c r="E4" s="3">
        <f t="shared" si="0"/>
        <v>45538</v>
      </c>
    </row>
    <row r="5" spans="1:8">
      <c r="A5" s="1" t="s">
        <v>1054</v>
      </c>
      <c r="B5" s="1">
        <v>100</v>
      </c>
      <c r="C5" s="1">
        <v>121</v>
      </c>
      <c r="D5" s="2">
        <v>221</v>
      </c>
      <c r="E5" s="3">
        <f t="shared" si="0"/>
        <v>45539</v>
      </c>
    </row>
    <row r="6" spans="1:8">
      <c r="A6" s="1" t="s">
        <v>1055</v>
      </c>
      <c r="B6" s="1">
        <v>99</v>
      </c>
      <c r="C6" s="1">
        <v>122</v>
      </c>
      <c r="D6" s="2">
        <v>221</v>
      </c>
      <c r="E6" s="3">
        <f t="shared" si="0"/>
        <v>45540</v>
      </c>
    </row>
    <row r="7" spans="1:8">
      <c r="A7" s="1" t="s">
        <v>1056</v>
      </c>
      <c r="B7" s="1">
        <v>90</v>
      </c>
      <c r="C7" s="1">
        <v>108</v>
      </c>
      <c r="D7" s="2">
        <v>198</v>
      </c>
      <c r="E7" s="3">
        <f t="shared" si="0"/>
        <v>45541</v>
      </c>
    </row>
    <row r="8" spans="1:8">
      <c r="A8" s="1" t="s">
        <v>1057</v>
      </c>
      <c r="B8" s="1">
        <v>57</v>
      </c>
      <c r="C8" s="1">
        <v>73</v>
      </c>
      <c r="D8" s="2">
        <v>130</v>
      </c>
      <c r="E8" s="3">
        <f t="shared" si="0"/>
        <v>45542</v>
      </c>
    </row>
    <row r="9" spans="1:8">
      <c r="A9" s="1" t="s">
        <v>1058</v>
      </c>
      <c r="B9" s="1">
        <v>61</v>
      </c>
      <c r="C9" s="1">
        <v>74</v>
      </c>
      <c r="D9" s="2">
        <v>135</v>
      </c>
      <c r="E9" s="3">
        <f t="shared" si="0"/>
        <v>45543</v>
      </c>
    </row>
    <row r="10" spans="1:8">
      <c r="A10" s="1" t="s">
        <v>1059</v>
      </c>
      <c r="B10" s="1">
        <v>116</v>
      </c>
      <c r="C10" s="1">
        <v>104</v>
      </c>
      <c r="D10" s="2">
        <v>220</v>
      </c>
      <c r="E10" s="3">
        <f t="shared" si="0"/>
        <v>45544</v>
      </c>
    </row>
    <row r="11" spans="1:8">
      <c r="A11" s="1" t="s">
        <v>1060</v>
      </c>
      <c r="B11" s="1">
        <v>90</v>
      </c>
      <c r="C11" s="1">
        <v>114</v>
      </c>
      <c r="D11" s="2">
        <v>204</v>
      </c>
      <c r="E11" s="3">
        <f t="shared" si="0"/>
        <v>45545</v>
      </c>
    </row>
    <row r="12" spans="1:8">
      <c r="A12" s="1" t="s">
        <v>1061</v>
      </c>
      <c r="B12" s="1">
        <v>86</v>
      </c>
      <c r="C12" s="1">
        <v>117</v>
      </c>
      <c r="D12" s="2">
        <v>203</v>
      </c>
      <c r="E12" s="3">
        <f t="shared" si="0"/>
        <v>45546</v>
      </c>
    </row>
    <row r="13" spans="1:8">
      <c r="A13" s="1" t="s">
        <v>1062</v>
      </c>
      <c r="B13" s="1">
        <v>85</v>
      </c>
      <c r="C13" s="1">
        <v>103</v>
      </c>
      <c r="D13" s="2">
        <v>188</v>
      </c>
      <c r="E13" s="3">
        <f t="shared" si="0"/>
        <v>45547</v>
      </c>
    </row>
    <row r="14" spans="1:8">
      <c r="A14" s="1" t="s">
        <v>1063</v>
      </c>
      <c r="B14" s="1">
        <v>87</v>
      </c>
      <c r="C14" s="1">
        <v>96</v>
      </c>
      <c r="D14" s="2">
        <v>183</v>
      </c>
      <c r="E14" s="3">
        <f t="shared" si="0"/>
        <v>45548</v>
      </c>
    </row>
    <row r="15" spans="1:8">
      <c r="A15" s="1" t="s">
        <v>1064</v>
      </c>
      <c r="B15" s="1">
        <v>54</v>
      </c>
      <c r="C15" s="1">
        <v>72</v>
      </c>
      <c r="D15" s="2">
        <v>126</v>
      </c>
      <c r="E15" s="3">
        <f t="shared" si="0"/>
        <v>45549</v>
      </c>
    </row>
    <row r="16" spans="1:8">
      <c r="A16" s="1" t="s">
        <v>991</v>
      </c>
      <c r="B16" s="1">
        <v>40</v>
      </c>
      <c r="C16" s="1">
        <v>53</v>
      </c>
      <c r="D16" s="2">
        <v>93</v>
      </c>
      <c r="E16" s="3">
        <f t="shared" si="0"/>
        <v>45550</v>
      </c>
    </row>
    <row r="17" spans="1:5">
      <c r="A17" s="1" t="s">
        <v>1065</v>
      </c>
      <c r="B17" s="1">
        <v>78</v>
      </c>
      <c r="C17" s="1">
        <v>73</v>
      </c>
      <c r="D17" s="2">
        <v>151</v>
      </c>
      <c r="E17" s="3">
        <f t="shared" si="0"/>
        <v>45551</v>
      </c>
    </row>
    <row r="18" spans="1:5">
      <c r="A18" s="1" t="s">
        <v>1066</v>
      </c>
      <c r="B18" s="1">
        <v>103</v>
      </c>
      <c r="C18" s="1">
        <v>82</v>
      </c>
      <c r="D18" s="2">
        <v>185</v>
      </c>
      <c r="E18" s="3">
        <f t="shared" si="0"/>
        <v>45552</v>
      </c>
    </row>
    <row r="19" spans="1:5">
      <c r="A19" s="1" t="s">
        <v>1067</v>
      </c>
      <c r="B19" s="1">
        <v>92</v>
      </c>
      <c r="C19" s="1">
        <v>80</v>
      </c>
      <c r="D19" s="2">
        <v>172</v>
      </c>
      <c r="E19" s="3">
        <f t="shared" si="0"/>
        <v>45553</v>
      </c>
    </row>
    <row r="20" spans="1:5">
      <c r="A20" s="1" t="s">
        <v>1068</v>
      </c>
      <c r="B20" s="1">
        <v>93</v>
      </c>
      <c r="C20" s="1">
        <v>124</v>
      </c>
      <c r="D20" s="2">
        <v>217</v>
      </c>
      <c r="E20" s="3">
        <f t="shared" si="0"/>
        <v>45554</v>
      </c>
    </row>
    <row r="21" spans="1:5">
      <c r="A21" s="1" t="s">
        <v>1069</v>
      </c>
      <c r="B21" s="1">
        <v>89</v>
      </c>
      <c r="C21" s="1">
        <v>90</v>
      </c>
      <c r="D21" s="2">
        <v>179</v>
      </c>
      <c r="E21" s="3">
        <f t="shared" si="0"/>
        <v>45555</v>
      </c>
    </row>
    <row r="22" spans="1:5">
      <c r="A22" s="1" t="s">
        <v>1070</v>
      </c>
      <c r="B22" s="1">
        <v>53</v>
      </c>
      <c r="C22" s="1">
        <v>74</v>
      </c>
      <c r="D22" s="2">
        <v>127</v>
      </c>
      <c r="E22" s="3">
        <f t="shared" si="0"/>
        <v>45556</v>
      </c>
    </row>
    <row r="23" spans="1:5">
      <c r="A23" s="1" t="s">
        <v>1071</v>
      </c>
      <c r="B23" s="1">
        <v>48</v>
      </c>
      <c r="C23" s="1">
        <v>81</v>
      </c>
      <c r="D23" s="2">
        <v>129</v>
      </c>
      <c r="E23" s="3">
        <f t="shared" si="0"/>
        <v>45557</v>
      </c>
    </row>
    <row r="24" spans="1:5">
      <c r="A24" s="1" t="s">
        <v>1072</v>
      </c>
      <c r="B24" s="1">
        <v>86</v>
      </c>
      <c r="C24" s="1">
        <v>85</v>
      </c>
      <c r="D24" s="2">
        <v>171</v>
      </c>
      <c r="E24" s="3">
        <f t="shared" si="0"/>
        <v>45558</v>
      </c>
    </row>
    <row r="25" spans="1:5">
      <c r="A25" s="1" t="s">
        <v>1073</v>
      </c>
      <c r="B25" s="1">
        <v>99</v>
      </c>
      <c r="C25" s="1">
        <v>113</v>
      </c>
      <c r="D25" s="2">
        <v>212</v>
      </c>
      <c r="E25" s="3">
        <f t="shared" si="0"/>
        <v>45559</v>
      </c>
    </row>
    <row r="26" spans="1:5">
      <c r="A26" s="1" t="s">
        <v>1074</v>
      </c>
      <c r="B26" s="1">
        <v>88</v>
      </c>
      <c r="C26" s="1">
        <v>120</v>
      </c>
      <c r="D26" s="2">
        <v>208</v>
      </c>
      <c r="E26" s="3">
        <f t="shared" si="0"/>
        <v>45560</v>
      </c>
    </row>
    <row r="27" spans="1:5">
      <c r="A27" s="1" t="s">
        <v>1075</v>
      </c>
      <c r="B27" s="1">
        <v>102</v>
      </c>
      <c r="C27" s="1">
        <v>88</v>
      </c>
      <c r="D27" s="2">
        <v>190</v>
      </c>
      <c r="E27" s="3">
        <f t="shared" si="0"/>
        <v>45561</v>
      </c>
    </row>
    <row r="28" spans="1:5">
      <c r="A28" s="1" t="s">
        <v>1076</v>
      </c>
      <c r="B28" s="1">
        <v>86</v>
      </c>
      <c r="C28" s="1">
        <v>94</v>
      </c>
      <c r="D28" s="2">
        <v>180</v>
      </c>
      <c r="E28" s="3">
        <f t="shared" si="0"/>
        <v>45562</v>
      </c>
    </row>
    <row r="29" spans="1:5">
      <c r="A29" s="1" t="s">
        <v>1077</v>
      </c>
      <c r="B29" s="1">
        <v>63</v>
      </c>
      <c r="C29" s="1">
        <v>55</v>
      </c>
      <c r="D29" s="2">
        <v>118</v>
      </c>
      <c r="E29" s="3">
        <f t="shared" si="0"/>
        <v>45563</v>
      </c>
    </row>
    <row r="30" spans="1:5">
      <c r="A30" s="1" t="s">
        <v>1078</v>
      </c>
      <c r="B30" s="1">
        <v>56</v>
      </c>
      <c r="C30" s="1">
        <v>73</v>
      </c>
      <c r="D30" s="2">
        <v>129</v>
      </c>
      <c r="E30" s="3">
        <f t="shared" si="0"/>
        <v>45564</v>
      </c>
    </row>
    <row r="31" spans="1:5">
      <c r="A31" s="1" t="s">
        <v>1079</v>
      </c>
      <c r="B31" s="1">
        <v>74</v>
      </c>
      <c r="C31" s="1">
        <v>74</v>
      </c>
      <c r="D31" s="2">
        <v>148</v>
      </c>
      <c r="E31" s="3">
        <f t="shared" si="0"/>
        <v>45565</v>
      </c>
    </row>
    <row r="32" spans="1:5">
      <c r="E32" s="3" t="e">
        <f t="shared" si="0"/>
        <v>#VALUE!</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tint="0.79998168889431442"/>
  </sheetPr>
  <dimension ref="A1:AN48"/>
  <sheetViews>
    <sheetView zoomScale="70" zoomScaleNormal="70" workbookViewId="0">
      <selection activeCell="T10" sqref="T10"/>
    </sheetView>
  </sheetViews>
  <sheetFormatPr defaultRowHeight="16.5"/>
  <cols>
    <col min="3" max="3" width="11.125" customWidth="1"/>
    <col min="4" max="4" width="5.75" style="52" customWidth="1"/>
    <col min="6" max="6" width="11.125" customWidth="1"/>
    <col min="7" max="7" width="5.75" style="52" customWidth="1"/>
    <col min="9" max="9" width="11.125" customWidth="1"/>
    <col min="10" max="10" width="5.75" style="52" customWidth="1"/>
    <col min="11" max="11" width="7.375" customWidth="1"/>
    <col min="14" max="14" width="10.7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82" customFormat="1">
      <c r="A1" s="82" t="s">
        <v>141</v>
      </c>
    </row>
    <row r="2" spans="1:40" ht="17.25" thickBot="1">
      <c r="N2" t="s">
        <v>60</v>
      </c>
    </row>
    <row r="3" spans="1:40" ht="17.25" thickBot="1">
      <c r="A3" s="80"/>
      <c r="B3" s="79"/>
      <c r="C3" s="415" t="s">
        <v>128</v>
      </c>
      <c r="D3" s="416"/>
      <c r="E3" s="417"/>
      <c r="F3" s="418" t="s">
        <v>127</v>
      </c>
      <c r="G3" s="416"/>
      <c r="H3" s="417"/>
      <c r="I3" s="418" t="s">
        <v>197</v>
      </c>
      <c r="J3" s="416"/>
      <c r="K3" s="419"/>
      <c r="N3" s="409" t="s">
        <v>198</v>
      </c>
      <c r="O3" s="410"/>
      <c r="P3" s="411"/>
    </row>
    <row r="4" spans="1:40" ht="17.25" thickBot="1">
      <c r="A4" s="68" t="s">
        <v>140</v>
      </c>
      <c r="B4" s="78" t="s">
        <v>137</v>
      </c>
      <c r="C4" s="76" t="s">
        <v>134</v>
      </c>
      <c r="D4" s="59" t="s">
        <v>136</v>
      </c>
      <c r="E4" s="77" t="s">
        <v>138</v>
      </c>
      <c r="F4" s="76" t="s">
        <v>134</v>
      </c>
      <c r="G4" s="59" t="s">
        <v>136</v>
      </c>
      <c r="H4" s="77" t="s">
        <v>138</v>
      </c>
      <c r="I4" s="76" t="s">
        <v>134</v>
      </c>
      <c r="J4" s="59" t="s">
        <v>136</v>
      </c>
      <c r="K4" s="58" t="s">
        <v>138</v>
      </c>
      <c r="N4" s="97" t="s">
        <v>135</v>
      </c>
      <c r="O4" s="98" t="s">
        <v>137</v>
      </c>
      <c r="P4" s="151" t="s">
        <v>139</v>
      </c>
    </row>
    <row r="5" spans="1:40">
      <c r="A5" s="413"/>
      <c r="B5" s="65" t="s">
        <v>120</v>
      </c>
      <c r="C5" s="60"/>
      <c r="D5" s="62"/>
      <c r="E5" s="61"/>
      <c r="F5" s="60"/>
      <c r="G5" s="62"/>
      <c r="H5" s="61"/>
      <c r="I5" s="60">
        <v>45323</v>
      </c>
      <c r="J5" s="62">
        <v>45323</v>
      </c>
      <c r="K5" s="61">
        <v>206</v>
      </c>
      <c r="N5" s="152" t="str">
        <f>IF(TEXT(followers!$H$1,"aaa")=$B5,followers!$H$1,"")</f>
        <v/>
      </c>
      <c r="O5" s="153" t="str">
        <f>IF(TEXT(followers!$H$1,"aaa")=$B5,followers!H1,"")</f>
        <v/>
      </c>
      <c r="P5" s="154" t="e" cm="1">
        <f t="array" ref="P5">IFERROR(INDEX(visitors!$A$1:$Y$32,DAY(N5)+1,MATCH($N$2,visitors!$1:$1,0)),NA())</f>
        <v>#N/A</v>
      </c>
    </row>
    <row r="6" spans="1:40">
      <c r="A6" s="413"/>
      <c r="B6" s="66" t="s">
        <v>121</v>
      </c>
      <c r="C6" s="60">
        <v>45261</v>
      </c>
      <c r="D6" s="62">
        <v>45261</v>
      </c>
      <c r="E6" s="61">
        <v>136</v>
      </c>
      <c r="F6" s="60"/>
      <c r="G6" s="62"/>
      <c r="H6" s="61"/>
      <c r="I6" s="60">
        <v>45324</v>
      </c>
      <c r="J6" s="62">
        <v>45324</v>
      </c>
      <c r="K6" s="61">
        <v>165</v>
      </c>
      <c r="N6" s="152" t="str">
        <f>IF(N5&lt;&gt;"",N5+1,IF(TEXT(followers!$H$1,"aaa")=$B6,followers!$H$1,""))</f>
        <v/>
      </c>
      <c r="O6" s="153" t="str">
        <f>IF(O5&lt;&gt;"",O5+1,IF(TEXT(followers!$H$1,"aaa")=$B6,followers!$H$1,""))</f>
        <v/>
      </c>
      <c r="P6" s="154" t="e" cm="1">
        <f t="array" ref="P6">IFERROR(INDEX(visitors!$A$1:$Y$32,DAY(N6)+1,MATCH($N$2,visitors!$1:$1,0)),NA())</f>
        <v>#N/A</v>
      </c>
    </row>
    <row r="7" spans="1:40">
      <c r="A7" s="413"/>
      <c r="B7" s="66" t="s">
        <v>123</v>
      </c>
      <c r="C7" s="60">
        <v>45262</v>
      </c>
      <c r="D7" s="62">
        <v>45262</v>
      </c>
      <c r="E7" s="61">
        <v>63</v>
      </c>
      <c r="F7" s="60"/>
      <c r="G7" s="62"/>
      <c r="H7" s="61"/>
      <c r="I7" s="60">
        <v>45325</v>
      </c>
      <c r="J7" s="62">
        <v>45325</v>
      </c>
      <c r="K7" s="61">
        <v>134</v>
      </c>
      <c r="N7" s="152" t="str">
        <f>IF(N6&lt;&gt;"",N6+1,IF(TEXT(followers!$H$1,"aaa")=$B7,followers!$H$1,""))</f>
        <v/>
      </c>
      <c r="O7" s="153" t="str">
        <f>IF(O6&lt;&gt;"",O6+1,IF(TEXT(followers!$H$1,"aaa")=$B7,followers!$H$1,""))</f>
        <v/>
      </c>
      <c r="P7" s="154" t="e" cm="1">
        <f t="array" ref="P7">IFERROR(INDEX(visitors!$A$1:$Y$32,DAY(N7)+1,MATCH($N$2,visitors!$1:$1,0)),NA())</f>
        <v>#N/A</v>
      </c>
    </row>
    <row r="8" spans="1:40" ht="17.25" thickBot="1">
      <c r="A8" s="413"/>
      <c r="B8" s="69" t="s">
        <v>125</v>
      </c>
      <c r="C8" s="70">
        <v>45263</v>
      </c>
      <c r="D8" s="71">
        <v>45263</v>
      </c>
      <c r="E8" s="72">
        <v>89</v>
      </c>
      <c r="F8" s="70"/>
      <c r="G8" s="71"/>
      <c r="H8" s="72"/>
      <c r="I8" s="70">
        <v>45326</v>
      </c>
      <c r="J8" s="71">
        <v>45326</v>
      </c>
      <c r="K8" s="72">
        <v>101</v>
      </c>
      <c r="N8" s="155">
        <f>IF(N7&lt;&gt;"",N7+1,IF(TEXT(followers!$H$1,"aaa")=$B8,followers!$H$1,""))</f>
        <v>45536</v>
      </c>
      <c r="O8" s="156">
        <f>IF(O7&lt;&gt;"",O7+1,IF(TEXT(followers!$H$1,"aaa")=$B8,followers!$H$1,""))</f>
        <v>45536</v>
      </c>
      <c r="P8" s="157" cm="1">
        <f t="array" ref="P8">IFERROR(INDEX(visitors!$A$1:$Y$32,DAY(N8)+1,MATCH($N$2,visitors!$1:$1,0)),NA())</f>
        <v>135</v>
      </c>
    </row>
    <row r="9" spans="1:40">
      <c r="A9" s="412" t="s">
        <v>129</v>
      </c>
      <c r="B9" s="73" t="s">
        <v>119</v>
      </c>
      <c r="C9" s="53">
        <v>45264</v>
      </c>
      <c r="D9" s="74">
        <v>45264</v>
      </c>
      <c r="E9" s="54">
        <v>133</v>
      </c>
      <c r="F9" s="53">
        <v>45292</v>
      </c>
      <c r="G9" s="74">
        <v>45292</v>
      </c>
      <c r="H9" s="54">
        <v>82</v>
      </c>
      <c r="I9" s="53">
        <v>45327</v>
      </c>
      <c r="J9" s="74">
        <v>45327</v>
      </c>
      <c r="K9" s="54">
        <v>147</v>
      </c>
      <c r="N9" s="158">
        <f>IF(N8&lt;&gt;"",N8+1,IF(TEXT(followers!$H$1,"aaa")=$B9,followers!$H$1,""))</f>
        <v>45537</v>
      </c>
      <c r="O9" s="159">
        <f>IF(O8&lt;&gt;"",O8+1,IF(TEXT(followers!$H$1,"aaa")=$B9,followers!$H$1,""))</f>
        <v>45537</v>
      </c>
      <c r="P9" s="150" cm="1">
        <f t="array" ref="P9">IFERROR(INDEX(visitors!$A$1:$Y$32,DAY(N9)+1,MATCH($N$2,visitors!$1:$1,0)),NA())</f>
        <v>195</v>
      </c>
    </row>
    <row r="10" spans="1:40">
      <c r="A10" s="413"/>
      <c r="B10" s="66" t="s">
        <v>116</v>
      </c>
      <c r="C10" s="55">
        <v>45265</v>
      </c>
      <c r="D10" s="63">
        <v>45265</v>
      </c>
      <c r="E10" s="56">
        <v>94</v>
      </c>
      <c r="F10" s="55">
        <v>45293</v>
      </c>
      <c r="G10" s="63">
        <v>45293</v>
      </c>
      <c r="H10" s="56">
        <v>125</v>
      </c>
      <c r="I10" s="55">
        <v>45328</v>
      </c>
      <c r="J10" s="63">
        <v>45328</v>
      </c>
      <c r="K10" s="56">
        <v>140</v>
      </c>
      <c r="N10" s="160">
        <f>IF(N9&lt;&gt;"",N9+1,IF(TEXT(followers!$H$1,"aaa")=$B10,followers!$H$1,""))</f>
        <v>45538</v>
      </c>
      <c r="O10" s="161">
        <f>IF(O9&lt;&gt;"",O9+1,IF(TEXT(followers!$H$1,"aaa")=$B10,followers!$H$1,""))</f>
        <v>45538</v>
      </c>
      <c r="P10" s="116" cm="1">
        <f t="array" ref="P10">IFERROR(INDEX(visitors!$A$1:$Y$32,DAY(N10)+1,MATCH($N$2,visitors!$1:$1,0)),NA())</f>
        <v>189</v>
      </c>
      <c r="AI10" s="3"/>
      <c r="AJ10" s="81"/>
      <c r="AK10" s="52"/>
      <c r="AM10" s="3"/>
      <c r="AN10" s="81"/>
    </row>
    <row r="11" spans="1:40">
      <c r="A11" s="413"/>
      <c r="B11" s="66" t="s">
        <v>118</v>
      </c>
      <c r="C11" s="55">
        <v>45266</v>
      </c>
      <c r="D11" s="63">
        <v>45266</v>
      </c>
      <c r="E11" s="56">
        <v>47</v>
      </c>
      <c r="F11" s="55">
        <v>45294</v>
      </c>
      <c r="G11" s="63">
        <v>45294</v>
      </c>
      <c r="H11" s="56">
        <v>129</v>
      </c>
      <c r="I11" s="55">
        <v>45329</v>
      </c>
      <c r="J11" s="63">
        <v>45329</v>
      </c>
      <c r="K11" s="56">
        <v>188</v>
      </c>
      <c r="N11" s="160">
        <f>IF(N10&lt;&gt;"",N10+1,IF(TEXT(followers!$H$1,"aaa")=$B11,followers!$H$1,""))</f>
        <v>45539</v>
      </c>
      <c r="O11" s="161">
        <f>IF(O10&lt;&gt;"",O10+1,IF(TEXT(followers!$H$1,"aaa")=$B11,followers!$H$1,""))</f>
        <v>45539</v>
      </c>
      <c r="P11" s="116" cm="1">
        <f t="array" ref="P11">IFERROR(INDEX(visitors!$A$1:$Y$32,DAY(N11)+1,MATCH($N$2,visitors!$1:$1,0)),NA())</f>
        <v>185</v>
      </c>
      <c r="AI11" s="3"/>
      <c r="AJ11" s="81"/>
      <c r="AK11" s="52"/>
      <c r="AM11" s="3"/>
      <c r="AN11" s="81"/>
    </row>
    <row r="12" spans="1:40">
      <c r="A12" s="413"/>
      <c r="B12" s="66" t="s">
        <v>120</v>
      </c>
      <c r="C12" s="55">
        <v>45267</v>
      </c>
      <c r="D12" s="63">
        <v>45267</v>
      </c>
      <c r="E12" s="56">
        <v>107</v>
      </c>
      <c r="F12" s="55">
        <v>45295</v>
      </c>
      <c r="G12" s="63">
        <v>45295</v>
      </c>
      <c r="H12" s="56">
        <v>170</v>
      </c>
      <c r="I12" s="55">
        <v>45330</v>
      </c>
      <c r="J12" s="63">
        <v>45330</v>
      </c>
      <c r="K12" s="56">
        <v>169</v>
      </c>
      <c r="N12" s="160">
        <f>IF(N11&lt;&gt;"",N11+1,IF(TEXT(followers!$H$1,"aaa")=$B12,followers!$H$1,""))</f>
        <v>45540</v>
      </c>
      <c r="O12" s="161">
        <f>IF(O11&lt;&gt;"",O11+1,IF(TEXT(followers!$H$1,"aaa")=$B12,followers!$H$1,""))</f>
        <v>45540</v>
      </c>
      <c r="P12" s="116" cm="1">
        <f t="array" ref="P12">IFERROR(INDEX(visitors!$A$1:$Y$32,DAY(N12)+1,MATCH($N$2,visitors!$1:$1,0)),NA())</f>
        <v>209</v>
      </c>
      <c r="AI12" s="3"/>
      <c r="AJ12" s="81"/>
      <c r="AK12" s="52"/>
      <c r="AM12" s="3"/>
      <c r="AN12" s="81"/>
    </row>
    <row r="13" spans="1:40">
      <c r="A13" s="413"/>
      <c r="B13" s="66" t="s">
        <v>121</v>
      </c>
      <c r="C13" s="55">
        <v>45268</v>
      </c>
      <c r="D13" s="63">
        <v>45268</v>
      </c>
      <c r="E13" s="56">
        <v>207</v>
      </c>
      <c r="F13" s="55">
        <v>45296</v>
      </c>
      <c r="G13" s="63">
        <v>45296</v>
      </c>
      <c r="H13" s="56">
        <v>226</v>
      </c>
      <c r="I13" s="55">
        <v>45331</v>
      </c>
      <c r="J13" s="63">
        <v>45331</v>
      </c>
      <c r="K13" s="56">
        <v>137</v>
      </c>
      <c r="N13" s="160">
        <f>IF(N12&lt;&gt;"",N12+1,IF(TEXT(followers!$H$1,"aaa")=$B13,followers!$H$1,""))</f>
        <v>45541</v>
      </c>
      <c r="O13" s="161">
        <f>IF(O12&lt;&gt;"",O12+1,IF(TEXT(followers!$H$1,"aaa")=$B13,followers!$H$1,""))</f>
        <v>45541</v>
      </c>
      <c r="P13" s="116" cm="1">
        <f t="array" ref="P13">IFERROR(INDEX(visitors!$A$1:$Y$32,DAY(N13)+1,MATCH($N$2,visitors!$1:$1,0)),NA())</f>
        <v>123</v>
      </c>
      <c r="S13" s="3"/>
      <c r="T13" s="75"/>
      <c r="U13" s="52"/>
      <c r="W13" s="3"/>
      <c r="X13" s="75"/>
      <c r="Y13" s="52"/>
      <c r="AA13" s="3"/>
      <c r="AB13" s="75"/>
      <c r="AI13" s="3"/>
      <c r="AJ13" s="81"/>
      <c r="AK13" s="52"/>
      <c r="AM13" s="3"/>
      <c r="AN13" s="81"/>
    </row>
    <row r="14" spans="1:40">
      <c r="A14" s="413"/>
      <c r="B14" s="66" t="s">
        <v>123</v>
      </c>
      <c r="C14" s="55">
        <v>45269</v>
      </c>
      <c r="D14" s="63">
        <v>45269</v>
      </c>
      <c r="E14" s="56">
        <v>95</v>
      </c>
      <c r="F14" s="55">
        <v>45297</v>
      </c>
      <c r="G14" s="63">
        <v>45297</v>
      </c>
      <c r="H14" s="56">
        <v>154</v>
      </c>
      <c r="I14" s="55">
        <v>45332</v>
      </c>
      <c r="J14" s="63">
        <v>45332</v>
      </c>
      <c r="K14" s="56">
        <v>135</v>
      </c>
      <c r="N14" s="160">
        <f>IF(N13&lt;&gt;"",N13+1,IF(TEXT(followers!$H$1,"aaa")=$B14,followers!$H$1,""))</f>
        <v>45542</v>
      </c>
      <c r="O14" s="161">
        <f>IF(O13&lt;&gt;"",O13+1,IF(TEXT(followers!$H$1,"aaa")=$B14,followers!$H$1,""))</f>
        <v>45542</v>
      </c>
      <c r="P14" s="116" cm="1">
        <f t="array" ref="P14">IFERROR(INDEX(visitors!$A$1:$Y$32,DAY(N14)+1,MATCH($N$2,visitors!$1:$1,0)),NA())</f>
        <v>156</v>
      </c>
      <c r="S14" s="3"/>
      <c r="T14" s="75"/>
      <c r="U14" s="52"/>
      <c r="W14" s="3"/>
      <c r="X14" s="75"/>
      <c r="Y14" s="52"/>
      <c r="AA14" s="3"/>
      <c r="AB14" s="75"/>
      <c r="AI14" s="3"/>
      <c r="AJ14" s="81"/>
      <c r="AK14" s="52"/>
      <c r="AM14" s="3"/>
      <c r="AN14" s="81"/>
    </row>
    <row r="15" spans="1:40" ht="17.25" thickBot="1">
      <c r="A15" s="414"/>
      <c r="B15" s="67" t="s">
        <v>125</v>
      </c>
      <c r="C15" s="57">
        <v>45270</v>
      </c>
      <c r="D15" s="64">
        <v>45270</v>
      </c>
      <c r="E15" s="58">
        <v>105</v>
      </c>
      <c r="F15" s="57">
        <v>45298</v>
      </c>
      <c r="G15" s="64">
        <v>45298</v>
      </c>
      <c r="H15" s="58">
        <v>101</v>
      </c>
      <c r="I15" s="57">
        <v>45333</v>
      </c>
      <c r="J15" s="64">
        <v>45333</v>
      </c>
      <c r="K15" s="58">
        <v>152</v>
      </c>
      <c r="N15" s="162">
        <f>IF(N14&lt;&gt;"",N14+1,IF(TEXT(followers!$H$1,"aaa")=$B15,followers!$H$1,""))</f>
        <v>45543</v>
      </c>
      <c r="O15" s="163">
        <f>IF(O14&lt;&gt;"",O14+1,IF(TEXT(followers!$H$1,"aaa")=$B15,followers!$H$1,""))</f>
        <v>45543</v>
      </c>
      <c r="P15" s="151" cm="1">
        <f t="array" ref="P15">IFERROR(INDEX(visitors!$A$1:$Y$32,DAY(N15)+1,MATCH($N$2,visitors!$1:$1,0)),NA())</f>
        <v>125</v>
      </c>
      <c r="S15" s="3"/>
      <c r="T15" s="75"/>
      <c r="U15" s="52"/>
      <c r="W15" s="3"/>
      <c r="X15" s="75"/>
      <c r="Y15" s="52"/>
      <c r="AA15" s="3"/>
      <c r="AB15" s="75"/>
      <c r="AI15" s="3"/>
      <c r="AJ15" s="81"/>
      <c r="AK15" s="52"/>
      <c r="AM15" s="3"/>
      <c r="AN15" s="81"/>
    </row>
    <row r="16" spans="1:40">
      <c r="A16" s="412" t="s">
        <v>131</v>
      </c>
      <c r="B16" s="73" t="s">
        <v>4</v>
      </c>
      <c r="C16" s="53">
        <v>45271</v>
      </c>
      <c r="D16" s="74">
        <v>45271</v>
      </c>
      <c r="E16" s="54">
        <v>87</v>
      </c>
      <c r="F16" s="53">
        <v>45299</v>
      </c>
      <c r="G16" s="74">
        <v>45299</v>
      </c>
      <c r="H16" s="54">
        <v>76</v>
      </c>
      <c r="I16" s="53">
        <v>45334</v>
      </c>
      <c r="J16" s="74">
        <v>45334</v>
      </c>
      <c r="K16" s="54">
        <v>120</v>
      </c>
      <c r="N16" s="158">
        <f>IF(N15&lt;&gt;"",N15+1,IF(TEXT(followers!$H$1,"aaa")=$B16,followers!$H$1,""))</f>
        <v>45544</v>
      </c>
      <c r="O16" s="159">
        <f>IF(O15&lt;&gt;"",O15+1,IF(TEXT(followers!$H$1,"aaa")=$B16,followers!$H$1,""))</f>
        <v>45544</v>
      </c>
      <c r="P16" s="150" cm="1">
        <f t="array" ref="P16">IFERROR(INDEX(visitors!$A$1:$Y$32,DAY(N16)+1,MATCH($N$2,visitors!$1:$1,0)),NA())</f>
        <v>167</v>
      </c>
      <c r="S16" s="3"/>
      <c r="T16" s="75"/>
      <c r="U16" s="52"/>
      <c r="W16" s="3"/>
      <c r="X16" s="75"/>
      <c r="Y16" s="52"/>
      <c r="AA16" s="3"/>
      <c r="AB16" s="75"/>
      <c r="AI16" s="3"/>
      <c r="AJ16" s="81"/>
      <c r="AK16" s="52"/>
      <c r="AM16" s="3"/>
      <c r="AN16" s="81"/>
    </row>
    <row r="17" spans="1:40">
      <c r="A17" s="413"/>
      <c r="B17" s="66" t="s">
        <v>126</v>
      </c>
      <c r="C17" s="55">
        <v>45272</v>
      </c>
      <c r="D17" s="63">
        <v>45272</v>
      </c>
      <c r="E17" s="56">
        <v>124</v>
      </c>
      <c r="F17" s="55">
        <v>45300</v>
      </c>
      <c r="G17" s="63">
        <v>45300</v>
      </c>
      <c r="H17" s="56">
        <v>99</v>
      </c>
      <c r="I17" s="55">
        <v>45335</v>
      </c>
      <c r="J17" s="63">
        <v>45335</v>
      </c>
      <c r="K17" s="56">
        <v>159</v>
      </c>
      <c r="N17" s="160">
        <f>IF(N16&lt;&gt;"",N16+1,IF(TEXT(followers!$H$1,"aaa")=$B17,followers!$H$1,""))</f>
        <v>45545</v>
      </c>
      <c r="O17" s="161">
        <f>IF(O16&lt;&gt;"",O16+1,IF(TEXT(followers!$H$1,"aaa")=$B17,followers!$H$1,""))</f>
        <v>45545</v>
      </c>
      <c r="P17" s="116" cm="1">
        <f t="array" ref="P17">IFERROR(INDEX(visitors!$A$1:$Y$32,DAY(N17)+1,MATCH($N$2,visitors!$1:$1,0)),NA())</f>
        <v>205</v>
      </c>
      <c r="S17" s="3"/>
      <c r="T17" s="75"/>
      <c r="U17" s="52"/>
      <c r="W17" s="3"/>
      <c r="X17" s="75"/>
      <c r="Y17" s="52"/>
      <c r="AA17" s="3"/>
      <c r="AB17" s="75"/>
      <c r="AI17" s="3"/>
      <c r="AJ17" s="81"/>
      <c r="AK17" s="52"/>
      <c r="AM17" s="3"/>
      <c r="AN17" s="81"/>
    </row>
    <row r="18" spans="1:40">
      <c r="A18" s="413"/>
      <c r="B18" s="66" t="s">
        <v>118</v>
      </c>
      <c r="C18" s="55">
        <v>45273</v>
      </c>
      <c r="D18" s="63">
        <v>45273</v>
      </c>
      <c r="E18" s="56">
        <v>113</v>
      </c>
      <c r="F18" s="55">
        <v>45301</v>
      </c>
      <c r="G18" s="63">
        <v>45301</v>
      </c>
      <c r="H18" s="56">
        <v>122</v>
      </c>
      <c r="I18" s="55">
        <v>45336</v>
      </c>
      <c r="J18" s="63">
        <v>45336</v>
      </c>
      <c r="K18" s="56">
        <v>142</v>
      </c>
      <c r="N18" s="160">
        <f>IF(N17&lt;&gt;"",N17+1,IF(TEXT(followers!$H$1,"aaa")=$B18,followers!$H$1,""))</f>
        <v>45546</v>
      </c>
      <c r="O18" s="161">
        <f>IF(O17&lt;&gt;"",O17+1,IF(TEXT(followers!$H$1,"aaa")=$B18,followers!$H$1,""))</f>
        <v>45546</v>
      </c>
      <c r="P18" s="116" cm="1">
        <f t="array" ref="P18">IFERROR(INDEX(visitors!$A$1:$Y$32,DAY(N18)+1,MATCH($N$2,visitors!$1:$1,0)),NA())</f>
        <v>209</v>
      </c>
      <c r="S18" s="3"/>
      <c r="T18" s="75"/>
      <c r="U18" s="52"/>
      <c r="W18" s="3"/>
      <c r="X18" s="75"/>
      <c r="Y18" s="52"/>
      <c r="AA18" s="3"/>
      <c r="AB18" s="75"/>
      <c r="AI18" s="3"/>
      <c r="AJ18" s="81"/>
      <c r="AK18" s="52"/>
      <c r="AM18" s="3"/>
      <c r="AN18" s="81"/>
    </row>
    <row r="19" spans="1:40">
      <c r="A19" s="413"/>
      <c r="B19" s="66" t="s">
        <v>115</v>
      </c>
      <c r="C19" s="55">
        <v>45274</v>
      </c>
      <c r="D19" s="63">
        <v>45274</v>
      </c>
      <c r="E19" s="56">
        <v>124</v>
      </c>
      <c r="F19" s="55">
        <v>45302</v>
      </c>
      <c r="G19" s="63">
        <v>45302</v>
      </c>
      <c r="H19" s="56">
        <v>121</v>
      </c>
      <c r="I19" s="55">
        <v>45337</v>
      </c>
      <c r="J19" s="63">
        <v>45337</v>
      </c>
      <c r="K19" s="56">
        <v>185</v>
      </c>
      <c r="N19" s="160">
        <f>IF(N18&lt;&gt;"",N18+1,IF(TEXT(followers!$H$1,"aaa")=$B19,followers!$H$1,""))</f>
        <v>45547</v>
      </c>
      <c r="O19" s="161">
        <f>IF(O18&lt;&gt;"",O18+1,IF(TEXT(followers!$H$1,"aaa")=$B19,followers!$H$1,""))</f>
        <v>45547</v>
      </c>
      <c r="P19" s="116" cm="1">
        <f t="array" ref="P19">IFERROR(INDEX(visitors!$A$1:$Y$32,DAY(N19)+1,MATCH($N$2,visitors!$1:$1,0)),NA())</f>
        <v>134</v>
      </c>
      <c r="S19" s="3"/>
      <c r="T19" s="75"/>
      <c r="U19" s="52"/>
      <c r="W19" s="3"/>
      <c r="X19" s="75"/>
      <c r="Y19" s="52"/>
      <c r="AA19" s="3"/>
      <c r="AB19" s="75"/>
      <c r="AI19" s="3"/>
      <c r="AJ19" s="81"/>
      <c r="AK19" s="52"/>
      <c r="AM19" s="3"/>
      <c r="AN19" s="81"/>
    </row>
    <row r="20" spans="1:40">
      <c r="A20" s="413"/>
      <c r="B20" s="66" t="s">
        <v>117</v>
      </c>
      <c r="C20" s="55">
        <v>45275</v>
      </c>
      <c r="D20" s="63">
        <v>45275</v>
      </c>
      <c r="E20" s="56">
        <v>94</v>
      </c>
      <c r="F20" s="55">
        <v>45303</v>
      </c>
      <c r="G20" s="63">
        <v>45303</v>
      </c>
      <c r="H20" s="56">
        <v>142</v>
      </c>
      <c r="I20" s="55">
        <v>45338</v>
      </c>
      <c r="J20" s="63">
        <v>45338</v>
      </c>
      <c r="K20" s="56">
        <v>161</v>
      </c>
      <c r="N20" s="160">
        <f>IF(N19&lt;&gt;"",N19+1,IF(TEXT(followers!$H$1,"aaa")=$B20,followers!$H$1,""))</f>
        <v>45548</v>
      </c>
      <c r="O20" s="161">
        <f>IF(O19&lt;&gt;"",O19+1,IF(TEXT(followers!$H$1,"aaa")=$B20,followers!$H$1,""))</f>
        <v>45548</v>
      </c>
      <c r="P20" s="116" cm="1">
        <f t="array" ref="P20">IFERROR(INDEX(visitors!$A$1:$Y$32,DAY(N20)+1,MATCH($N$2,visitors!$1:$1,0)),NA())</f>
        <v>168</v>
      </c>
      <c r="S20" s="3"/>
      <c r="T20" s="75"/>
      <c r="U20" s="52"/>
      <c r="W20" s="3"/>
      <c r="X20" s="75"/>
      <c r="Y20" s="52"/>
      <c r="AA20" s="3"/>
      <c r="AB20" s="75"/>
      <c r="AI20" s="3"/>
      <c r="AJ20" s="81"/>
      <c r="AK20" s="52"/>
      <c r="AM20" s="3"/>
      <c r="AN20" s="81"/>
    </row>
    <row r="21" spans="1:40">
      <c r="A21" s="413"/>
      <c r="B21" s="66" t="s">
        <v>122</v>
      </c>
      <c r="C21" s="55">
        <v>45276</v>
      </c>
      <c r="D21" s="63">
        <v>45276</v>
      </c>
      <c r="E21" s="56">
        <v>93</v>
      </c>
      <c r="F21" s="55">
        <v>45304</v>
      </c>
      <c r="G21" s="63">
        <v>45304</v>
      </c>
      <c r="H21" s="56">
        <v>58</v>
      </c>
      <c r="I21" s="55">
        <v>45339</v>
      </c>
      <c r="J21" s="63">
        <v>45339</v>
      </c>
      <c r="K21" s="56">
        <v>123</v>
      </c>
      <c r="N21" s="160">
        <f>IF(N20&lt;&gt;"",N20+1,IF(TEXT(followers!$H$1,"aaa")=$B21,followers!$H$1,""))</f>
        <v>45549</v>
      </c>
      <c r="O21" s="161">
        <f>IF(O20&lt;&gt;"",O20+1,IF(TEXT(followers!$H$1,"aaa")=$B21,followers!$H$1,""))</f>
        <v>45549</v>
      </c>
      <c r="P21" s="116" cm="1">
        <f t="array" ref="P21">IFERROR(INDEX(visitors!$A$1:$Y$32,DAY(N21)+1,MATCH($N$2,visitors!$1:$1,0)),NA())</f>
        <v>126</v>
      </c>
      <c r="S21" s="3"/>
      <c r="T21" s="75"/>
      <c r="U21" s="52"/>
      <c r="W21" s="3"/>
      <c r="X21" s="75"/>
      <c r="Y21" s="52"/>
      <c r="AA21" s="3"/>
      <c r="AB21" s="75"/>
      <c r="AI21" s="3"/>
      <c r="AJ21" s="81"/>
      <c r="AK21" s="52"/>
      <c r="AM21" s="3"/>
      <c r="AN21" s="81"/>
    </row>
    <row r="22" spans="1:40" ht="17.25" thickBot="1">
      <c r="A22" s="414"/>
      <c r="B22" s="67" t="s">
        <v>124</v>
      </c>
      <c r="C22" s="57">
        <v>45277</v>
      </c>
      <c r="D22" s="64">
        <v>45277</v>
      </c>
      <c r="E22" s="58">
        <v>76</v>
      </c>
      <c r="F22" s="57">
        <v>45305</v>
      </c>
      <c r="G22" s="64">
        <v>45305</v>
      </c>
      <c r="H22" s="58">
        <v>104</v>
      </c>
      <c r="I22" s="57">
        <v>45340</v>
      </c>
      <c r="J22" s="64">
        <v>45340</v>
      </c>
      <c r="K22" s="58">
        <v>70</v>
      </c>
      <c r="N22" s="162">
        <f>IF(N21&lt;&gt;"",N21+1,IF(TEXT(followers!$H$1,"aaa")=$B22,followers!$H$1,""))</f>
        <v>45550</v>
      </c>
      <c r="O22" s="163">
        <f>IF(O21&lt;&gt;"",O21+1,IF(TEXT(followers!$H$1,"aaa")=$B22,followers!$H$1,""))</f>
        <v>45550</v>
      </c>
      <c r="P22" s="151" cm="1">
        <f t="array" ref="P22">IFERROR(INDEX(visitors!$A$1:$Y$32,DAY(N22)+1,MATCH($N$2,visitors!$1:$1,0)),NA())</f>
        <v>130</v>
      </c>
      <c r="S22" s="3"/>
      <c r="T22" s="75"/>
      <c r="U22" s="52"/>
      <c r="W22" s="3"/>
      <c r="X22" s="75"/>
      <c r="Y22" s="52"/>
      <c r="AA22" s="3"/>
      <c r="AB22" s="75"/>
      <c r="AI22" s="3"/>
      <c r="AJ22" s="81"/>
      <c r="AK22" s="52"/>
      <c r="AM22" s="3"/>
      <c r="AN22" s="81"/>
    </row>
    <row r="23" spans="1:40">
      <c r="A23" s="412" t="s">
        <v>130</v>
      </c>
      <c r="B23" s="73" t="s">
        <v>119</v>
      </c>
      <c r="C23" s="53">
        <v>45278</v>
      </c>
      <c r="D23" s="74">
        <v>45278</v>
      </c>
      <c r="E23" s="54">
        <v>109</v>
      </c>
      <c r="F23" s="53">
        <v>45306</v>
      </c>
      <c r="G23" s="74">
        <v>45306</v>
      </c>
      <c r="H23" s="54">
        <v>98</v>
      </c>
      <c r="I23" s="53">
        <v>45341</v>
      </c>
      <c r="J23" s="74">
        <v>45341</v>
      </c>
      <c r="K23" s="54">
        <v>143</v>
      </c>
      <c r="N23" s="158">
        <f>IF(N22&lt;&gt;"",N22+1,IF(TEXT(followers!$H$1,"aaa")=$B23,followers!$H$1,""))</f>
        <v>45551</v>
      </c>
      <c r="O23" s="159">
        <f>IF(O22&lt;&gt;"",O22+1,IF(TEXT(followers!$H$1,"aaa")=$B23,followers!$H$1,""))</f>
        <v>45551</v>
      </c>
      <c r="P23" s="150" cm="1">
        <f t="array" ref="P23">IFERROR(INDEX(visitors!$A$1:$Y$32,DAY(N23)+1,MATCH($N$2,visitors!$1:$1,0)),NA())</f>
        <v>124</v>
      </c>
      <c r="S23" s="3"/>
      <c r="T23" s="75"/>
      <c r="U23" s="52"/>
      <c r="W23" s="3"/>
      <c r="X23" s="75"/>
      <c r="Y23" s="52"/>
      <c r="AA23" s="3"/>
      <c r="AB23" s="75"/>
      <c r="AI23" s="3"/>
      <c r="AJ23" s="81"/>
      <c r="AK23" s="52"/>
      <c r="AM23" s="3"/>
      <c r="AN23" s="81"/>
    </row>
    <row r="24" spans="1:40">
      <c r="A24" s="413"/>
      <c r="B24" s="66" t="s">
        <v>116</v>
      </c>
      <c r="C24" s="55">
        <v>45279</v>
      </c>
      <c r="D24" s="63">
        <v>45279</v>
      </c>
      <c r="E24" s="56">
        <v>92</v>
      </c>
      <c r="F24" s="55">
        <v>45307</v>
      </c>
      <c r="G24" s="63">
        <v>45307</v>
      </c>
      <c r="H24" s="56">
        <v>184</v>
      </c>
      <c r="I24" s="55">
        <v>45342</v>
      </c>
      <c r="J24" s="63">
        <v>45342</v>
      </c>
      <c r="K24" s="56">
        <v>173</v>
      </c>
      <c r="N24" s="160">
        <f>IF(N23&lt;&gt;"",N23+1,IF(TEXT(followers!$H$1,"aaa")=$B24,followers!$H$1,""))</f>
        <v>45552</v>
      </c>
      <c r="O24" s="161">
        <f>IF(O23&lt;&gt;"",O23+1,IF(TEXT(followers!$H$1,"aaa")=$B24,followers!$H$1,""))</f>
        <v>45552</v>
      </c>
      <c r="P24" s="116" cm="1">
        <f t="array" ref="P24">IFERROR(INDEX(visitors!$A$1:$Y$32,DAY(N24)+1,MATCH($N$2,visitors!$1:$1,0)),NA())</f>
        <v>181</v>
      </c>
      <c r="S24" s="3"/>
      <c r="T24" s="75"/>
      <c r="U24" s="52"/>
      <c r="W24" s="3"/>
      <c r="X24" s="75"/>
      <c r="Y24" s="52"/>
      <c r="AA24" s="3"/>
      <c r="AB24" s="75"/>
      <c r="AI24" s="3"/>
      <c r="AJ24" s="81"/>
      <c r="AK24" s="52"/>
      <c r="AM24" s="3"/>
      <c r="AN24" s="81"/>
    </row>
    <row r="25" spans="1:40">
      <c r="A25" s="413"/>
      <c r="B25" s="66" t="s">
        <v>118</v>
      </c>
      <c r="C25" s="55">
        <v>45280</v>
      </c>
      <c r="D25" s="63">
        <v>45280</v>
      </c>
      <c r="E25" s="56">
        <v>55</v>
      </c>
      <c r="F25" s="55">
        <v>45308</v>
      </c>
      <c r="G25" s="63">
        <v>45308</v>
      </c>
      <c r="H25" s="56">
        <v>236</v>
      </c>
      <c r="I25" s="55">
        <v>45343</v>
      </c>
      <c r="J25" s="63">
        <v>45343</v>
      </c>
      <c r="K25" s="56">
        <v>184</v>
      </c>
      <c r="N25" s="160">
        <f>IF(N24&lt;&gt;"",N24+1,IF(TEXT(followers!$H$1,"aaa")=$B25,followers!$H$1,""))</f>
        <v>45553</v>
      </c>
      <c r="O25" s="161">
        <f>IF(O24&lt;&gt;"",O24+1,IF(TEXT(followers!$H$1,"aaa")=$B25,followers!$H$1,""))</f>
        <v>45553</v>
      </c>
      <c r="P25" s="116" cm="1">
        <f t="array" ref="P25">IFERROR(INDEX(visitors!$A$1:$Y$32,DAY(N25)+1,MATCH($N$2,visitors!$1:$1,0)),NA())</f>
        <v>165</v>
      </c>
      <c r="S25" s="3"/>
      <c r="T25" s="75"/>
      <c r="U25" s="52"/>
      <c r="W25" s="3"/>
      <c r="X25" s="75"/>
      <c r="Y25" s="52"/>
      <c r="AA25" s="3"/>
      <c r="AB25" s="75"/>
      <c r="AI25" s="3"/>
      <c r="AJ25" s="81"/>
      <c r="AK25" s="52"/>
      <c r="AM25" s="3"/>
      <c r="AN25" s="81"/>
    </row>
    <row r="26" spans="1:40">
      <c r="A26" s="413"/>
      <c r="B26" s="66" t="s">
        <v>115</v>
      </c>
      <c r="C26" s="55">
        <v>45281</v>
      </c>
      <c r="D26" s="63">
        <v>45281</v>
      </c>
      <c r="E26" s="56">
        <v>160</v>
      </c>
      <c r="F26" s="55">
        <v>45309</v>
      </c>
      <c r="G26" s="63">
        <v>45309</v>
      </c>
      <c r="H26" s="56">
        <v>196</v>
      </c>
      <c r="I26" s="55">
        <v>45344</v>
      </c>
      <c r="J26" s="63">
        <v>45344</v>
      </c>
      <c r="K26" s="56">
        <v>281</v>
      </c>
      <c r="N26" s="160">
        <f>IF(N25&lt;&gt;"",N25+1,IF(TEXT(followers!$H$1,"aaa")=$B26,followers!$H$1,""))</f>
        <v>45554</v>
      </c>
      <c r="O26" s="161">
        <f>IF(O25&lt;&gt;"",O25+1,IF(TEXT(followers!$H$1,"aaa")=$B26,followers!$H$1,""))</f>
        <v>45554</v>
      </c>
      <c r="P26" s="116" cm="1">
        <f t="array" ref="P26">IFERROR(INDEX(visitors!$A$1:$Y$32,DAY(N26)+1,MATCH($N$2,visitors!$1:$1,0)),NA())</f>
        <v>159</v>
      </c>
      <c r="S26" s="3"/>
      <c r="T26" s="75"/>
      <c r="U26" s="52"/>
      <c r="W26" s="3"/>
      <c r="X26" s="75"/>
      <c r="Y26" s="52"/>
      <c r="AA26" s="3"/>
      <c r="AB26" s="75"/>
      <c r="AI26" s="3"/>
      <c r="AJ26" s="81"/>
      <c r="AK26" s="52"/>
      <c r="AM26" s="3"/>
      <c r="AN26" s="81"/>
    </row>
    <row r="27" spans="1:40">
      <c r="A27" s="413"/>
      <c r="B27" s="66" t="s">
        <v>117</v>
      </c>
      <c r="C27" s="55">
        <v>45282</v>
      </c>
      <c r="D27" s="63">
        <v>45282</v>
      </c>
      <c r="E27" s="56">
        <v>128</v>
      </c>
      <c r="F27" s="55">
        <v>45310</v>
      </c>
      <c r="G27" s="63">
        <v>45310</v>
      </c>
      <c r="H27" s="56">
        <v>114</v>
      </c>
      <c r="I27" s="55">
        <v>45345</v>
      </c>
      <c r="J27" s="63">
        <v>45345</v>
      </c>
      <c r="K27" s="56">
        <v>212</v>
      </c>
      <c r="N27" s="160">
        <f>IF(N26&lt;&gt;"",N26+1,IF(TEXT(followers!$H$1,"aaa")=$B27,followers!$H$1,""))</f>
        <v>45555</v>
      </c>
      <c r="O27" s="161">
        <f>IF(O26&lt;&gt;"",O26+1,IF(TEXT(followers!$H$1,"aaa")=$B27,followers!$H$1,""))</f>
        <v>45555</v>
      </c>
      <c r="P27" s="116" cm="1">
        <f t="array" ref="P27">IFERROR(INDEX(visitors!$A$1:$Y$32,DAY(N27)+1,MATCH($N$2,visitors!$1:$1,0)),NA())</f>
        <v>196</v>
      </c>
      <c r="S27" s="3"/>
      <c r="T27" s="75"/>
      <c r="U27" s="52"/>
      <c r="W27" s="3"/>
      <c r="X27" s="75"/>
      <c r="Y27" s="52"/>
      <c r="AA27" s="3"/>
      <c r="AB27" s="75"/>
      <c r="AI27" s="3"/>
      <c r="AJ27" s="81"/>
      <c r="AK27" s="52"/>
      <c r="AM27" s="3"/>
      <c r="AN27" s="81"/>
    </row>
    <row r="28" spans="1:40">
      <c r="A28" s="413"/>
      <c r="B28" s="66" t="s">
        <v>122</v>
      </c>
      <c r="C28" s="55">
        <v>45283</v>
      </c>
      <c r="D28" s="63">
        <v>45283</v>
      </c>
      <c r="E28" s="56">
        <v>89</v>
      </c>
      <c r="F28" s="55">
        <v>45311</v>
      </c>
      <c r="G28" s="63">
        <v>45311</v>
      </c>
      <c r="H28" s="56">
        <v>116</v>
      </c>
      <c r="I28" s="55">
        <v>45346</v>
      </c>
      <c r="J28" s="63">
        <v>45346</v>
      </c>
      <c r="K28" s="56">
        <v>157</v>
      </c>
      <c r="N28" s="160">
        <f>IF(N27&lt;&gt;"",N27+1,IF(TEXT(followers!$H$1,"aaa")=$B28,followers!$H$1,""))</f>
        <v>45556</v>
      </c>
      <c r="O28" s="161">
        <f>IF(O27&lt;&gt;"",O27+1,IF(TEXT(followers!$H$1,"aaa")=$B28,followers!$H$1,""))</f>
        <v>45556</v>
      </c>
      <c r="P28" s="116" cm="1">
        <f t="array" ref="P28">IFERROR(INDEX(visitors!$A$1:$Y$32,DAY(N28)+1,MATCH($N$2,visitors!$1:$1,0)),NA())</f>
        <v>153</v>
      </c>
      <c r="S28" s="3"/>
      <c r="T28" s="75"/>
      <c r="U28" s="52"/>
      <c r="W28" s="3"/>
      <c r="X28" s="75"/>
      <c r="Y28" s="52"/>
      <c r="AA28" s="3"/>
      <c r="AB28" s="75"/>
      <c r="AI28" s="3"/>
      <c r="AJ28" s="81"/>
      <c r="AK28" s="52"/>
      <c r="AM28" s="3"/>
      <c r="AN28" s="81"/>
    </row>
    <row r="29" spans="1:40" ht="17.25" thickBot="1">
      <c r="A29" s="414"/>
      <c r="B29" s="67" t="s">
        <v>124</v>
      </c>
      <c r="C29" s="57">
        <v>45284</v>
      </c>
      <c r="D29" s="64">
        <v>45284</v>
      </c>
      <c r="E29" s="58">
        <v>41</v>
      </c>
      <c r="F29" s="57">
        <v>45312</v>
      </c>
      <c r="G29" s="64">
        <v>45312</v>
      </c>
      <c r="H29" s="58">
        <v>84</v>
      </c>
      <c r="I29" s="57">
        <v>45347</v>
      </c>
      <c r="J29" s="64">
        <v>45347</v>
      </c>
      <c r="K29" s="58">
        <v>133</v>
      </c>
      <c r="N29" s="162">
        <f>IF(N28&lt;&gt;"",N28+1,IF(TEXT(followers!$H$1,"aaa")=$B29,followers!$H$1,""))</f>
        <v>45557</v>
      </c>
      <c r="O29" s="163">
        <f>IF(O28&lt;&gt;"",O28+1,IF(TEXT(followers!$H$1,"aaa")=$B29,followers!$H$1,""))</f>
        <v>45557</v>
      </c>
      <c r="P29" s="151" cm="1">
        <f t="array" ref="P29">IFERROR(INDEX(visitors!$A$1:$Y$32,DAY(N29)+1,MATCH($N$2,visitors!$1:$1,0)),NA())</f>
        <v>126</v>
      </c>
      <c r="S29" s="3"/>
      <c r="T29" s="75"/>
      <c r="U29" s="52"/>
      <c r="W29" s="3"/>
      <c r="X29" s="75"/>
      <c r="Y29" s="52"/>
      <c r="AA29" s="3"/>
      <c r="AB29" s="75"/>
      <c r="AI29" s="3"/>
      <c r="AJ29" s="81"/>
      <c r="AK29" s="52"/>
      <c r="AM29" s="3"/>
      <c r="AN29" s="81"/>
    </row>
    <row r="30" spans="1:40">
      <c r="A30" s="412" t="s">
        <v>132</v>
      </c>
      <c r="B30" s="73" t="s">
        <v>119</v>
      </c>
      <c r="C30" s="53">
        <v>45285</v>
      </c>
      <c r="D30" s="74">
        <v>45285</v>
      </c>
      <c r="E30" s="54">
        <v>45</v>
      </c>
      <c r="F30" s="53">
        <v>45313</v>
      </c>
      <c r="G30" s="74">
        <v>45313</v>
      </c>
      <c r="H30" s="54">
        <v>134</v>
      </c>
      <c r="I30" s="53">
        <v>45348</v>
      </c>
      <c r="J30" s="74">
        <v>45348</v>
      </c>
      <c r="K30" s="54">
        <v>127</v>
      </c>
      <c r="N30" s="158">
        <f>IF(N29&lt;&gt;"",N29+1,IF(TEXT(followers!$H$1,"aaa")=$B30,followers!$H$1,""))</f>
        <v>45558</v>
      </c>
      <c r="O30" s="159">
        <f>IF(O29&lt;&gt;"",O29+1,IF(TEXT(followers!$H$1,"aaa")=$B30,followers!$H$1,""))</f>
        <v>45558</v>
      </c>
      <c r="P30" s="150" cm="1">
        <f t="array" ref="P30">IFERROR(INDEX(visitors!$A$1:$Y$32,DAY(N30)+1,MATCH($N$2,visitors!$1:$1,0)),NA())</f>
        <v>141</v>
      </c>
      <c r="S30" s="3"/>
      <c r="T30" s="75"/>
      <c r="U30" s="52"/>
      <c r="W30" s="3"/>
      <c r="X30" s="75"/>
      <c r="Y30" s="52"/>
      <c r="AA30" s="3"/>
      <c r="AB30" s="75"/>
      <c r="AI30" s="3"/>
      <c r="AJ30" s="81"/>
      <c r="AK30" s="52"/>
      <c r="AM30" s="3"/>
      <c r="AN30" s="81"/>
    </row>
    <row r="31" spans="1:40">
      <c r="A31" s="413"/>
      <c r="B31" s="66" t="s">
        <v>116</v>
      </c>
      <c r="C31" s="55">
        <v>45286</v>
      </c>
      <c r="D31" s="63">
        <v>45286</v>
      </c>
      <c r="E31" s="56">
        <v>55</v>
      </c>
      <c r="F31" s="55">
        <v>45314</v>
      </c>
      <c r="G31" s="63">
        <v>45314</v>
      </c>
      <c r="H31" s="56">
        <v>101</v>
      </c>
      <c r="I31" s="55">
        <v>45349</v>
      </c>
      <c r="J31" s="63">
        <v>45349</v>
      </c>
      <c r="K31" s="56">
        <v>194</v>
      </c>
      <c r="N31" s="160">
        <f>IF(N30&lt;&gt;"",N30+1,IF(TEXT(followers!$H$1,"aaa")=$B31,followers!$H$1,""))</f>
        <v>45559</v>
      </c>
      <c r="O31" s="161">
        <f>IF(O30&lt;&gt;"",O30+1,IF(TEXT(followers!$H$1,"aaa")=$B31,followers!$H$1,""))</f>
        <v>45559</v>
      </c>
      <c r="P31" s="116" cm="1">
        <f t="array" ref="P31">IFERROR(INDEX(visitors!$A$1:$Y$32,DAY(N31)+1,MATCH($N$2,visitors!$1:$1,0)),NA())</f>
        <v>233</v>
      </c>
      <c r="S31" s="3"/>
      <c r="T31" s="75"/>
      <c r="U31" s="52"/>
      <c r="W31" s="3"/>
      <c r="X31" s="75"/>
      <c r="Y31" s="52"/>
      <c r="AA31" s="3"/>
      <c r="AB31" s="75"/>
      <c r="AI31" s="3"/>
      <c r="AJ31" s="81"/>
      <c r="AK31" s="52"/>
      <c r="AM31" s="3"/>
      <c r="AN31" s="81"/>
    </row>
    <row r="32" spans="1:40">
      <c r="A32" s="413"/>
      <c r="B32" s="66" t="s">
        <v>118</v>
      </c>
      <c r="C32" s="55">
        <v>45287</v>
      </c>
      <c r="D32" s="63">
        <v>45287</v>
      </c>
      <c r="E32" s="56">
        <v>80</v>
      </c>
      <c r="F32" s="55">
        <v>45315</v>
      </c>
      <c r="G32" s="63">
        <v>45315</v>
      </c>
      <c r="H32" s="56">
        <v>76</v>
      </c>
      <c r="I32" s="55">
        <v>45350</v>
      </c>
      <c r="J32" s="63">
        <v>45350</v>
      </c>
      <c r="K32" s="56">
        <v>177</v>
      </c>
      <c r="N32" s="160">
        <f>IF(N31="","",IF(MONTH(N31)&lt;MONTH(N31+1),"",IF(N31&lt;&gt;"",N31+1,IF(TEXT(followers!$H$1,"aaa")=$B31,followers!$H$1,""))))</f>
        <v>45560</v>
      </c>
      <c r="O32" s="161">
        <f>IF(O31="","",IF(MONTH(O31)&lt;MONTH(O31+1),"",IF(O31&lt;&gt;"",O31+1,IF(TEXT(followers!$H$1,"aaa")=$B32,followers!$H$1,""))))</f>
        <v>45560</v>
      </c>
      <c r="P32" s="116" cm="1">
        <f t="array" ref="P32">IFERROR(INDEX(visitors!$A$1:$Y$32,DAY(N32)+1,MATCH($N$2,visitors!$1:$1,0)),NA())</f>
        <v>205</v>
      </c>
      <c r="S32" s="3"/>
      <c r="T32" s="75"/>
      <c r="U32" s="52"/>
      <c r="W32" s="3"/>
      <c r="X32" s="75"/>
      <c r="Y32" s="52"/>
      <c r="AA32" s="3"/>
      <c r="AB32" s="75"/>
      <c r="AI32" s="3"/>
      <c r="AJ32" s="81"/>
      <c r="AK32" s="52"/>
      <c r="AM32" s="3"/>
      <c r="AN32" s="81"/>
    </row>
    <row r="33" spans="1:40">
      <c r="A33" s="413"/>
      <c r="B33" s="66" t="s">
        <v>115</v>
      </c>
      <c r="C33" s="55">
        <v>45288</v>
      </c>
      <c r="D33" s="63">
        <v>45288</v>
      </c>
      <c r="E33" s="56">
        <v>177</v>
      </c>
      <c r="F33" s="55">
        <v>45316</v>
      </c>
      <c r="G33" s="63">
        <v>45316</v>
      </c>
      <c r="H33" s="56">
        <v>157</v>
      </c>
      <c r="I33" s="55">
        <v>45351</v>
      </c>
      <c r="J33" s="63">
        <v>45351</v>
      </c>
      <c r="K33" s="56">
        <v>249</v>
      </c>
      <c r="N33" s="160">
        <f>IF(N32="","",IF(MONTH(N32)&lt;MONTH(N32+1),"",IF(N32&lt;&gt;"",N32+1,IF(TEXT(followers!$H$1,"aaa")=$B32,followers!$H$1,""))))</f>
        <v>45561</v>
      </c>
      <c r="O33" s="161">
        <f>IF(O32="","",IF(MONTH(O32)&lt;MONTH(O32+1),"",IF(O32&lt;&gt;"",O32+1,IF(TEXT(followers!$H$1,"aaa")=$B33,followers!$H$1,""))))</f>
        <v>45561</v>
      </c>
      <c r="P33" s="116" cm="1">
        <f t="array" ref="P33">IFERROR(INDEX(visitors!$A$1:$Y$32,DAY(N33)+1,MATCH($N$2,visitors!$1:$1,0)),NA())</f>
        <v>247</v>
      </c>
      <c r="S33" s="3"/>
      <c r="T33" s="75"/>
      <c r="U33" s="52"/>
      <c r="W33" s="3"/>
      <c r="X33" s="75"/>
      <c r="Y33" s="52"/>
      <c r="AA33" s="3"/>
      <c r="AB33" s="75"/>
      <c r="AI33" s="3"/>
      <c r="AJ33" s="81"/>
      <c r="AK33" s="52"/>
      <c r="AM33" s="3"/>
      <c r="AN33" s="81"/>
    </row>
    <row r="34" spans="1:40">
      <c r="A34" s="413"/>
      <c r="B34" s="66" t="s">
        <v>117</v>
      </c>
      <c r="C34" s="55">
        <v>45289</v>
      </c>
      <c r="D34" s="63">
        <v>45289</v>
      </c>
      <c r="E34" s="56">
        <v>119</v>
      </c>
      <c r="F34" s="55">
        <v>45317</v>
      </c>
      <c r="G34" s="63">
        <v>45317</v>
      </c>
      <c r="H34" s="56">
        <v>197</v>
      </c>
      <c r="I34" s="55" t="s">
        <v>38</v>
      </c>
      <c r="J34" s="63" t="s">
        <v>38</v>
      </c>
      <c r="K34" s="56" t="e">
        <v>#N/A</v>
      </c>
      <c r="N34" s="160">
        <f>IF(N33="","",IF(MONTH(N33)&lt;MONTH(N33+1),"",IF(N33&lt;&gt;"",N33+1,IF(TEXT(followers!$H$1,"aaa")=$B33,followers!$H$1,""))))</f>
        <v>45562</v>
      </c>
      <c r="O34" s="161">
        <f>IF(O33="","",IF(MONTH(O33)&lt;MONTH(O33+1),"",IF(O33&lt;&gt;"",O33+1,IF(TEXT(followers!$H$1,"aaa")=$B34,followers!$H$1,""))))</f>
        <v>45562</v>
      </c>
      <c r="P34" s="116" cm="1">
        <f t="array" ref="P34">IFERROR(INDEX(visitors!$A$1:$Y$32,DAY(N34)+1,MATCH($N$2,visitors!$1:$1,0)),NA())</f>
        <v>158</v>
      </c>
      <c r="S34" s="3"/>
      <c r="T34" s="75"/>
      <c r="U34" s="52"/>
      <c r="W34" s="3"/>
      <c r="X34" s="75"/>
      <c r="Y34" s="52"/>
      <c r="AA34" s="3"/>
      <c r="AB34" s="75"/>
      <c r="AI34" s="3"/>
      <c r="AJ34" s="81"/>
      <c r="AK34" s="52"/>
      <c r="AM34" s="3"/>
      <c r="AN34" s="81"/>
    </row>
    <row r="35" spans="1:40">
      <c r="A35" s="413"/>
      <c r="B35" s="66" t="s">
        <v>122</v>
      </c>
      <c r="C35" s="55">
        <v>45290</v>
      </c>
      <c r="D35" s="63">
        <v>45290</v>
      </c>
      <c r="E35" s="56">
        <v>109</v>
      </c>
      <c r="F35" s="55">
        <v>45318</v>
      </c>
      <c r="G35" s="63">
        <v>45318</v>
      </c>
      <c r="H35" s="56">
        <v>98</v>
      </c>
      <c r="I35" s="55" t="s">
        <v>38</v>
      </c>
      <c r="J35" s="63" t="s">
        <v>38</v>
      </c>
      <c r="K35" s="56" t="e">
        <v>#N/A</v>
      </c>
      <c r="N35" s="160">
        <f>IF(N34="","",IF(MONTH(N34)&lt;MONTH(N34+1),"",IF(N34&lt;&gt;"",N34+1,IF(TEXT(followers!$H$1,"aaa")=$B34,followers!$H$1,""))))</f>
        <v>45563</v>
      </c>
      <c r="O35" s="161">
        <f>IF(O34="","",IF(MONTH(O34)&lt;MONTH(O34+1),"",IF(O34&lt;&gt;"",O34+1,IF(TEXT(followers!$H$1,"aaa")=$B35,followers!$H$1,""))))</f>
        <v>45563</v>
      </c>
      <c r="P35" s="116" cm="1">
        <f t="array" ref="P35">IFERROR(INDEX(visitors!$A$1:$Y$32,DAY(N35)+1,MATCH($N$2,visitors!$1:$1,0)),NA())</f>
        <v>78</v>
      </c>
      <c r="S35" s="3"/>
      <c r="T35" s="75"/>
      <c r="U35" s="52"/>
      <c r="W35" s="3"/>
      <c r="X35" s="75"/>
      <c r="Y35" s="52"/>
      <c r="AA35" s="3"/>
      <c r="AB35" s="75"/>
      <c r="AI35" s="3"/>
      <c r="AJ35" s="81"/>
      <c r="AK35" s="52"/>
      <c r="AM35" s="3"/>
      <c r="AN35" s="81"/>
    </row>
    <row r="36" spans="1:40" ht="17.25" thickBot="1">
      <c r="A36" s="414"/>
      <c r="B36" s="67" t="s">
        <v>124</v>
      </c>
      <c r="C36" s="57">
        <v>45291</v>
      </c>
      <c r="D36" s="64">
        <v>45291</v>
      </c>
      <c r="E36" s="58">
        <v>158</v>
      </c>
      <c r="F36" s="57">
        <v>45319</v>
      </c>
      <c r="G36" s="64">
        <v>45319</v>
      </c>
      <c r="H36" s="58">
        <v>93</v>
      </c>
      <c r="I36" s="57" t="s">
        <v>38</v>
      </c>
      <c r="J36" s="64" t="s">
        <v>38</v>
      </c>
      <c r="K36" s="58" t="e">
        <v>#N/A</v>
      </c>
      <c r="N36" s="162">
        <f>IF(N35="","",IF(MONTH(N35)&lt;MONTH(N35+1),"",IF(N35&lt;&gt;"",N35+1,IF(TEXT(followers!$H$1,"aaa")=$B35,followers!$H$1,""))))</f>
        <v>45564</v>
      </c>
      <c r="O36" s="163">
        <f>IF(O35="","",IF(MONTH(O35)&lt;MONTH(O35+1),"",IF(O35&lt;&gt;"",O35+1,IF(TEXT(followers!$H$1,"aaa")=$B36,followers!$H$1,""))))</f>
        <v>45564</v>
      </c>
      <c r="P36" s="151" cm="1">
        <f t="array" ref="P36">IFERROR(INDEX(visitors!$A$1:$Y$32,DAY(N36)+1,MATCH($N$2,visitors!$1:$1,0)),NA())</f>
        <v>176</v>
      </c>
      <c r="S36" s="3"/>
      <c r="T36" s="75"/>
      <c r="U36" s="52"/>
      <c r="W36" s="3"/>
      <c r="X36" s="75"/>
      <c r="Y36" s="52"/>
      <c r="AA36" s="3"/>
      <c r="AB36" s="75"/>
      <c r="AI36" s="3"/>
      <c r="AJ36" s="81"/>
      <c r="AK36" s="52"/>
      <c r="AM36" s="3"/>
      <c r="AN36" s="81"/>
    </row>
    <row r="37" spans="1:40">
      <c r="A37" s="412" t="s">
        <v>133</v>
      </c>
      <c r="B37" s="73" t="s">
        <v>119</v>
      </c>
      <c r="C37" s="53"/>
      <c r="D37" s="74"/>
      <c r="E37" s="54"/>
      <c r="F37" s="53">
        <v>45320</v>
      </c>
      <c r="G37" s="74">
        <v>45320</v>
      </c>
      <c r="H37" s="54">
        <v>143</v>
      </c>
      <c r="I37" s="53" t="s">
        <v>38</v>
      </c>
      <c r="J37" s="74" t="s">
        <v>38</v>
      </c>
      <c r="K37" s="54" t="e">
        <v>#N/A</v>
      </c>
      <c r="N37" s="158">
        <f>IF(N36="","",IF(MONTH(N36)&lt;MONTH(N36+1),"",IF(N36&lt;&gt;"",N36+1,IF(TEXT(followers!$H$1,"aaa")=$B36,followers!$H$1,""))))</f>
        <v>45565</v>
      </c>
      <c r="O37" s="159">
        <f>IF(O36="","",IF(MONTH(O36)&lt;MONTH(O36+1),"",IF(O36&lt;&gt;"",O36+1,IF(TEXT(followers!$H$1,"aaa")=$B37,followers!$H$1,""))))</f>
        <v>45565</v>
      </c>
      <c r="P37" s="150" cm="1">
        <f t="array" ref="P37">IFERROR(INDEX(visitors!$A$1:$Y$32,DAY(N37)+1,MATCH($N$2,visitors!$1:$1,0)),NA())</f>
        <v>134</v>
      </c>
      <c r="S37" s="3"/>
      <c r="T37" s="75"/>
      <c r="U37" s="52"/>
      <c r="W37" s="3"/>
      <c r="X37" s="75"/>
      <c r="Y37" s="52"/>
      <c r="AA37" s="3"/>
      <c r="AB37" s="75"/>
      <c r="AI37" s="3"/>
      <c r="AJ37" s="81"/>
      <c r="AK37" s="52"/>
      <c r="AM37" s="3"/>
      <c r="AN37" s="81"/>
    </row>
    <row r="38" spans="1:40">
      <c r="A38" s="413"/>
      <c r="B38" s="66" t="s">
        <v>116</v>
      </c>
      <c r="C38" s="55"/>
      <c r="D38" s="63"/>
      <c r="E38" s="56"/>
      <c r="F38" s="55">
        <v>45321</v>
      </c>
      <c r="G38" s="63">
        <v>45321</v>
      </c>
      <c r="H38" s="56">
        <v>141</v>
      </c>
      <c r="I38" s="55" t="s">
        <v>38</v>
      </c>
      <c r="J38" s="63" t="s">
        <v>38</v>
      </c>
      <c r="K38" s="56" t="e">
        <v>#N/A</v>
      </c>
      <c r="N38" s="160" t="str">
        <f>IF(N37="","",IF(MONTH(N37)&lt;MONTH(N37+1),"",IF(N37&lt;&gt;"",N37+1,IF(TEXT(followers!$H$1,"aaa")=$B37,followers!$H$1,""))))</f>
        <v/>
      </c>
      <c r="O38" s="161" t="str">
        <f>IF(O37="","",IF(MONTH(O37)&lt;MONTH(O37+1),"",IF(O37&lt;&gt;"",O37+1,IF(TEXT(followers!$H$1,"aaa")=$B38,followers!$H$1,""))))</f>
        <v/>
      </c>
      <c r="P38" s="116" t="e" cm="1">
        <f t="array" ref="P38">IFERROR(INDEX(visitors!$A$1:$Y$32,DAY(N38)+1,MATCH($N$2,visitors!$1:$1,0)),NA())</f>
        <v>#N/A</v>
      </c>
      <c r="S38" s="3"/>
      <c r="T38" s="75"/>
      <c r="U38" s="52"/>
      <c r="W38" s="3"/>
      <c r="X38" s="75"/>
      <c r="Y38" s="52"/>
      <c r="AA38" s="3"/>
      <c r="AB38" s="75"/>
      <c r="AI38" s="3"/>
      <c r="AJ38" s="81"/>
      <c r="AK38" s="52"/>
      <c r="AM38" s="3"/>
      <c r="AN38" s="81"/>
    </row>
    <row r="39" spans="1:40">
      <c r="A39" s="413"/>
      <c r="B39" s="66" t="s">
        <v>118</v>
      </c>
      <c r="C39" s="55"/>
      <c r="D39" s="63"/>
      <c r="E39" s="56"/>
      <c r="F39" s="55">
        <v>45322</v>
      </c>
      <c r="G39" s="63">
        <v>45322</v>
      </c>
      <c r="H39" s="56">
        <v>139</v>
      </c>
      <c r="I39" s="55" t="s">
        <v>38</v>
      </c>
      <c r="J39" s="63" t="s">
        <v>38</v>
      </c>
      <c r="K39" s="56" t="e">
        <v>#N/A</v>
      </c>
      <c r="N39" s="160" t="str">
        <f>IF(N38="","",IF(MONTH(N38)&lt;MONTH(N38+1),"",IF(N38&lt;&gt;"",N38+1,IF(TEXT(followers!$H$1,"aaa")=$B38,followers!$H$1,""))))</f>
        <v/>
      </c>
      <c r="O39" s="161" t="str">
        <f>IF(O38="","",IF(MONTH(O38)&lt;MONTH(O38+1),"",IF(O38&lt;&gt;"",O38+1,IF(TEXT(followers!$H$1,"aaa")=$B39,followers!$H$1,""))))</f>
        <v/>
      </c>
      <c r="P39" s="116" t="e" cm="1">
        <f t="array" ref="P39">IFERROR(INDEX(visitors!$A$1:$Y$32,DAY(N39)+1,MATCH($N$2,visitors!$1:$1,0)),NA())</f>
        <v>#N/A</v>
      </c>
      <c r="S39" s="3"/>
      <c r="T39" s="75"/>
      <c r="U39" s="52"/>
      <c r="W39" s="3"/>
      <c r="X39" s="75"/>
      <c r="Y39" s="52"/>
      <c r="AA39" s="3"/>
      <c r="AB39" s="75"/>
      <c r="AI39" s="3"/>
      <c r="AJ39" s="81"/>
      <c r="AK39" s="52"/>
      <c r="AM39" s="3"/>
      <c r="AN39" s="81"/>
    </row>
    <row r="40" spans="1:40">
      <c r="A40" s="413"/>
      <c r="B40" s="66" t="s">
        <v>115</v>
      </c>
      <c r="C40" s="55"/>
      <c r="D40" s="63"/>
      <c r="E40" s="56"/>
      <c r="F40" s="55"/>
      <c r="G40" s="63"/>
      <c r="H40" s="56"/>
      <c r="I40" s="55" t="s">
        <v>38</v>
      </c>
      <c r="J40" s="63" t="s">
        <v>38</v>
      </c>
      <c r="K40" s="56" t="e">
        <v>#N/A</v>
      </c>
      <c r="N40" s="160" t="str">
        <f>IF(N39="","",IF(MONTH(N39)&lt;MONTH(N39+1),"",IF(N39&lt;&gt;"",N39+1,IF(TEXT(followers!$H$1,"aaa")=$B39,followers!$H$1,""))))</f>
        <v/>
      </c>
      <c r="O40" s="161" t="str">
        <f>IF(O39="","",IF(MONTH(O39)&lt;MONTH(O39+1),"",IF(O39&lt;&gt;"",O39+1,IF(TEXT(followers!$H$1,"aaa")=$B40,followers!$H$1,""))))</f>
        <v/>
      </c>
      <c r="P40" s="116" t="e" cm="1">
        <f t="array" ref="P40">IFERROR(INDEX(visitors!$A$1:$Y$32,DAY(N40)+1,MATCH($N$2,visitors!$1:$1,0)),NA())</f>
        <v>#N/A</v>
      </c>
      <c r="S40" s="3"/>
      <c r="T40" s="75"/>
      <c r="U40" s="52"/>
      <c r="W40" s="3"/>
      <c r="X40" s="75"/>
      <c r="Y40" s="52"/>
      <c r="AA40" s="3"/>
      <c r="AB40" s="75"/>
      <c r="AI40" s="3"/>
      <c r="AJ40" s="81"/>
      <c r="AK40" s="52"/>
    </row>
    <row r="41" spans="1:40" ht="17.25" thickBot="1">
      <c r="A41" s="414"/>
      <c r="B41" s="67" t="s">
        <v>117</v>
      </c>
      <c r="C41" s="57"/>
      <c r="D41" s="64"/>
      <c r="E41" s="58"/>
      <c r="F41" s="57"/>
      <c r="G41" s="64"/>
      <c r="H41" s="58"/>
      <c r="I41" s="57" t="s">
        <v>38</v>
      </c>
      <c r="J41" s="64" t="s">
        <v>38</v>
      </c>
      <c r="K41" s="58" t="e">
        <v>#N/A</v>
      </c>
      <c r="N41" s="162" t="str">
        <f>IF(N40="","",IF(MONTH(N40)&lt;MONTH(N40+1),"",IF(N40&lt;&gt;"",N40+1,IF(TEXT(followers!$H$1,"aaa")=$B40,followers!$H$1,""))))</f>
        <v/>
      </c>
      <c r="O41" s="163" t="str">
        <f>IF(O40="","",IF(MONTH(O40)&lt;MONTH(O40+1),"",IF(O40&lt;&gt;"",O40+1,IF(TEXT(followers!$H$1,"aaa")=$B41,followers!$H$1,""))))</f>
        <v/>
      </c>
      <c r="P41" s="151" t="e" cm="1">
        <f t="array" ref="P41">IFERROR(INDEX(visitors!$A$1:$Y$32,DAY(N41)+1,MATCH($N$2,visitors!$1:$1,0)),NA())</f>
        <v>#N/A</v>
      </c>
      <c r="S41" s="3"/>
      <c r="T41" s="75"/>
      <c r="U41" s="52"/>
      <c r="W41" s="3"/>
      <c r="X41" s="75"/>
      <c r="Y41" s="52"/>
      <c r="AA41" s="3"/>
      <c r="AB41" s="75"/>
    </row>
    <row r="44" spans="1:40">
      <c r="A44" s="82" t="s">
        <v>141</v>
      </c>
    </row>
    <row r="45" spans="1:40">
      <c r="A45" s="82" t="s">
        <v>141</v>
      </c>
    </row>
    <row r="46" spans="1:40">
      <c r="A46" s="82" t="s">
        <v>141</v>
      </c>
    </row>
    <row r="47" spans="1:40">
      <c r="A47" s="82" t="s">
        <v>141</v>
      </c>
    </row>
    <row r="48" spans="1:40">
      <c r="A48" s="82" t="s">
        <v>141</v>
      </c>
    </row>
  </sheetData>
  <mergeCells count="10">
    <mergeCell ref="N3:P3"/>
    <mergeCell ref="A30:A36"/>
    <mergeCell ref="A37:A41"/>
    <mergeCell ref="C3:E3"/>
    <mergeCell ref="F3:H3"/>
    <mergeCell ref="I3:K3"/>
    <mergeCell ref="A5:A8"/>
    <mergeCell ref="A9:A15"/>
    <mergeCell ref="A16:A22"/>
    <mergeCell ref="A23:A29"/>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BB0-4BD2-422D-94EC-19D73EACAED2}">
  <sheetPr codeName="Sheet5">
    <tabColor theme="9" tint="0.79998168889431442"/>
  </sheetPr>
  <dimension ref="A1:AB48"/>
  <sheetViews>
    <sheetView zoomScale="85" zoomScaleNormal="85" workbookViewId="0">
      <selection activeCell="T10" sqref="T10"/>
    </sheetView>
  </sheetViews>
  <sheetFormatPr defaultRowHeight="16.5"/>
  <cols>
    <col min="3" max="3" width="11.125" customWidth="1"/>
    <col min="4" max="4" width="5.75" style="52" customWidth="1"/>
    <col min="6" max="6" width="11.125" customWidth="1"/>
    <col min="7" max="7" width="5.75" style="52" customWidth="1"/>
    <col min="9" max="9" width="11.125" customWidth="1"/>
    <col min="10" max="10" width="5.75" style="52"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82" t="s">
        <v>141</v>
      </c>
    </row>
    <row r="2" spans="1:28" ht="17.25" thickBot="1">
      <c r="A2" s="82"/>
      <c r="N2" t="s">
        <v>199</v>
      </c>
    </row>
    <row r="3" spans="1:28" ht="17.25" thickBot="1">
      <c r="A3" s="80"/>
      <c r="B3" s="79"/>
      <c r="C3" s="415" t="s">
        <v>128</v>
      </c>
      <c r="D3" s="416"/>
      <c r="E3" s="417"/>
      <c r="F3" s="418" t="s">
        <v>127</v>
      </c>
      <c r="G3" s="416"/>
      <c r="H3" s="417"/>
      <c r="I3" s="418" t="s">
        <v>197</v>
      </c>
      <c r="J3" s="416"/>
      <c r="K3" s="419"/>
      <c r="N3" s="409" t="s">
        <v>198</v>
      </c>
      <c r="O3" s="410"/>
      <c r="P3" s="411"/>
    </row>
    <row r="4" spans="1:28" ht="17.25" thickBot="1">
      <c r="A4" s="68" t="s">
        <v>140</v>
      </c>
      <c r="B4" s="78" t="s">
        <v>137</v>
      </c>
      <c r="C4" s="76" t="s">
        <v>134</v>
      </c>
      <c r="D4" s="59" t="s">
        <v>136</v>
      </c>
      <c r="E4" s="77" t="s">
        <v>138</v>
      </c>
      <c r="F4" s="76" t="s">
        <v>134</v>
      </c>
      <c r="G4" s="59" t="s">
        <v>136</v>
      </c>
      <c r="H4" s="58" t="s">
        <v>138</v>
      </c>
      <c r="I4" s="76" t="s">
        <v>134</v>
      </c>
      <c r="J4" s="59" t="s">
        <v>136</v>
      </c>
      <c r="K4" s="58" t="s">
        <v>138</v>
      </c>
      <c r="M4" s="52"/>
      <c r="N4" s="97" t="s">
        <v>135</v>
      </c>
      <c r="O4" s="98" t="s">
        <v>137</v>
      </c>
      <c r="P4" s="151" t="s">
        <v>139</v>
      </c>
    </row>
    <row r="5" spans="1:28">
      <c r="A5" s="413"/>
      <c r="B5" s="65" t="s">
        <v>120</v>
      </c>
      <c r="C5" s="60"/>
      <c r="D5" s="62"/>
      <c r="E5" s="61"/>
      <c r="F5" s="60"/>
      <c r="G5" s="62"/>
      <c r="H5" s="61"/>
      <c r="I5" s="60">
        <v>45323</v>
      </c>
      <c r="J5" s="62">
        <v>45323</v>
      </c>
      <c r="K5" s="61">
        <v>290</v>
      </c>
      <c r="N5" s="152" t="str">
        <f>IF(TEXT(followers!$H$1,"aaa")=$B5,followers!$H$1,"")</f>
        <v/>
      </c>
      <c r="O5" s="153" t="str">
        <f>IF(TEXT(followers!$H$1,"aaa")=$B5,followers!H1,"")</f>
        <v/>
      </c>
      <c r="P5" s="154" t="e" cm="1">
        <f t="array" ref="P5">IFERROR(INDEX(visitors!$A$1:$Y$32,DAY(N5)+1,MATCH($N$2,visitors!$1:$1,0)),NA())</f>
        <v>#N/A</v>
      </c>
    </row>
    <row r="6" spans="1:28">
      <c r="A6" s="413"/>
      <c r="B6" s="66" t="s">
        <v>121</v>
      </c>
      <c r="C6" s="60">
        <v>45261</v>
      </c>
      <c r="D6" s="62">
        <v>45261</v>
      </c>
      <c r="E6" s="61">
        <v>261</v>
      </c>
      <c r="F6" s="60"/>
      <c r="G6" s="62"/>
      <c r="H6" s="61"/>
      <c r="I6" s="60">
        <v>45324</v>
      </c>
      <c r="J6" s="62">
        <v>45324</v>
      </c>
      <c r="K6" s="61">
        <v>240</v>
      </c>
      <c r="N6" s="152" t="str">
        <f>IF(N5&lt;&gt;"",N5+1,IF(TEXT(followers!$H$1,"aaa")=$B6,followers!$H$1,""))</f>
        <v/>
      </c>
      <c r="O6" s="153" t="str">
        <f>IF(O5&lt;&gt;"",O5+1,IF(TEXT(followers!$H$1,"aaa")=$B6,followers!$H$1,""))</f>
        <v/>
      </c>
      <c r="P6" s="154" t="e" cm="1">
        <f t="array" ref="P6">IFERROR(INDEX(visitors!$A$1:$Y$32,DAY(N6)+1,MATCH($N$2,visitors!$1:$1,0)),NA())</f>
        <v>#N/A</v>
      </c>
    </row>
    <row r="7" spans="1:28">
      <c r="A7" s="413"/>
      <c r="B7" s="66" t="s">
        <v>123</v>
      </c>
      <c r="C7" s="60">
        <v>45262</v>
      </c>
      <c r="D7" s="62">
        <v>45262</v>
      </c>
      <c r="E7" s="61">
        <v>67</v>
      </c>
      <c r="F7" s="60"/>
      <c r="G7" s="62"/>
      <c r="H7" s="61"/>
      <c r="I7" s="60">
        <v>45325</v>
      </c>
      <c r="J7" s="62">
        <v>45325</v>
      </c>
      <c r="K7" s="61">
        <v>49</v>
      </c>
      <c r="N7" s="152" t="str">
        <f>IF(N6&lt;&gt;"",N6+1,IF(TEXT(followers!$H$1,"aaa")=$B7,followers!$H$1,""))</f>
        <v/>
      </c>
      <c r="O7" s="153" t="str">
        <f>IF(O6&lt;&gt;"",O6+1,IF(TEXT(followers!$H$1,"aaa")=$B7,followers!$H$1,""))</f>
        <v/>
      </c>
      <c r="P7" s="154" t="e" cm="1">
        <f t="array" ref="P7">IFERROR(INDEX(visitors!$A$1:$Y$32,DAY(N7)+1,MATCH($N$2,visitors!$1:$1,0)),NA())</f>
        <v>#N/A</v>
      </c>
    </row>
    <row r="8" spans="1:28" ht="17.25" thickBot="1">
      <c r="A8" s="413"/>
      <c r="B8" s="69" t="s">
        <v>125</v>
      </c>
      <c r="C8" s="70">
        <v>45263</v>
      </c>
      <c r="D8" s="71">
        <v>45263</v>
      </c>
      <c r="E8" s="72">
        <v>89</v>
      </c>
      <c r="F8" s="70"/>
      <c r="G8" s="71"/>
      <c r="H8" s="72"/>
      <c r="I8" s="70">
        <v>45326</v>
      </c>
      <c r="J8" s="71">
        <v>45326</v>
      </c>
      <c r="K8" s="72">
        <v>74</v>
      </c>
      <c r="N8" s="155">
        <f>IF(N7&lt;&gt;"",N7+1,IF(TEXT(followers!$H$1,"aaa")=$B8,followers!$H$1,""))</f>
        <v>45536</v>
      </c>
      <c r="O8" s="156">
        <f>IF(O7&lt;&gt;"",O7+1,IF(TEXT(followers!$H$1,"aaa")=$B8,followers!$H$1,""))</f>
        <v>45536</v>
      </c>
      <c r="P8" s="157" cm="1">
        <f t="array" ref="P8">IFERROR(INDEX(visitors!$A$1:$Y$32,DAY(N8)+1,MATCH($N$2,visitors!$1:$1,0)),NA())</f>
        <v>102</v>
      </c>
    </row>
    <row r="9" spans="1:28">
      <c r="A9" s="412" t="s">
        <v>129</v>
      </c>
      <c r="B9" s="73" t="s">
        <v>119</v>
      </c>
      <c r="C9" s="53">
        <v>45264</v>
      </c>
      <c r="D9" s="74">
        <v>45264</v>
      </c>
      <c r="E9" s="54">
        <v>256</v>
      </c>
      <c r="F9" s="53">
        <v>45292</v>
      </c>
      <c r="G9" s="74">
        <v>45292</v>
      </c>
      <c r="H9" s="54">
        <v>62</v>
      </c>
      <c r="I9" s="53">
        <v>45327</v>
      </c>
      <c r="J9" s="74">
        <v>45327</v>
      </c>
      <c r="K9" s="54">
        <v>259</v>
      </c>
      <c r="N9" s="158">
        <f>IF(N8&lt;&gt;"",N8+1,IF(TEXT(followers!$H$1,"aaa")=$B9,followers!$H$1,""))</f>
        <v>45537</v>
      </c>
      <c r="O9" s="159">
        <f>IF(O8&lt;&gt;"",O8+1,IF(TEXT(followers!$H$1,"aaa")=$B9,followers!$H$1,""))</f>
        <v>45537</v>
      </c>
      <c r="P9" s="150" cm="1">
        <f t="array" ref="P9">IFERROR(INDEX(visitors!$A$1:$Y$32,DAY(N9)+1,MATCH($N$2,visitors!$1:$1,0)),NA())</f>
        <v>313</v>
      </c>
    </row>
    <row r="10" spans="1:28">
      <c r="A10" s="413"/>
      <c r="B10" s="66" t="s">
        <v>116</v>
      </c>
      <c r="C10" s="55">
        <v>45265</v>
      </c>
      <c r="D10" s="63">
        <v>45265</v>
      </c>
      <c r="E10" s="56">
        <v>228</v>
      </c>
      <c r="F10" s="55">
        <v>45293</v>
      </c>
      <c r="G10" s="63">
        <v>45293</v>
      </c>
      <c r="H10" s="56">
        <v>191</v>
      </c>
      <c r="I10" s="55">
        <v>45328</v>
      </c>
      <c r="J10" s="63">
        <v>45328</v>
      </c>
      <c r="K10" s="56">
        <v>290</v>
      </c>
      <c r="N10" s="160">
        <f>IF(N9&lt;&gt;"",N9+1,IF(TEXT(followers!$H$1,"aaa")=$B10,followers!$H$1,""))</f>
        <v>45538</v>
      </c>
      <c r="O10" s="161">
        <f>IF(O9&lt;&gt;"",O9+1,IF(TEXT(followers!$H$1,"aaa")=$B10,followers!$H$1,""))</f>
        <v>45538</v>
      </c>
      <c r="P10" s="116" cm="1">
        <f t="array" ref="P10">IFERROR(INDEX(visitors!$A$1:$Y$32,DAY(N10)+1,MATCH($N$2,visitors!$1:$1,0)),NA())</f>
        <v>480</v>
      </c>
    </row>
    <row r="11" spans="1:28">
      <c r="A11" s="413"/>
      <c r="B11" s="66" t="s">
        <v>118</v>
      </c>
      <c r="C11" s="55">
        <v>45266</v>
      </c>
      <c r="D11" s="63">
        <v>45266</v>
      </c>
      <c r="E11" s="56">
        <v>142</v>
      </c>
      <c r="F11" s="55">
        <v>45294</v>
      </c>
      <c r="G11" s="63">
        <v>45294</v>
      </c>
      <c r="H11" s="56">
        <v>314</v>
      </c>
      <c r="I11" s="55">
        <v>45329</v>
      </c>
      <c r="J11" s="63">
        <v>45329</v>
      </c>
      <c r="K11" s="56">
        <v>405</v>
      </c>
      <c r="N11" s="160">
        <f>IF(N10&lt;&gt;"",N10+1,IF(TEXT(followers!$H$1,"aaa")=$B11,followers!$H$1,""))</f>
        <v>45539</v>
      </c>
      <c r="O11" s="161">
        <f>IF(O10&lt;&gt;"",O10+1,IF(TEXT(followers!$H$1,"aaa")=$B11,followers!$H$1,""))</f>
        <v>45539</v>
      </c>
      <c r="P11" s="116" cm="1">
        <f t="array" ref="P11">IFERROR(INDEX(visitors!$A$1:$Y$32,DAY(N11)+1,MATCH($N$2,visitors!$1:$1,0)),NA())</f>
        <v>422</v>
      </c>
    </row>
    <row r="12" spans="1:28">
      <c r="A12" s="413"/>
      <c r="B12" s="66" t="s">
        <v>120</v>
      </c>
      <c r="C12" s="55">
        <v>45267</v>
      </c>
      <c r="D12" s="63">
        <v>45267</v>
      </c>
      <c r="E12" s="56">
        <v>250</v>
      </c>
      <c r="F12" s="55">
        <v>45295</v>
      </c>
      <c r="G12" s="63">
        <v>45295</v>
      </c>
      <c r="H12" s="56">
        <v>264</v>
      </c>
      <c r="I12" s="55">
        <v>45330</v>
      </c>
      <c r="J12" s="63">
        <v>45330</v>
      </c>
      <c r="K12" s="56">
        <v>277</v>
      </c>
      <c r="N12" s="160">
        <f>IF(N11&lt;&gt;"",N11+1,IF(TEXT(followers!$H$1,"aaa")=$B12,followers!$H$1,""))</f>
        <v>45540</v>
      </c>
      <c r="O12" s="161">
        <f>IF(O11&lt;&gt;"",O11+1,IF(TEXT(followers!$H$1,"aaa")=$B12,followers!$H$1,""))</f>
        <v>45540</v>
      </c>
      <c r="P12" s="116" cm="1">
        <f t="array" ref="P12">IFERROR(INDEX(visitors!$A$1:$Y$32,DAY(N12)+1,MATCH($N$2,visitors!$1:$1,0)),NA())</f>
        <v>382</v>
      </c>
    </row>
    <row r="13" spans="1:28">
      <c r="A13" s="413"/>
      <c r="B13" s="66" t="s">
        <v>121</v>
      </c>
      <c r="C13" s="55">
        <v>45268</v>
      </c>
      <c r="D13" s="63">
        <v>45268</v>
      </c>
      <c r="E13" s="56">
        <v>219</v>
      </c>
      <c r="F13" s="55">
        <v>45296</v>
      </c>
      <c r="G13" s="63">
        <v>45296</v>
      </c>
      <c r="H13" s="56">
        <v>168</v>
      </c>
      <c r="I13" s="55">
        <v>45331</v>
      </c>
      <c r="J13" s="63">
        <v>45331</v>
      </c>
      <c r="K13" s="56">
        <v>179</v>
      </c>
      <c r="N13" s="160">
        <f>IF(N12&lt;&gt;"",N12+1,IF(TEXT(followers!$H$1,"aaa")=$B13,followers!$H$1,""))</f>
        <v>45541</v>
      </c>
      <c r="O13" s="161">
        <f>IF(O12&lt;&gt;"",O12+1,IF(TEXT(followers!$H$1,"aaa")=$B13,followers!$H$1,""))</f>
        <v>45541</v>
      </c>
      <c r="P13" s="116" cm="1">
        <f t="array" ref="P13">IFERROR(INDEX(visitors!$A$1:$Y$32,DAY(N13)+1,MATCH($N$2,visitors!$1:$1,0)),NA())</f>
        <v>316</v>
      </c>
      <c r="S13" s="3"/>
      <c r="T13" s="75"/>
      <c r="U13" s="52"/>
      <c r="W13" s="3"/>
      <c r="X13" s="75"/>
      <c r="Y13" s="52"/>
      <c r="AA13" s="3"/>
      <c r="AB13" s="75"/>
    </row>
    <row r="14" spans="1:28">
      <c r="A14" s="413"/>
      <c r="B14" s="66" t="s">
        <v>123</v>
      </c>
      <c r="C14" s="55">
        <v>45269</v>
      </c>
      <c r="D14" s="63">
        <v>45269</v>
      </c>
      <c r="E14" s="56">
        <v>75</v>
      </c>
      <c r="F14" s="55">
        <v>45297</v>
      </c>
      <c r="G14" s="63">
        <v>45297</v>
      </c>
      <c r="H14" s="56">
        <v>62</v>
      </c>
      <c r="I14" s="55">
        <v>45332</v>
      </c>
      <c r="J14" s="63">
        <v>45332</v>
      </c>
      <c r="K14" s="56">
        <v>73</v>
      </c>
      <c r="N14" s="160">
        <f>IF(N13&lt;&gt;"",N13+1,IF(TEXT(followers!$H$1,"aaa")=$B14,followers!$H$1,""))</f>
        <v>45542</v>
      </c>
      <c r="O14" s="161">
        <f>IF(O13&lt;&gt;"",O13+1,IF(TEXT(followers!$H$1,"aaa")=$B14,followers!$H$1,""))</f>
        <v>45542</v>
      </c>
      <c r="P14" s="116" cm="1">
        <f t="array" ref="P14">IFERROR(INDEX(visitors!$A$1:$Y$32,DAY(N14)+1,MATCH($N$2,visitors!$1:$1,0)),NA())</f>
        <v>165</v>
      </c>
      <c r="S14" s="3"/>
      <c r="T14" s="75"/>
      <c r="U14" s="52"/>
      <c r="W14" s="3"/>
      <c r="X14" s="75"/>
      <c r="Y14" s="52"/>
      <c r="AA14" s="3"/>
      <c r="AB14" s="75"/>
    </row>
    <row r="15" spans="1:28" ht="17.25" thickBot="1">
      <c r="A15" s="414"/>
      <c r="B15" s="67" t="s">
        <v>125</v>
      </c>
      <c r="C15" s="57">
        <v>45270</v>
      </c>
      <c r="D15" s="64">
        <v>45270</v>
      </c>
      <c r="E15" s="58">
        <v>51</v>
      </c>
      <c r="F15" s="57">
        <v>45298</v>
      </c>
      <c r="G15" s="64">
        <v>45298</v>
      </c>
      <c r="H15" s="58">
        <v>85</v>
      </c>
      <c r="I15" s="57">
        <v>45333</v>
      </c>
      <c r="J15" s="64">
        <v>45333</v>
      </c>
      <c r="K15" s="58">
        <v>71</v>
      </c>
      <c r="N15" s="162">
        <f>IF(N14&lt;&gt;"",N14+1,IF(TEXT(followers!$H$1,"aaa")=$B15,followers!$H$1,""))</f>
        <v>45543</v>
      </c>
      <c r="O15" s="163">
        <f>IF(O14&lt;&gt;"",O14+1,IF(TEXT(followers!$H$1,"aaa")=$B15,followers!$H$1,""))</f>
        <v>45543</v>
      </c>
      <c r="P15" s="151" cm="1">
        <f t="array" ref="P15">IFERROR(INDEX(visitors!$A$1:$Y$32,DAY(N15)+1,MATCH($N$2,visitors!$1:$1,0)),NA())</f>
        <v>134</v>
      </c>
      <c r="S15" s="3"/>
      <c r="T15" s="75"/>
      <c r="U15" s="52"/>
      <c r="W15" s="3"/>
      <c r="X15" s="75"/>
      <c r="Y15" s="52"/>
      <c r="AA15" s="3"/>
      <c r="AB15" s="75"/>
    </row>
    <row r="16" spans="1:28">
      <c r="A16" s="412" t="s">
        <v>131</v>
      </c>
      <c r="B16" s="73" t="s">
        <v>4</v>
      </c>
      <c r="C16" s="53">
        <v>45271</v>
      </c>
      <c r="D16" s="74">
        <v>45271</v>
      </c>
      <c r="E16" s="54">
        <v>215</v>
      </c>
      <c r="F16" s="53">
        <v>45299</v>
      </c>
      <c r="G16" s="74">
        <v>45299</v>
      </c>
      <c r="H16" s="54">
        <v>244</v>
      </c>
      <c r="I16" s="53">
        <v>45334</v>
      </c>
      <c r="J16" s="74">
        <v>45334</v>
      </c>
      <c r="K16" s="54">
        <v>189</v>
      </c>
      <c r="N16" s="158">
        <f>IF(N15&lt;&gt;"",N15+1,IF(TEXT(followers!$H$1,"aaa")=$B16,followers!$H$1,""))</f>
        <v>45544</v>
      </c>
      <c r="O16" s="159">
        <f>IF(O15&lt;&gt;"",O15+1,IF(TEXT(followers!$H$1,"aaa")=$B16,followers!$H$1,""))</f>
        <v>45544</v>
      </c>
      <c r="P16" s="150" cm="1">
        <f t="array" ref="P16">IFERROR(INDEX(visitors!$A$1:$Y$32,DAY(N16)+1,MATCH($N$2,visitors!$1:$1,0)),NA())</f>
        <v>458</v>
      </c>
      <c r="S16" s="3"/>
      <c r="T16" s="75"/>
      <c r="U16" s="52"/>
      <c r="W16" s="3"/>
      <c r="X16" s="75"/>
      <c r="Y16" s="52"/>
      <c r="AA16" s="3"/>
      <c r="AB16" s="75"/>
    </row>
    <row r="17" spans="1:28">
      <c r="A17" s="413"/>
      <c r="B17" s="66" t="s">
        <v>126</v>
      </c>
      <c r="C17" s="55">
        <v>45272</v>
      </c>
      <c r="D17" s="63">
        <v>45272</v>
      </c>
      <c r="E17" s="56">
        <v>271</v>
      </c>
      <c r="F17" s="55">
        <v>45300</v>
      </c>
      <c r="G17" s="63">
        <v>45300</v>
      </c>
      <c r="H17" s="56">
        <v>365</v>
      </c>
      <c r="I17" s="55">
        <v>45335</v>
      </c>
      <c r="J17" s="63">
        <v>45335</v>
      </c>
      <c r="K17" s="56">
        <v>311</v>
      </c>
      <c r="N17" s="160">
        <f>IF(N16&lt;&gt;"",N16+1,IF(TEXT(followers!$H$1,"aaa")=$B17,followers!$H$1,""))</f>
        <v>45545</v>
      </c>
      <c r="O17" s="161">
        <f>IF(O16&lt;&gt;"",O16+1,IF(TEXT(followers!$H$1,"aaa")=$B17,followers!$H$1,""))</f>
        <v>45545</v>
      </c>
      <c r="P17" s="116" cm="1">
        <f t="array" ref="P17">IFERROR(INDEX(visitors!$A$1:$Y$32,DAY(N17)+1,MATCH($N$2,visitors!$1:$1,0)),NA())</f>
        <v>420</v>
      </c>
      <c r="S17" s="3"/>
      <c r="T17" s="75"/>
      <c r="U17" s="52"/>
      <c r="W17" s="3"/>
      <c r="X17" s="75"/>
      <c r="Y17" s="52"/>
      <c r="AA17" s="3"/>
      <c r="AB17" s="75"/>
    </row>
    <row r="18" spans="1:28">
      <c r="A18" s="413"/>
      <c r="B18" s="66" t="s">
        <v>118</v>
      </c>
      <c r="C18" s="55">
        <v>45273</v>
      </c>
      <c r="D18" s="63">
        <v>45273</v>
      </c>
      <c r="E18" s="56">
        <v>235</v>
      </c>
      <c r="F18" s="55">
        <v>45301</v>
      </c>
      <c r="G18" s="63">
        <v>45301</v>
      </c>
      <c r="H18" s="56">
        <v>325</v>
      </c>
      <c r="I18" s="55">
        <v>45336</v>
      </c>
      <c r="J18" s="63">
        <v>45336</v>
      </c>
      <c r="K18" s="56">
        <v>345</v>
      </c>
      <c r="N18" s="160">
        <f>IF(N17&lt;&gt;"",N17+1,IF(TEXT(followers!$H$1,"aaa")=$B18,followers!$H$1,""))</f>
        <v>45546</v>
      </c>
      <c r="O18" s="161">
        <f>IF(O17&lt;&gt;"",O17+1,IF(TEXT(followers!$H$1,"aaa")=$B18,followers!$H$1,""))</f>
        <v>45546</v>
      </c>
      <c r="P18" s="116" cm="1">
        <f t="array" ref="P18">IFERROR(INDEX(visitors!$A$1:$Y$32,DAY(N18)+1,MATCH($N$2,visitors!$1:$1,0)),NA())</f>
        <v>423</v>
      </c>
      <c r="S18" s="3"/>
      <c r="T18" s="75"/>
      <c r="U18" s="52"/>
      <c r="W18" s="3"/>
      <c r="X18" s="75"/>
      <c r="Y18" s="52"/>
      <c r="AA18" s="3"/>
      <c r="AB18" s="75"/>
    </row>
    <row r="19" spans="1:28">
      <c r="A19" s="413"/>
      <c r="B19" s="66" t="s">
        <v>115</v>
      </c>
      <c r="C19" s="55">
        <v>45274</v>
      </c>
      <c r="D19" s="63">
        <v>45274</v>
      </c>
      <c r="E19" s="56">
        <v>288</v>
      </c>
      <c r="F19" s="55">
        <v>45302</v>
      </c>
      <c r="G19" s="63">
        <v>45302</v>
      </c>
      <c r="H19" s="56">
        <v>259</v>
      </c>
      <c r="I19" s="55">
        <v>45337</v>
      </c>
      <c r="J19" s="63">
        <v>45337</v>
      </c>
      <c r="K19" s="56">
        <v>227</v>
      </c>
      <c r="N19" s="160">
        <f>IF(N18&lt;&gt;"",N18+1,IF(TEXT(followers!$H$1,"aaa")=$B19,followers!$H$1,""))</f>
        <v>45547</v>
      </c>
      <c r="O19" s="161">
        <f>IF(O18&lt;&gt;"",O18+1,IF(TEXT(followers!$H$1,"aaa")=$B19,followers!$H$1,""))</f>
        <v>45547</v>
      </c>
      <c r="P19" s="116" cm="1">
        <f t="array" ref="P19">IFERROR(INDEX(visitors!$A$1:$Y$32,DAY(N19)+1,MATCH($N$2,visitors!$1:$1,0)),NA())</f>
        <v>367</v>
      </c>
      <c r="S19" s="3"/>
      <c r="T19" s="75"/>
      <c r="U19" s="52"/>
      <c r="W19" s="3"/>
      <c r="X19" s="75"/>
      <c r="Y19" s="52"/>
      <c r="AA19" s="3"/>
      <c r="AB19" s="75"/>
    </row>
    <row r="20" spans="1:28">
      <c r="A20" s="413"/>
      <c r="B20" s="66" t="s">
        <v>117</v>
      </c>
      <c r="C20" s="55">
        <v>45275</v>
      </c>
      <c r="D20" s="63">
        <v>45275</v>
      </c>
      <c r="E20" s="56">
        <v>224</v>
      </c>
      <c r="F20" s="55">
        <v>45303</v>
      </c>
      <c r="G20" s="63">
        <v>45303</v>
      </c>
      <c r="H20" s="56">
        <v>233</v>
      </c>
      <c r="I20" s="55">
        <v>45338</v>
      </c>
      <c r="J20" s="63">
        <v>45338</v>
      </c>
      <c r="K20" s="56">
        <v>269</v>
      </c>
      <c r="N20" s="160">
        <f>IF(N19&lt;&gt;"",N19+1,IF(TEXT(followers!$H$1,"aaa")=$B20,followers!$H$1,""))</f>
        <v>45548</v>
      </c>
      <c r="O20" s="161">
        <f>IF(O19&lt;&gt;"",O19+1,IF(TEXT(followers!$H$1,"aaa")=$B20,followers!$H$1,""))</f>
        <v>45548</v>
      </c>
      <c r="P20" s="116" cm="1">
        <f t="array" ref="P20">IFERROR(INDEX(visitors!$A$1:$Y$32,DAY(N20)+1,MATCH($N$2,visitors!$1:$1,0)),NA())</f>
        <v>338</v>
      </c>
      <c r="S20" s="3"/>
      <c r="T20" s="75"/>
      <c r="U20" s="52"/>
      <c r="W20" s="3"/>
      <c r="X20" s="75"/>
      <c r="Y20" s="52"/>
      <c r="AA20" s="3"/>
      <c r="AB20" s="75"/>
    </row>
    <row r="21" spans="1:28">
      <c r="A21" s="413"/>
      <c r="B21" s="66" t="s">
        <v>122</v>
      </c>
      <c r="C21" s="55">
        <v>45276</v>
      </c>
      <c r="D21" s="63">
        <v>45276</v>
      </c>
      <c r="E21" s="56">
        <v>57</v>
      </c>
      <c r="F21" s="55">
        <v>45304</v>
      </c>
      <c r="G21" s="63">
        <v>45304</v>
      </c>
      <c r="H21" s="56">
        <v>92</v>
      </c>
      <c r="I21" s="55">
        <v>45339</v>
      </c>
      <c r="J21" s="63">
        <v>45339</v>
      </c>
      <c r="K21" s="56">
        <v>67</v>
      </c>
      <c r="N21" s="160">
        <f>IF(N20&lt;&gt;"",N20+1,IF(TEXT(followers!$H$1,"aaa")=$B21,followers!$H$1,""))</f>
        <v>45549</v>
      </c>
      <c r="O21" s="161">
        <f>IF(O20&lt;&gt;"",O20+1,IF(TEXT(followers!$H$1,"aaa")=$B21,followers!$H$1,""))</f>
        <v>45549</v>
      </c>
      <c r="P21" s="116" cm="1">
        <f t="array" ref="P21">IFERROR(INDEX(visitors!$A$1:$Y$32,DAY(N21)+1,MATCH($N$2,visitors!$1:$1,0)),NA())</f>
        <v>187</v>
      </c>
      <c r="S21" s="3"/>
      <c r="T21" s="75"/>
      <c r="U21" s="52"/>
      <c r="W21" s="3"/>
      <c r="X21" s="75"/>
      <c r="Y21" s="52"/>
      <c r="AA21" s="3"/>
      <c r="AB21" s="75"/>
    </row>
    <row r="22" spans="1:28" ht="17.25" thickBot="1">
      <c r="A22" s="414"/>
      <c r="B22" s="67" t="s">
        <v>124</v>
      </c>
      <c r="C22" s="57">
        <v>45277</v>
      </c>
      <c r="D22" s="64">
        <v>45277</v>
      </c>
      <c r="E22" s="58">
        <v>57</v>
      </c>
      <c r="F22" s="57">
        <v>45305</v>
      </c>
      <c r="G22" s="64">
        <v>45305</v>
      </c>
      <c r="H22" s="58">
        <v>74</v>
      </c>
      <c r="I22" s="57">
        <v>45340</v>
      </c>
      <c r="J22" s="64">
        <v>45340</v>
      </c>
      <c r="K22" s="58">
        <v>87</v>
      </c>
      <c r="N22" s="162">
        <f>IF(N21&lt;&gt;"",N21+1,IF(TEXT(followers!$H$1,"aaa")=$B22,followers!$H$1,""))</f>
        <v>45550</v>
      </c>
      <c r="O22" s="163">
        <f>IF(O21&lt;&gt;"",O21+1,IF(TEXT(followers!$H$1,"aaa")=$B22,followers!$H$1,""))</f>
        <v>45550</v>
      </c>
      <c r="P22" s="151" cm="1">
        <f t="array" ref="P22">IFERROR(INDEX(visitors!$A$1:$Y$32,DAY(N22)+1,MATCH($N$2,visitors!$1:$1,0)),NA())</f>
        <v>118</v>
      </c>
      <c r="S22" s="3"/>
      <c r="T22" s="75"/>
      <c r="U22" s="52"/>
      <c r="W22" s="3"/>
      <c r="X22" s="75"/>
      <c r="Y22" s="52"/>
      <c r="AA22" s="3"/>
      <c r="AB22" s="75"/>
    </row>
    <row r="23" spans="1:28">
      <c r="A23" s="412" t="s">
        <v>130</v>
      </c>
      <c r="B23" s="73" t="s">
        <v>119</v>
      </c>
      <c r="C23" s="53">
        <v>45278</v>
      </c>
      <c r="D23" s="74">
        <v>45278</v>
      </c>
      <c r="E23" s="54">
        <v>211</v>
      </c>
      <c r="F23" s="53">
        <v>45306</v>
      </c>
      <c r="G23" s="74">
        <v>45306</v>
      </c>
      <c r="H23" s="54">
        <v>219</v>
      </c>
      <c r="I23" s="53">
        <v>45341</v>
      </c>
      <c r="J23" s="74">
        <v>45341</v>
      </c>
      <c r="K23" s="54">
        <v>291</v>
      </c>
      <c r="N23" s="158">
        <f>IF(N22&lt;&gt;"",N22+1,IF(TEXT(followers!$H$1,"aaa")=$B23,followers!$H$1,""))</f>
        <v>45551</v>
      </c>
      <c r="O23" s="159">
        <f>IF(O22&lt;&gt;"",O22+1,IF(TEXT(followers!$H$1,"aaa")=$B23,followers!$H$1,""))</f>
        <v>45551</v>
      </c>
      <c r="P23" s="150" cm="1">
        <f t="array" ref="P23">IFERROR(INDEX(visitors!$A$1:$Y$32,DAY(N23)+1,MATCH($N$2,visitors!$1:$1,0)),NA())</f>
        <v>341</v>
      </c>
      <c r="S23" s="3"/>
      <c r="T23" s="75"/>
      <c r="U23" s="52"/>
      <c r="W23" s="3"/>
      <c r="X23" s="75"/>
      <c r="Y23" s="52"/>
      <c r="AA23" s="3"/>
      <c r="AB23" s="75"/>
    </row>
    <row r="24" spans="1:28">
      <c r="A24" s="413"/>
      <c r="B24" s="66" t="s">
        <v>116</v>
      </c>
      <c r="C24" s="55">
        <v>45279</v>
      </c>
      <c r="D24" s="63">
        <v>45279</v>
      </c>
      <c r="E24" s="56">
        <v>262</v>
      </c>
      <c r="F24" s="55">
        <v>45307</v>
      </c>
      <c r="G24" s="63">
        <v>45307</v>
      </c>
      <c r="H24" s="56">
        <v>334</v>
      </c>
      <c r="I24" s="55">
        <v>45342</v>
      </c>
      <c r="J24" s="63">
        <v>45342</v>
      </c>
      <c r="K24" s="56">
        <v>242</v>
      </c>
      <c r="N24" s="160">
        <f>IF(N23&lt;&gt;"",N23+1,IF(TEXT(followers!$H$1,"aaa")=$B24,followers!$H$1,""))</f>
        <v>45552</v>
      </c>
      <c r="O24" s="161">
        <f>IF(O23&lt;&gt;"",O23+1,IF(TEXT(followers!$H$1,"aaa")=$B24,followers!$H$1,""))</f>
        <v>45552</v>
      </c>
      <c r="P24" s="116" cm="1">
        <f t="array" ref="P24">IFERROR(INDEX(visitors!$A$1:$Y$32,DAY(N24)+1,MATCH($N$2,visitors!$1:$1,0)),NA())</f>
        <v>396</v>
      </c>
      <c r="S24" s="3"/>
      <c r="T24" s="75"/>
      <c r="U24" s="52"/>
      <c r="W24" s="3"/>
      <c r="X24" s="75"/>
      <c r="Y24" s="52"/>
      <c r="AA24" s="3"/>
      <c r="AB24" s="75"/>
    </row>
    <row r="25" spans="1:28">
      <c r="A25" s="413"/>
      <c r="B25" s="66" t="s">
        <v>118</v>
      </c>
      <c r="C25" s="55">
        <v>45280</v>
      </c>
      <c r="D25" s="63">
        <v>45280</v>
      </c>
      <c r="E25" s="56">
        <v>213</v>
      </c>
      <c r="F25" s="55">
        <v>45308</v>
      </c>
      <c r="G25" s="63">
        <v>45308</v>
      </c>
      <c r="H25" s="56">
        <v>256</v>
      </c>
      <c r="I25" s="55">
        <v>45343</v>
      </c>
      <c r="J25" s="63">
        <v>45343</v>
      </c>
      <c r="K25" s="56">
        <v>321</v>
      </c>
      <c r="N25" s="160">
        <f>IF(N24&lt;&gt;"",N24+1,IF(TEXT(followers!$H$1,"aaa")=$B25,followers!$H$1,""))</f>
        <v>45553</v>
      </c>
      <c r="O25" s="161">
        <f>IF(O24&lt;&gt;"",O24+1,IF(TEXT(followers!$H$1,"aaa")=$B25,followers!$H$1,""))</f>
        <v>45553</v>
      </c>
      <c r="P25" s="116" cm="1">
        <f t="array" ref="P25">IFERROR(INDEX(visitors!$A$1:$Y$32,DAY(N25)+1,MATCH($N$2,visitors!$1:$1,0)),NA())</f>
        <v>338</v>
      </c>
      <c r="S25" s="3"/>
      <c r="T25" s="75"/>
      <c r="U25" s="52"/>
      <c r="W25" s="3"/>
      <c r="X25" s="75"/>
      <c r="Y25" s="52"/>
      <c r="AA25" s="3"/>
      <c r="AB25" s="75"/>
    </row>
    <row r="26" spans="1:28">
      <c r="A26" s="413"/>
      <c r="B26" s="66" t="s">
        <v>115</v>
      </c>
      <c r="C26" s="55">
        <v>45281</v>
      </c>
      <c r="D26" s="63">
        <v>45281</v>
      </c>
      <c r="E26" s="56">
        <v>204</v>
      </c>
      <c r="F26" s="55">
        <v>45309</v>
      </c>
      <c r="G26" s="63">
        <v>45309</v>
      </c>
      <c r="H26" s="56">
        <v>241</v>
      </c>
      <c r="I26" s="55">
        <v>45344</v>
      </c>
      <c r="J26" s="63">
        <v>45344</v>
      </c>
      <c r="K26" s="56">
        <v>244</v>
      </c>
      <c r="N26" s="160">
        <f>IF(N25&lt;&gt;"",N25+1,IF(TEXT(followers!$H$1,"aaa")=$B26,followers!$H$1,""))</f>
        <v>45554</v>
      </c>
      <c r="O26" s="161">
        <f>IF(O25&lt;&gt;"",O25+1,IF(TEXT(followers!$H$1,"aaa")=$B26,followers!$H$1,""))</f>
        <v>45554</v>
      </c>
      <c r="P26" s="116" cm="1">
        <f t="array" ref="P26">IFERROR(INDEX(visitors!$A$1:$Y$32,DAY(N26)+1,MATCH($N$2,visitors!$1:$1,0)),NA())</f>
        <v>368</v>
      </c>
      <c r="S26" s="3"/>
      <c r="T26" s="75"/>
      <c r="U26" s="52"/>
      <c r="W26" s="3"/>
      <c r="X26" s="75"/>
      <c r="Y26" s="52"/>
      <c r="AA26" s="3"/>
      <c r="AB26" s="75"/>
    </row>
    <row r="27" spans="1:28">
      <c r="A27" s="413"/>
      <c r="B27" s="66" t="s">
        <v>117</v>
      </c>
      <c r="C27" s="55">
        <v>45282</v>
      </c>
      <c r="D27" s="63">
        <v>45282</v>
      </c>
      <c r="E27" s="56">
        <v>201</v>
      </c>
      <c r="F27" s="55">
        <v>45310</v>
      </c>
      <c r="G27" s="63">
        <v>45310</v>
      </c>
      <c r="H27" s="56">
        <v>309</v>
      </c>
      <c r="I27" s="55">
        <v>45345</v>
      </c>
      <c r="J27" s="63">
        <v>45345</v>
      </c>
      <c r="K27" s="56">
        <v>289</v>
      </c>
      <c r="N27" s="160">
        <f>IF(N26&lt;&gt;"",N26+1,IF(TEXT(followers!$H$1,"aaa")=$B27,followers!$H$1,""))</f>
        <v>45555</v>
      </c>
      <c r="O27" s="161">
        <f>IF(O26&lt;&gt;"",O26+1,IF(TEXT(followers!$H$1,"aaa")=$B27,followers!$H$1,""))</f>
        <v>45555</v>
      </c>
      <c r="P27" s="116" cm="1">
        <f t="array" ref="P27">IFERROR(INDEX(visitors!$A$1:$Y$32,DAY(N27)+1,MATCH($N$2,visitors!$1:$1,0)),NA())</f>
        <v>376</v>
      </c>
      <c r="S27" s="3"/>
      <c r="T27" s="75"/>
      <c r="U27" s="52"/>
      <c r="W27" s="3"/>
      <c r="X27" s="75"/>
      <c r="Y27" s="52"/>
      <c r="AA27" s="3"/>
      <c r="AB27" s="75"/>
    </row>
    <row r="28" spans="1:28">
      <c r="A28" s="413"/>
      <c r="B28" s="66" t="s">
        <v>122</v>
      </c>
      <c r="C28" s="55">
        <v>45283</v>
      </c>
      <c r="D28" s="63">
        <v>45283</v>
      </c>
      <c r="E28" s="56">
        <v>71</v>
      </c>
      <c r="F28" s="55">
        <v>45311</v>
      </c>
      <c r="G28" s="63">
        <v>45311</v>
      </c>
      <c r="H28" s="56">
        <v>67</v>
      </c>
      <c r="I28" s="55">
        <v>45346</v>
      </c>
      <c r="J28" s="63">
        <v>45346</v>
      </c>
      <c r="K28" s="56">
        <v>73</v>
      </c>
      <c r="N28" s="160">
        <f>IF(N27&lt;&gt;"",N27+1,IF(TEXT(followers!$H$1,"aaa")=$B28,followers!$H$1,""))</f>
        <v>45556</v>
      </c>
      <c r="O28" s="161">
        <f>IF(O27&lt;&gt;"",O27+1,IF(TEXT(followers!$H$1,"aaa")=$B28,followers!$H$1,""))</f>
        <v>45556</v>
      </c>
      <c r="P28" s="116" cm="1">
        <f t="array" ref="P28">IFERROR(INDEX(visitors!$A$1:$Y$32,DAY(N28)+1,MATCH($N$2,visitors!$1:$1,0)),NA())</f>
        <v>177</v>
      </c>
      <c r="S28" s="3"/>
      <c r="T28" s="75"/>
      <c r="U28" s="52"/>
      <c r="W28" s="3"/>
      <c r="X28" s="75"/>
      <c r="Y28" s="52"/>
      <c r="AA28" s="3"/>
      <c r="AB28" s="75"/>
    </row>
    <row r="29" spans="1:28" ht="17.25" thickBot="1">
      <c r="A29" s="414"/>
      <c r="B29" s="67" t="s">
        <v>124</v>
      </c>
      <c r="C29" s="57">
        <v>45284</v>
      </c>
      <c r="D29" s="64">
        <v>45284</v>
      </c>
      <c r="E29" s="58">
        <v>30</v>
      </c>
      <c r="F29" s="57">
        <v>45312</v>
      </c>
      <c r="G29" s="64">
        <v>45312</v>
      </c>
      <c r="H29" s="58">
        <v>79</v>
      </c>
      <c r="I29" s="57">
        <v>45347</v>
      </c>
      <c r="J29" s="64">
        <v>45347</v>
      </c>
      <c r="K29" s="58">
        <v>63</v>
      </c>
      <c r="N29" s="162">
        <f>IF(N28&lt;&gt;"",N28+1,IF(TEXT(followers!$H$1,"aaa")=$B29,followers!$H$1,""))</f>
        <v>45557</v>
      </c>
      <c r="O29" s="163">
        <f>IF(O28&lt;&gt;"",O28+1,IF(TEXT(followers!$H$1,"aaa")=$B29,followers!$H$1,""))</f>
        <v>45557</v>
      </c>
      <c r="P29" s="151" cm="1">
        <f t="array" ref="P29">IFERROR(INDEX(visitors!$A$1:$Y$32,DAY(N29)+1,MATCH($N$2,visitors!$1:$1,0)),NA())</f>
        <v>143</v>
      </c>
      <c r="S29" s="3"/>
      <c r="T29" s="75"/>
      <c r="U29" s="52"/>
      <c r="W29" s="3"/>
      <c r="X29" s="75"/>
      <c r="Y29" s="52"/>
      <c r="AA29" s="3"/>
      <c r="AB29" s="75"/>
    </row>
    <row r="30" spans="1:28">
      <c r="A30" s="412" t="s">
        <v>132</v>
      </c>
      <c r="B30" s="73" t="s">
        <v>119</v>
      </c>
      <c r="C30" s="53">
        <v>45285</v>
      </c>
      <c r="D30" s="74">
        <v>45285</v>
      </c>
      <c r="E30" s="54">
        <v>94</v>
      </c>
      <c r="F30" s="53">
        <v>45313</v>
      </c>
      <c r="G30" s="74">
        <v>45313</v>
      </c>
      <c r="H30" s="54">
        <v>225</v>
      </c>
      <c r="I30" s="53">
        <v>45348</v>
      </c>
      <c r="J30" s="74">
        <v>45348</v>
      </c>
      <c r="K30" s="54">
        <v>307</v>
      </c>
      <c r="N30" s="158">
        <f>IF(N29&lt;&gt;"",N29+1,IF(TEXT(followers!$H$1,"aaa")=$B30,followers!$H$1,""))</f>
        <v>45558</v>
      </c>
      <c r="O30" s="159">
        <f>IF(O29&lt;&gt;"",O29+1,IF(TEXT(followers!$H$1,"aaa")=$B30,followers!$H$1,""))</f>
        <v>45558</v>
      </c>
      <c r="P30" s="150" cm="1">
        <f t="array" ref="P30">IFERROR(INDEX(visitors!$A$1:$Y$32,DAY(N30)+1,MATCH($N$2,visitors!$1:$1,0)),NA())</f>
        <v>411</v>
      </c>
      <c r="S30" s="3"/>
      <c r="T30" s="75"/>
      <c r="U30" s="52"/>
      <c r="W30" s="3"/>
      <c r="X30" s="75"/>
      <c r="Y30" s="52"/>
      <c r="AA30" s="3"/>
      <c r="AB30" s="75"/>
    </row>
    <row r="31" spans="1:28">
      <c r="A31" s="413"/>
      <c r="B31" s="66" t="s">
        <v>116</v>
      </c>
      <c r="C31" s="55">
        <v>45286</v>
      </c>
      <c r="D31" s="63">
        <v>45286</v>
      </c>
      <c r="E31" s="56">
        <v>164</v>
      </c>
      <c r="F31" s="55">
        <v>45314</v>
      </c>
      <c r="G31" s="63">
        <v>45314</v>
      </c>
      <c r="H31" s="56">
        <v>308</v>
      </c>
      <c r="I31" s="55">
        <v>45349</v>
      </c>
      <c r="J31" s="63">
        <v>45349</v>
      </c>
      <c r="K31" s="56">
        <v>270</v>
      </c>
      <c r="N31" s="160">
        <f>IF(N30&lt;&gt;"",N30+1,IF(TEXT(followers!$H$1,"aaa")=$B31,followers!$H$1,""))</f>
        <v>45559</v>
      </c>
      <c r="O31" s="161">
        <f>IF(O30&lt;&gt;"",O30+1,IF(TEXT(followers!$H$1,"aaa")=$B31,followers!$H$1,""))</f>
        <v>45559</v>
      </c>
      <c r="P31" s="116" cm="1">
        <f t="array" ref="P31">IFERROR(INDEX(visitors!$A$1:$Y$32,DAY(N31)+1,MATCH($N$2,visitors!$1:$1,0)),NA())</f>
        <v>493</v>
      </c>
      <c r="S31" s="3"/>
      <c r="T31" s="75"/>
      <c r="U31" s="52"/>
      <c r="W31" s="3"/>
      <c r="X31" s="75"/>
      <c r="Y31" s="52"/>
      <c r="AA31" s="3"/>
      <c r="AB31" s="75"/>
    </row>
    <row r="32" spans="1:28">
      <c r="A32" s="413"/>
      <c r="B32" s="66" t="s">
        <v>118</v>
      </c>
      <c r="C32" s="55">
        <v>45287</v>
      </c>
      <c r="D32" s="63">
        <v>45287</v>
      </c>
      <c r="E32" s="56">
        <v>165</v>
      </c>
      <c r="F32" s="55">
        <v>45315</v>
      </c>
      <c r="G32" s="63">
        <v>45315</v>
      </c>
      <c r="H32" s="56">
        <v>246</v>
      </c>
      <c r="I32" s="55">
        <v>45350</v>
      </c>
      <c r="J32" s="63">
        <v>45350</v>
      </c>
      <c r="K32" s="56">
        <v>337</v>
      </c>
      <c r="N32" s="160">
        <f>IF(N31="","",IF(MONTH(N31)&lt;MONTH(N31+1),"",IF(N31&lt;&gt;"",N31+1,IF(TEXT(followers!$H$1,"aaa")=$B31,followers!$H$1,""))))</f>
        <v>45560</v>
      </c>
      <c r="O32" s="161">
        <f>IF(O31="","",IF(MONTH(O31)&lt;MONTH(O31+1),"",IF(O31&lt;&gt;"",O31+1,IF(TEXT(followers!$H$1,"aaa")=$B32,followers!$H$1,""))))</f>
        <v>45560</v>
      </c>
      <c r="P32" s="116" cm="1">
        <f t="array" ref="P32">IFERROR(INDEX(visitors!$A$1:$Y$32,DAY(N32)+1,MATCH($N$2,visitors!$1:$1,0)),NA())</f>
        <v>428</v>
      </c>
      <c r="S32" s="3"/>
      <c r="T32" s="75"/>
      <c r="U32" s="52"/>
      <c r="W32" s="3"/>
      <c r="X32" s="75"/>
      <c r="Y32" s="52"/>
      <c r="AA32" s="3"/>
      <c r="AB32" s="75"/>
    </row>
    <row r="33" spans="1:28">
      <c r="A33" s="413"/>
      <c r="B33" s="66" t="s">
        <v>115</v>
      </c>
      <c r="C33" s="55">
        <v>45288</v>
      </c>
      <c r="D33" s="63">
        <v>45288</v>
      </c>
      <c r="E33" s="56">
        <v>165</v>
      </c>
      <c r="F33" s="55">
        <v>45316</v>
      </c>
      <c r="G33" s="63">
        <v>45316</v>
      </c>
      <c r="H33" s="56">
        <v>272</v>
      </c>
      <c r="I33" s="55">
        <v>45351</v>
      </c>
      <c r="J33" s="63">
        <v>45351</v>
      </c>
      <c r="K33" s="56">
        <v>275</v>
      </c>
      <c r="N33" s="160">
        <f>IF(N32="","",IF(MONTH(N32)&lt;MONTH(N32+1),"",IF(N32&lt;&gt;"",N32+1,IF(TEXT(followers!$H$1,"aaa")=$B32,followers!$H$1,""))))</f>
        <v>45561</v>
      </c>
      <c r="O33" s="161">
        <f>IF(O32="","",IF(MONTH(O32)&lt;MONTH(O32+1),"",IF(O32&lt;&gt;"",O32+1,IF(TEXT(followers!$H$1,"aaa")=$B33,followers!$H$1,""))))</f>
        <v>45561</v>
      </c>
      <c r="P33" s="116" cm="1">
        <f t="array" ref="P33">IFERROR(INDEX(visitors!$A$1:$Y$32,DAY(N33)+1,MATCH($N$2,visitors!$1:$1,0)),NA())</f>
        <v>474</v>
      </c>
      <c r="S33" s="3"/>
      <c r="T33" s="75"/>
      <c r="U33" s="52"/>
      <c r="W33" s="3"/>
      <c r="X33" s="75"/>
      <c r="Y33" s="52"/>
      <c r="AA33" s="3"/>
      <c r="AB33" s="75"/>
    </row>
    <row r="34" spans="1:28">
      <c r="A34" s="413"/>
      <c r="B34" s="66" t="s">
        <v>117</v>
      </c>
      <c r="C34" s="55">
        <v>45289</v>
      </c>
      <c r="D34" s="63">
        <v>45289</v>
      </c>
      <c r="E34" s="56">
        <v>162</v>
      </c>
      <c r="F34" s="55">
        <v>45317</v>
      </c>
      <c r="G34" s="63">
        <v>45317</v>
      </c>
      <c r="H34" s="56">
        <v>305</v>
      </c>
      <c r="I34" s="55" t="s">
        <v>38</v>
      </c>
      <c r="J34" s="63" t="s">
        <v>38</v>
      </c>
      <c r="K34" s="56" t="e">
        <v>#N/A</v>
      </c>
      <c r="N34" s="160">
        <f>IF(N33="","",IF(MONTH(N33)&lt;MONTH(N33+1),"",IF(N33&lt;&gt;"",N33+1,IF(TEXT(followers!$H$1,"aaa")=$B33,followers!$H$1,""))))</f>
        <v>45562</v>
      </c>
      <c r="O34" s="161">
        <f>IF(O33="","",IF(MONTH(O33)&lt;MONTH(O33+1),"",IF(O33&lt;&gt;"",O33+1,IF(TEXT(followers!$H$1,"aaa")=$B34,followers!$H$1,""))))</f>
        <v>45562</v>
      </c>
      <c r="P34" s="116" cm="1">
        <f t="array" ref="P34">IFERROR(INDEX(visitors!$A$1:$Y$32,DAY(N34)+1,MATCH($N$2,visitors!$1:$1,0)),NA())</f>
        <v>368</v>
      </c>
      <c r="S34" s="3"/>
      <c r="T34" s="75"/>
      <c r="U34" s="52"/>
      <c r="W34" s="3"/>
      <c r="X34" s="75"/>
      <c r="Y34" s="52"/>
      <c r="AA34" s="3"/>
      <c r="AB34" s="75"/>
    </row>
    <row r="35" spans="1:28">
      <c r="A35" s="413"/>
      <c r="B35" s="66" t="s">
        <v>122</v>
      </c>
      <c r="C35" s="55">
        <v>45290</v>
      </c>
      <c r="D35" s="63">
        <v>45290</v>
      </c>
      <c r="E35" s="56">
        <v>68</v>
      </c>
      <c r="F35" s="55">
        <v>45318</v>
      </c>
      <c r="G35" s="63">
        <v>45318</v>
      </c>
      <c r="H35" s="56">
        <v>41</v>
      </c>
      <c r="I35" s="55" t="s">
        <v>38</v>
      </c>
      <c r="J35" s="63" t="s">
        <v>38</v>
      </c>
      <c r="K35" s="56" t="e">
        <v>#N/A</v>
      </c>
      <c r="N35" s="160">
        <f>IF(N34="","",IF(MONTH(N34)&lt;MONTH(N34+1),"",IF(N34&lt;&gt;"",N34+1,IF(TEXT(followers!$H$1,"aaa")=$B34,followers!$H$1,""))))</f>
        <v>45563</v>
      </c>
      <c r="O35" s="161">
        <f>IF(O34="","",IF(MONTH(O34)&lt;MONTH(O34+1),"",IF(O34&lt;&gt;"",O34+1,IF(TEXT(followers!$H$1,"aaa")=$B35,followers!$H$1,""))))</f>
        <v>45563</v>
      </c>
      <c r="P35" s="116" cm="1">
        <f t="array" ref="P35">IFERROR(INDEX(visitors!$A$1:$Y$32,DAY(N35)+1,MATCH($N$2,visitors!$1:$1,0)),NA())</f>
        <v>165</v>
      </c>
      <c r="S35" s="3"/>
      <c r="T35" s="75"/>
      <c r="U35" s="52"/>
      <c r="W35" s="3"/>
      <c r="X35" s="75"/>
      <c r="Y35" s="52"/>
      <c r="AA35" s="3"/>
      <c r="AB35" s="75"/>
    </row>
    <row r="36" spans="1:28" ht="17.25" thickBot="1">
      <c r="A36" s="414"/>
      <c r="B36" s="67" t="s">
        <v>124</v>
      </c>
      <c r="C36" s="57">
        <v>45291</v>
      </c>
      <c r="D36" s="64">
        <v>45291</v>
      </c>
      <c r="E36" s="58">
        <v>82</v>
      </c>
      <c r="F36" s="57">
        <v>45319</v>
      </c>
      <c r="G36" s="64">
        <v>45319</v>
      </c>
      <c r="H36" s="58">
        <v>70</v>
      </c>
      <c r="I36" s="57" t="s">
        <v>38</v>
      </c>
      <c r="J36" s="64" t="s">
        <v>38</v>
      </c>
      <c r="K36" s="58" t="e">
        <v>#N/A</v>
      </c>
      <c r="N36" s="162">
        <f>IF(N35="","",IF(MONTH(N35)&lt;MONTH(N35+1),"",IF(N35&lt;&gt;"",N35+1,IF(TEXT(followers!$H$1,"aaa")=$B35,followers!$H$1,""))))</f>
        <v>45564</v>
      </c>
      <c r="O36" s="163">
        <f>IF(O35="","",IF(MONTH(O35)&lt;MONTH(O35+1),"",IF(O35&lt;&gt;"",O35+1,IF(TEXT(followers!$H$1,"aaa")=$B36,followers!$H$1,""))))</f>
        <v>45564</v>
      </c>
      <c r="P36" s="151" cm="1">
        <f t="array" ref="P36">IFERROR(INDEX(visitors!$A$1:$Y$32,DAY(N36)+1,MATCH($N$2,visitors!$1:$1,0)),NA())</f>
        <v>150</v>
      </c>
      <c r="S36" s="3"/>
      <c r="T36" s="75"/>
      <c r="U36" s="52"/>
      <c r="W36" s="3"/>
      <c r="X36" s="75"/>
      <c r="Y36" s="52"/>
      <c r="AA36" s="3"/>
      <c r="AB36" s="75"/>
    </row>
    <row r="37" spans="1:28">
      <c r="A37" s="412" t="s">
        <v>133</v>
      </c>
      <c r="B37" s="73" t="s">
        <v>119</v>
      </c>
      <c r="C37" s="53"/>
      <c r="D37" s="74"/>
      <c r="E37" s="54"/>
      <c r="F37" s="53">
        <v>45320</v>
      </c>
      <c r="G37" s="74">
        <v>45320</v>
      </c>
      <c r="H37" s="54">
        <v>225</v>
      </c>
      <c r="I37" s="53" t="s">
        <v>38</v>
      </c>
      <c r="J37" s="74" t="s">
        <v>38</v>
      </c>
      <c r="K37" s="54" t="e">
        <v>#N/A</v>
      </c>
      <c r="N37" s="158">
        <f>IF(N36="","",IF(MONTH(N36)&lt;MONTH(N36+1),"",IF(N36&lt;&gt;"",N36+1,IF(TEXT(followers!$H$1,"aaa")=$B36,followers!$H$1,""))))</f>
        <v>45565</v>
      </c>
      <c r="O37" s="159">
        <f>IF(O36="","",IF(MONTH(O36)&lt;MONTH(O36+1),"",IF(O36&lt;&gt;"",O36+1,IF(TEXT(followers!$H$1,"aaa")=$B37,followers!$H$1,""))))</f>
        <v>45565</v>
      </c>
      <c r="P37" s="150" cm="1">
        <f t="array" ref="P37">IFERROR(INDEX(visitors!$A$1:$Y$32,DAY(N37)+1,MATCH($N$2,visitors!$1:$1,0)),NA())</f>
        <v>360</v>
      </c>
      <c r="S37" s="3"/>
      <c r="T37" s="75"/>
      <c r="U37" s="52"/>
      <c r="W37" s="3"/>
      <c r="X37" s="75"/>
      <c r="Y37" s="52"/>
      <c r="AA37" s="3"/>
      <c r="AB37" s="75"/>
    </row>
    <row r="38" spans="1:28">
      <c r="A38" s="413"/>
      <c r="B38" s="66" t="s">
        <v>116</v>
      </c>
      <c r="C38" s="55"/>
      <c r="D38" s="63"/>
      <c r="E38" s="56"/>
      <c r="F38" s="55">
        <v>45321</v>
      </c>
      <c r="G38" s="63">
        <v>45321</v>
      </c>
      <c r="H38" s="56">
        <v>276</v>
      </c>
      <c r="I38" s="55" t="s">
        <v>38</v>
      </c>
      <c r="J38" s="63" t="s">
        <v>38</v>
      </c>
      <c r="K38" s="56" t="e">
        <v>#N/A</v>
      </c>
      <c r="N38" s="160" t="str">
        <f>IF(N37="","",IF(MONTH(N37)&lt;MONTH(N37+1),"",IF(N37&lt;&gt;"",N37+1,IF(TEXT(followers!$H$1,"aaa")=$B37,followers!$H$1,""))))</f>
        <v/>
      </c>
      <c r="O38" s="161" t="str">
        <f>IF(O37="","",IF(MONTH(O37)&lt;MONTH(O37+1),"",IF(O37&lt;&gt;"",O37+1,IF(TEXT(followers!$H$1,"aaa")=$B38,followers!$H$1,""))))</f>
        <v/>
      </c>
      <c r="P38" s="116" t="e" cm="1">
        <f t="array" ref="P38">IFERROR(INDEX(visitors!$A$1:$Y$32,DAY(N38)+1,MATCH($N$2,visitors!$1:$1,0)),NA())</f>
        <v>#N/A</v>
      </c>
      <c r="S38" s="3"/>
      <c r="T38" s="75"/>
      <c r="U38" s="52"/>
      <c r="W38" s="3"/>
      <c r="X38" s="75"/>
      <c r="Y38" s="52"/>
      <c r="AA38" s="3"/>
      <c r="AB38" s="75"/>
    </row>
    <row r="39" spans="1:28">
      <c r="A39" s="413"/>
      <c r="B39" s="66" t="s">
        <v>118</v>
      </c>
      <c r="C39" s="55"/>
      <c r="D39" s="63"/>
      <c r="E39" s="56"/>
      <c r="F39" s="55">
        <v>45322</v>
      </c>
      <c r="G39" s="63">
        <v>45322</v>
      </c>
      <c r="H39" s="56">
        <v>271</v>
      </c>
      <c r="I39" s="55" t="s">
        <v>38</v>
      </c>
      <c r="J39" s="63" t="s">
        <v>38</v>
      </c>
      <c r="K39" s="56" t="e">
        <v>#N/A</v>
      </c>
      <c r="N39" s="160" t="str">
        <f>IF(N38="","",IF(MONTH(N38)&lt;MONTH(N38+1),"",IF(N38&lt;&gt;"",N38+1,IF(TEXT(followers!$H$1,"aaa")=$B38,followers!$H$1,""))))</f>
        <v/>
      </c>
      <c r="O39" s="161" t="str">
        <f>IF(O38="","",IF(MONTH(O38)&lt;MONTH(O38+1),"",IF(O38&lt;&gt;"",O38+1,IF(TEXT(followers!$H$1,"aaa")=$B39,followers!$H$1,""))))</f>
        <v/>
      </c>
      <c r="P39" s="116" t="e" cm="1">
        <f t="array" ref="P39">IFERROR(INDEX(visitors!$A$1:$Y$32,DAY(N39)+1,MATCH($N$2,visitors!$1:$1,0)),NA())</f>
        <v>#N/A</v>
      </c>
      <c r="S39" s="3"/>
      <c r="T39" s="75"/>
      <c r="U39" s="52"/>
      <c r="W39" s="3"/>
      <c r="X39" s="75"/>
      <c r="Y39" s="52"/>
      <c r="AA39" s="3"/>
      <c r="AB39" s="75"/>
    </row>
    <row r="40" spans="1:28">
      <c r="A40" s="413"/>
      <c r="B40" s="66" t="s">
        <v>115</v>
      </c>
      <c r="C40" s="55"/>
      <c r="D40" s="63"/>
      <c r="E40" s="56"/>
      <c r="F40" s="55"/>
      <c r="G40" s="63"/>
      <c r="H40" s="56"/>
      <c r="I40" s="55" t="s">
        <v>38</v>
      </c>
      <c r="J40" s="63" t="s">
        <v>38</v>
      </c>
      <c r="K40" s="56" t="e">
        <v>#N/A</v>
      </c>
      <c r="N40" s="160" t="str">
        <f>IF(N39="","",IF(MONTH(N39)&lt;MONTH(N39+1),"",IF(N39&lt;&gt;"",N39+1,IF(TEXT(followers!$H$1,"aaa")=$B39,followers!$H$1,""))))</f>
        <v/>
      </c>
      <c r="O40" s="161" t="str">
        <f>IF(O39="","",IF(MONTH(O39)&lt;MONTH(O39+1),"",IF(O39&lt;&gt;"",O39+1,IF(TEXT(followers!$H$1,"aaa")=$B40,followers!$H$1,""))))</f>
        <v/>
      </c>
      <c r="P40" s="116" t="e" cm="1">
        <f t="array" ref="P40">IFERROR(INDEX(visitors!$A$1:$Y$32,DAY(N40)+1,MATCH($N$2,visitors!$1:$1,0)),NA())</f>
        <v>#N/A</v>
      </c>
      <c r="S40" s="3"/>
      <c r="T40" s="75"/>
      <c r="U40" s="52"/>
      <c r="W40" s="3"/>
      <c r="X40" s="75"/>
      <c r="Y40" s="52"/>
      <c r="AA40" s="3"/>
      <c r="AB40" s="75"/>
    </row>
    <row r="41" spans="1:28" ht="17.25" thickBot="1">
      <c r="A41" s="414"/>
      <c r="B41" s="67" t="s">
        <v>117</v>
      </c>
      <c r="C41" s="57"/>
      <c r="D41" s="64"/>
      <c r="E41" s="58"/>
      <c r="F41" s="57"/>
      <c r="G41" s="64"/>
      <c r="H41" s="58"/>
      <c r="I41" s="57" t="s">
        <v>38</v>
      </c>
      <c r="J41" s="64" t="s">
        <v>38</v>
      </c>
      <c r="K41" s="58" t="e">
        <v>#N/A</v>
      </c>
      <c r="N41" s="160" t="str">
        <f>IF(N40="","",IF(MONTH(N40)&lt;MONTH(N40+1),"",IF(N40&lt;&gt;"",N40+1,IF(TEXT(followers!$H$1,"aaa")=$B40,followers!$H$1,""))))</f>
        <v/>
      </c>
      <c r="O41" s="161" t="str">
        <f>IF(O40="","",IF(MONTH(O40)&lt;MONTH(O40+1),"",IF(O40&lt;&gt;"",O40+1,IF(TEXT(followers!$H$1,"aaa")=$B41,followers!$H$1,""))))</f>
        <v/>
      </c>
      <c r="P41" s="116" t="e" cm="1">
        <f t="array" ref="P41">IFERROR(INDEX(visitors!$A$1:$Y$32,DAY(N41)+1,MATCH($N$2,visitors!$1:$1,0)),NA())</f>
        <v>#N/A</v>
      </c>
      <c r="S41" s="3"/>
      <c r="T41" s="75"/>
      <c r="U41" s="52"/>
      <c r="W41" s="3"/>
      <c r="X41" s="75"/>
      <c r="Y41" s="52"/>
      <c r="AA41" s="3"/>
      <c r="AB41" s="75"/>
    </row>
    <row r="44" spans="1:28">
      <c r="A44" s="82" t="s">
        <v>141</v>
      </c>
    </row>
    <row r="45" spans="1:28">
      <c r="A45" s="82" t="s">
        <v>141</v>
      </c>
    </row>
    <row r="46" spans="1:28">
      <c r="A46" s="82" t="s">
        <v>141</v>
      </c>
    </row>
    <row r="47" spans="1:28">
      <c r="A47" s="82" t="s">
        <v>141</v>
      </c>
    </row>
    <row r="48" spans="1:28">
      <c r="A48" s="82" t="s">
        <v>141</v>
      </c>
    </row>
  </sheetData>
  <mergeCells count="10">
    <mergeCell ref="N3:P3"/>
    <mergeCell ref="A37:A41"/>
    <mergeCell ref="F3:H3"/>
    <mergeCell ref="I3:K3"/>
    <mergeCell ref="C3:E3"/>
    <mergeCell ref="A5:A8"/>
    <mergeCell ref="A9:A15"/>
    <mergeCell ref="A16:A22"/>
    <mergeCell ref="A23:A29"/>
    <mergeCell ref="A30:A36"/>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7" tint="0.79998168889431442"/>
  </sheetPr>
  <dimension ref="A1:AC32"/>
  <sheetViews>
    <sheetView topLeftCell="A3" zoomScale="85" zoomScaleNormal="85" workbookViewId="0">
      <selection activeCell="Y2" sqref="Y2:Y31"/>
    </sheetView>
  </sheetViews>
  <sheetFormatPr defaultRowHeight="16.5"/>
  <cols>
    <col min="1" max="21" width="9" style="2"/>
    <col min="22" max="22" width="11.5" style="2" customWidth="1"/>
    <col min="23" max="25" width="9" style="2"/>
  </cols>
  <sheetData>
    <row r="1" spans="1:29">
      <c r="A1" s="2" t="s">
        <v>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row>
    <row r="2" spans="1:29">
      <c r="A2" s="2" t="s">
        <v>1051</v>
      </c>
      <c r="B2" s="2">
        <v>82</v>
      </c>
      <c r="C2" s="2">
        <v>83</v>
      </c>
      <c r="D2" s="2">
        <v>165</v>
      </c>
      <c r="E2" s="2">
        <v>69</v>
      </c>
      <c r="F2" s="2">
        <v>61</v>
      </c>
      <c r="G2" s="2">
        <v>130</v>
      </c>
      <c r="H2" s="2">
        <v>0</v>
      </c>
      <c r="I2" s="2">
        <v>0</v>
      </c>
      <c r="J2" s="2">
        <v>0</v>
      </c>
      <c r="K2" s="2">
        <v>0</v>
      </c>
      <c r="L2" s="2">
        <v>0</v>
      </c>
      <c r="M2" s="2">
        <v>0</v>
      </c>
      <c r="N2" s="2">
        <v>14</v>
      </c>
      <c r="O2" s="2">
        <v>30</v>
      </c>
      <c r="P2" s="2">
        <v>44</v>
      </c>
      <c r="Q2" s="2">
        <v>14</v>
      </c>
      <c r="R2" s="2">
        <v>21</v>
      </c>
      <c r="S2" s="2">
        <v>35</v>
      </c>
      <c r="T2" s="2">
        <v>102</v>
      </c>
      <c r="U2" s="2">
        <v>135</v>
      </c>
      <c r="V2" s="2">
        <v>237</v>
      </c>
      <c r="W2" s="2">
        <v>70</v>
      </c>
      <c r="X2" s="2">
        <v>68</v>
      </c>
      <c r="Y2" s="2">
        <v>138</v>
      </c>
      <c r="AB2" s="52"/>
      <c r="AC2" s="52"/>
    </row>
    <row r="3" spans="1:29">
      <c r="A3" s="2" t="s">
        <v>1052</v>
      </c>
      <c r="B3" s="2">
        <v>251</v>
      </c>
      <c r="C3" s="2">
        <v>94</v>
      </c>
      <c r="D3" s="2">
        <v>345</v>
      </c>
      <c r="E3" s="2">
        <v>167</v>
      </c>
      <c r="F3" s="2">
        <v>55</v>
      </c>
      <c r="G3" s="2">
        <v>222</v>
      </c>
      <c r="H3" s="2">
        <v>0</v>
      </c>
      <c r="I3" s="2">
        <v>0</v>
      </c>
      <c r="J3" s="2">
        <v>0</v>
      </c>
      <c r="K3" s="2">
        <v>0</v>
      </c>
      <c r="L3" s="2">
        <v>0</v>
      </c>
      <c r="M3" s="2">
        <v>0</v>
      </c>
      <c r="N3" s="2">
        <v>30</v>
      </c>
      <c r="O3" s="2">
        <v>44</v>
      </c>
      <c r="P3" s="2">
        <v>74</v>
      </c>
      <c r="Q3" s="2">
        <v>30</v>
      </c>
      <c r="R3" s="2">
        <v>27</v>
      </c>
      <c r="S3" s="2">
        <v>57</v>
      </c>
      <c r="T3" s="2">
        <v>313</v>
      </c>
      <c r="U3" s="2">
        <v>195</v>
      </c>
      <c r="V3" s="2">
        <v>508</v>
      </c>
      <c r="W3" s="2">
        <v>169</v>
      </c>
      <c r="X3" s="2">
        <v>72</v>
      </c>
      <c r="Y3" s="2">
        <v>241</v>
      </c>
      <c r="AB3" s="52"/>
      <c r="AC3" s="52"/>
    </row>
    <row r="4" spans="1:29">
      <c r="A4" s="2" t="s">
        <v>1053</v>
      </c>
      <c r="B4" s="2">
        <v>374</v>
      </c>
      <c r="C4" s="2">
        <v>105</v>
      </c>
      <c r="D4" s="2">
        <v>479</v>
      </c>
      <c r="E4" s="2">
        <v>249</v>
      </c>
      <c r="F4" s="2">
        <v>54</v>
      </c>
      <c r="G4" s="2">
        <v>303</v>
      </c>
      <c r="H4" s="2">
        <v>0</v>
      </c>
      <c r="I4" s="2">
        <v>0</v>
      </c>
      <c r="J4" s="2">
        <v>0</v>
      </c>
      <c r="K4" s="2">
        <v>0</v>
      </c>
      <c r="L4" s="2">
        <v>0</v>
      </c>
      <c r="M4" s="2">
        <v>0</v>
      </c>
      <c r="N4" s="2">
        <v>45</v>
      </c>
      <c r="O4" s="2">
        <v>42</v>
      </c>
      <c r="P4" s="2">
        <v>87</v>
      </c>
      <c r="Q4" s="2">
        <v>42</v>
      </c>
      <c r="R4" s="2">
        <v>30</v>
      </c>
      <c r="S4" s="2">
        <v>71</v>
      </c>
      <c r="T4" s="2">
        <v>480</v>
      </c>
      <c r="U4" s="2">
        <v>189</v>
      </c>
      <c r="V4" s="2">
        <v>669</v>
      </c>
      <c r="W4" s="2">
        <v>251</v>
      </c>
      <c r="X4" s="2">
        <v>73</v>
      </c>
      <c r="Y4" s="2">
        <v>323</v>
      </c>
      <c r="AB4" s="52"/>
      <c r="AC4" s="52"/>
    </row>
    <row r="5" spans="1:29">
      <c r="A5" s="2" t="s">
        <v>1054</v>
      </c>
      <c r="B5" s="2">
        <v>301</v>
      </c>
      <c r="C5" s="2">
        <v>110</v>
      </c>
      <c r="D5" s="2">
        <v>411</v>
      </c>
      <c r="E5" s="2">
        <v>248</v>
      </c>
      <c r="F5" s="2">
        <v>68</v>
      </c>
      <c r="G5" s="2">
        <v>316</v>
      </c>
      <c r="H5" s="2">
        <v>0</v>
      </c>
      <c r="I5" s="2">
        <v>0</v>
      </c>
      <c r="J5" s="2">
        <v>0</v>
      </c>
      <c r="K5" s="2">
        <v>0</v>
      </c>
      <c r="L5" s="2">
        <v>0</v>
      </c>
      <c r="M5" s="2">
        <v>0</v>
      </c>
      <c r="N5" s="2">
        <v>33</v>
      </c>
      <c r="O5" s="2">
        <v>45</v>
      </c>
      <c r="P5" s="2">
        <v>78</v>
      </c>
      <c r="Q5" s="2">
        <v>31</v>
      </c>
      <c r="R5" s="2">
        <v>32</v>
      </c>
      <c r="S5" s="2">
        <v>63</v>
      </c>
      <c r="T5" s="2">
        <v>422</v>
      </c>
      <c r="U5" s="2">
        <v>185</v>
      </c>
      <c r="V5" s="2">
        <v>607</v>
      </c>
      <c r="W5" s="2">
        <v>250</v>
      </c>
      <c r="X5" s="2">
        <v>88</v>
      </c>
      <c r="Y5" s="2">
        <v>338</v>
      </c>
      <c r="AB5" s="52"/>
      <c r="AC5" s="52"/>
    </row>
    <row r="6" spans="1:29">
      <c r="A6" s="2" t="s">
        <v>1055</v>
      </c>
      <c r="B6" s="2">
        <v>291</v>
      </c>
      <c r="C6" s="2">
        <v>96</v>
      </c>
      <c r="D6" s="2">
        <v>387</v>
      </c>
      <c r="E6" s="2">
        <v>227</v>
      </c>
      <c r="F6" s="2">
        <v>71</v>
      </c>
      <c r="G6" s="2">
        <v>298</v>
      </c>
      <c r="H6" s="2">
        <v>0</v>
      </c>
      <c r="I6" s="2">
        <v>0</v>
      </c>
      <c r="J6" s="2">
        <v>0</v>
      </c>
      <c r="K6" s="2">
        <v>0</v>
      </c>
      <c r="L6" s="2">
        <v>0</v>
      </c>
      <c r="M6" s="2">
        <v>0</v>
      </c>
      <c r="N6" s="2">
        <v>20</v>
      </c>
      <c r="O6" s="2">
        <v>51</v>
      </c>
      <c r="P6" s="2">
        <v>71</v>
      </c>
      <c r="Q6" s="2">
        <v>18</v>
      </c>
      <c r="R6" s="2">
        <v>40</v>
      </c>
      <c r="S6" s="2">
        <v>58</v>
      </c>
      <c r="T6" s="2">
        <v>382</v>
      </c>
      <c r="U6" s="2">
        <v>209</v>
      </c>
      <c r="V6" s="2">
        <v>591</v>
      </c>
      <c r="W6" s="2">
        <v>228</v>
      </c>
      <c r="X6" s="2">
        <v>98</v>
      </c>
      <c r="Y6" s="2">
        <v>326</v>
      </c>
      <c r="AB6" s="52"/>
      <c r="AC6" s="52"/>
    </row>
    <row r="7" spans="1:29">
      <c r="A7" s="2" t="s">
        <v>1056</v>
      </c>
      <c r="B7" s="2">
        <v>265</v>
      </c>
      <c r="C7" s="2">
        <v>63</v>
      </c>
      <c r="D7" s="2">
        <v>328</v>
      </c>
      <c r="E7" s="2">
        <v>201</v>
      </c>
      <c r="F7" s="2">
        <v>45</v>
      </c>
      <c r="G7" s="2">
        <v>246</v>
      </c>
      <c r="H7" s="2">
        <v>0</v>
      </c>
      <c r="I7" s="2">
        <v>0</v>
      </c>
      <c r="J7" s="2">
        <v>0</v>
      </c>
      <c r="K7" s="2">
        <v>0</v>
      </c>
      <c r="L7" s="2">
        <v>0</v>
      </c>
      <c r="M7" s="2">
        <v>0</v>
      </c>
      <c r="N7" s="2">
        <v>19</v>
      </c>
      <c r="O7" s="2">
        <v>34</v>
      </c>
      <c r="P7" s="2">
        <v>53</v>
      </c>
      <c r="Q7" s="2">
        <v>18</v>
      </c>
      <c r="R7" s="2">
        <v>27</v>
      </c>
      <c r="S7" s="2">
        <v>45</v>
      </c>
      <c r="T7" s="2">
        <v>316</v>
      </c>
      <c r="U7" s="2">
        <v>123</v>
      </c>
      <c r="V7" s="2">
        <v>439</v>
      </c>
      <c r="W7" s="2">
        <v>203</v>
      </c>
      <c r="X7" s="2">
        <v>73</v>
      </c>
      <c r="Y7" s="2">
        <v>276</v>
      </c>
      <c r="AB7" s="52"/>
      <c r="AC7" s="52"/>
    </row>
    <row r="8" spans="1:29">
      <c r="A8" s="2" t="s">
        <v>1057</v>
      </c>
      <c r="B8" s="2">
        <v>140</v>
      </c>
      <c r="C8" s="2">
        <v>95</v>
      </c>
      <c r="D8" s="2">
        <v>235</v>
      </c>
      <c r="E8" s="2">
        <v>93</v>
      </c>
      <c r="F8" s="2">
        <v>68</v>
      </c>
      <c r="G8" s="2">
        <v>161</v>
      </c>
      <c r="H8" s="2">
        <v>0</v>
      </c>
      <c r="I8" s="2">
        <v>0</v>
      </c>
      <c r="J8" s="2">
        <v>0</v>
      </c>
      <c r="K8" s="2">
        <v>0</v>
      </c>
      <c r="L8" s="2">
        <v>0</v>
      </c>
      <c r="M8" s="2">
        <v>0</v>
      </c>
      <c r="N8" s="2">
        <v>5</v>
      </c>
      <c r="O8" s="2">
        <v>28</v>
      </c>
      <c r="P8" s="2">
        <v>33</v>
      </c>
      <c r="Q8" s="2">
        <v>5</v>
      </c>
      <c r="R8" s="2">
        <v>22</v>
      </c>
      <c r="S8" s="2">
        <v>27</v>
      </c>
      <c r="T8" s="2">
        <v>165</v>
      </c>
      <c r="U8" s="2">
        <v>156</v>
      </c>
      <c r="V8" s="2">
        <v>321</v>
      </c>
      <c r="W8" s="2">
        <v>95</v>
      </c>
      <c r="X8" s="2">
        <v>82</v>
      </c>
      <c r="Y8" s="2">
        <v>177</v>
      </c>
      <c r="AB8" s="52"/>
      <c r="AC8" s="52"/>
    </row>
    <row r="9" spans="1:29">
      <c r="A9" s="2" t="s">
        <v>1058</v>
      </c>
      <c r="B9" s="2">
        <v>116</v>
      </c>
      <c r="C9" s="2">
        <v>77</v>
      </c>
      <c r="D9" s="2">
        <v>193</v>
      </c>
      <c r="E9" s="2">
        <v>85</v>
      </c>
      <c r="F9" s="2">
        <v>58</v>
      </c>
      <c r="G9" s="2">
        <v>143</v>
      </c>
      <c r="H9" s="2">
        <v>0</v>
      </c>
      <c r="I9" s="2">
        <v>0</v>
      </c>
      <c r="J9" s="2">
        <v>0</v>
      </c>
      <c r="K9" s="2">
        <v>0</v>
      </c>
      <c r="L9" s="2">
        <v>0</v>
      </c>
      <c r="M9" s="2">
        <v>0</v>
      </c>
      <c r="N9" s="2">
        <v>8</v>
      </c>
      <c r="O9" s="2">
        <v>32</v>
      </c>
      <c r="P9" s="2">
        <v>40</v>
      </c>
      <c r="Q9" s="2">
        <v>7</v>
      </c>
      <c r="R9" s="2">
        <v>26</v>
      </c>
      <c r="S9" s="2">
        <v>33</v>
      </c>
      <c r="T9" s="2">
        <v>134</v>
      </c>
      <c r="U9" s="2">
        <v>125</v>
      </c>
      <c r="V9" s="2">
        <v>259</v>
      </c>
      <c r="W9" s="2">
        <v>86</v>
      </c>
      <c r="X9" s="2">
        <v>64</v>
      </c>
      <c r="Y9" s="2">
        <v>150</v>
      </c>
      <c r="AB9" s="52"/>
      <c r="AC9" s="52"/>
    </row>
    <row r="10" spans="1:29">
      <c r="A10" s="2" t="s">
        <v>1059</v>
      </c>
      <c r="B10" s="2">
        <v>332</v>
      </c>
      <c r="C10" s="2">
        <v>64</v>
      </c>
      <c r="D10" s="2">
        <v>396</v>
      </c>
      <c r="E10" s="2">
        <v>237</v>
      </c>
      <c r="F10" s="2">
        <v>42</v>
      </c>
      <c r="G10" s="2">
        <v>279</v>
      </c>
      <c r="H10" s="2">
        <v>0</v>
      </c>
      <c r="I10" s="2">
        <v>0</v>
      </c>
      <c r="J10" s="2">
        <v>0</v>
      </c>
      <c r="K10" s="2">
        <v>0</v>
      </c>
      <c r="L10" s="2">
        <v>0</v>
      </c>
      <c r="M10" s="2">
        <v>0</v>
      </c>
      <c r="N10" s="2">
        <v>26</v>
      </c>
      <c r="O10" s="2">
        <v>53</v>
      </c>
      <c r="P10" s="2">
        <v>79</v>
      </c>
      <c r="Q10" s="2">
        <v>19</v>
      </c>
      <c r="R10" s="2">
        <v>32</v>
      </c>
      <c r="S10" s="2">
        <v>51</v>
      </c>
      <c r="T10" s="2">
        <v>458</v>
      </c>
      <c r="U10" s="2">
        <v>167</v>
      </c>
      <c r="V10" s="2">
        <v>625</v>
      </c>
      <c r="W10" s="2">
        <v>239</v>
      </c>
      <c r="X10" s="2">
        <v>60</v>
      </c>
      <c r="Y10" s="2">
        <v>298</v>
      </c>
      <c r="AB10" s="52"/>
      <c r="AC10" s="52"/>
    </row>
    <row r="11" spans="1:29">
      <c r="A11" s="2" t="s">
        <v>1060</v>
      </c>
      <c r="B11" s="2">
        <v>326</v>
      </c>
      <c r="C11" s="2">
        <v>105</v>
      </c>
      <c r="D11" s="2">
        <v>431</v>
      </c>
      <c r="E11" s="2">
        <v>227</v>
      </c>
      <c r="F11" s="2">
        <v>70</v>
      </c>
      <c r="G11" s="2">
        <v>297</v>
      </c>
      <c r="H11" s="2">
        <v>0</v>
      </c>
      <c r="I11" s="2">
        <v>0</v>
      </c>
      <c r="J11" s="2">
        <v>0</v>
      </c>
      <c r="K11" s="2">
        <v>0</v>
      </c>
      <c r="L11" s="2">
        <v>0</v>
      </c>
      <c r="M11" s="2">
        <v>0</v>
      </c>
      <c r="N11" s="2">
        <v>38</v>
      </c>
      <c r="O11" s="2">
        <v>61</v>
      </c>
      <c r="P11" s="2">
        <v>99</v>
      </c>
      <c r="Q11" s="2">
        <v>36</v>
      </c>
      <c r="R11" s="2">
        <v>41</v>
      </c>
      <c r="S11" s="2">
        <v>77</v>
      </c>
      <c r="T11" s="2">
        <v>420</v>
      </c>
      <c r="U11" s="2">
        <v>205</v>
      </c>
      <c r="V11" s="2">
        <v>625</v>
      </c>
      <c r="W11" s="2">
        <v>229</v>
      </c>
      <c r="X11" s="2">
        <v>85</v>
      </c>
      <c r="Y11" s="2">
        <v>314</v>
      </c>
      <c r="AB11" s="52"/>
      <c r="AC11" s="52"/>
    </row>
    <row r="12" spans="1:29">
      <c r="A12" s="2" t="s">
        <v>1061</v>
      </c>
      <c r="B12" s="2">
        <v>335</v>
      </c>
      <c r="C12" s="2">
        <v>100</v>
      </c>
      <c r="D12" s="2">
        <v>435</v>
      </c>
      <c r="E12" s="2">
        <v>227</v>
      </c>
      <c r="F12" s="2">
        <v>70</v>
      </c>
      <c r="G12" s="2">
        <v>297</v>
      </c>
      <c r="H12" s="2">
        <v>0</v>
      </c>
      <c r="I12" s="2">
        <v>0</v>
      </c>
      <c r="J12" s="2">
        <v>0</v>
      </c>
      <c r="K12" s="2">
        <v>0</v>
      </c>
      <c r="L12" s="2">
        <v>0</v>
      </c>
      <c r="M12" s="2">
        <v>0</v>
      </c>
      <c r="N12" s="2">
        <v>34</v>
      </c>
      <c r="O12" s="2">
        <v>76</v>
      </c>
      <c r="P12" s="2">
        <v>110</v>
      </c>
      <c r="Q12" s="2">
        <v>30</v>
      </c>
      <c r="R12" s="2">
        <v>45</v>
      </c>
      <c r="S12" s="2">
        <v>75</v>
      </c>
      <c r="T12" s="2">
        <v>423</v>
      </c>
      <c r="U12" s="2">
        <v>209</v>
      </c>
      <c r="V12" s="2">
        <v>632</v>
      </c>
      <c r="W12" s="2">
        <v>229</v>
      </c>
      <c r="X12" s="2">
        <v>93</v>
      </c>
      <c r="Y12" s="2">
        <v>322</v>
      </c>
      <c r="AB12" s="52"/>
      <c r="AC12" s="52"/>
    </row>
    <row r="13" spans="1:29">
      <c r="A13" s="2" t="s">
        <v>1062</v>
      </c>
      <c r="B13" s="2">
        <v>274</v>
      </c>
      <c r="C13" s="2">
        <v>72</v>
      </c>
      <c r="D13" s="2">
        <v>346</v>
      </c>
      <c r="E13" s="2">
        <v>229</v>
      </c>
      <c r="F13" s="2">
        <v>52</v>
      </c>
      <c r="G13" s="2">
        <v>281</v>
      </c>
      <c r="H13" s="2">
        <v>0</v>
      </c>
      <c r="I13" s="2">
        <v>0</v>
      </c>
      <c r="J13" s="2">
        <v>0</v>
      </c>
      <c r="K13" s="2">
        <v>0</v>
      </c>
      <c r="L13" s="2">
        <v>0</v>
      </c>
      <c r="M13" s="2">
        <v>0</v>
      </c>
      <c r="N13" s="2">
        <v>39</v>
      </c>
      <c r="O13" s="2">
        <v>38</v>
      </c>
      <c r="P13" s="2">
        <v>77</v>
      </c>
      <c r="Q13" s="2">
        <v>35</v>
      </c>
      <c r="R13" s="2">
        <v>27</v>
      </c>
      <c r="S13" s="2">
        <v>62</v>
      </c>
      <c r="T13" s="2">
        <v>367</v>
      </c>
      <c r="U13" s="2">
        <v>134</v>
      </c>
      <c r="V13" s="2">
        <v>501</v>
      </c>
      <c r="W13" s="2">
        <v>229</v>
      </c>
      <c r="X13" s="2">
        <v>70</v>
      </c>
      <c r="Y13" s="2">
        <v>299</v>
      </c>
      <c r="AB13" s="52"/>
      <c r="AC13" s="52"/>
    </row>
    <row r="14" spans="1:29">
      <c r="A14" s="2" t="s">
        <v>1063</v>
      </c>
      <c r="B14" s="2">
        <v>287</v>
      </c>
      <c r="C14" s="2">
        <v>102</v>
      </c>
      <c r="D14" s="2">
        <v>389</v>
      </c>
      <c r="E14" s="2">
        <v>202</v>
      </c>
      <c r="F14" s="2">
        <v>57</v>
      </c>
      <c r="G14" s="2">
        <v>259</v>
      </c>
      <c r="H14" s="2">
        <v>0</v>
      </c>
      <c r="I14" s="2">
        <v>0</v>
      </c>
      <c r="J14" s="2">
        <v>0</v>
      </c>
      <c r="K14" s="2">
        <v>0</v>
      </c>
      <c r="L14" s="2">
        <v>0</v>
      </c>
      <c r="M14" s="2">
        <v>0</v>
      </c>
      <c r="N14" s="2">
        <v>27</v>
      </c>
      <c r="O14" s="2">
        <v>36</v>
      </c>
      <c r="P14" s="2">
        <v>63</v>
      </c>
      <c r="Q14" s="2">
        <v>24</v>
      </c>
      <c r="R14" s="2">
        <v>25</v>
      </c>
      <c r="S14" s="2">
        <v>49</v>
      </c>
      <c r="T14" s="2">
        <v>338</v>
      </c>
      <c r="U14" s="2">
        <v>168</v>
      </c>
      <c r="V14" s="2">
        <v>506</v>
      </c>
      <c r="W14" s="2">
        <v>203</v>
      </c>
      <c r="X14" s="2">
        <v>68</v>
      </c>
      <c r="Y14" s="2">
        <v>271</v>
      </c>
      <c r="AB14" s="52"/>
      <c r="AC14" s="52"/>
    </row>
    <row r="15" spans="1:29">
      <c r="A15" s="2" t="s">
        <v>1064</v>
      </c>
      <c r="B15" s="2">
        <v>154</v>
      </c>
      <c r="C15" s="2">
        <v>60</v>
      </c>
      <c r="D15" s="2">
        <v>214</v>
      </c>
      <c r="E15" s="2">
        <v>104</v>
      </c>
      <c r="F15" s="2">
        <v>49</v>
      </c>
      <c r="G15" s="2">
        <v>153</v>
      </c>
      <c r="H15" s="2">
        <v>0</v>
      </c>
      <c r="I15" s="2">
        <v>0</v>
      </c>
      <c r="J15" s="2">
        <v>0</v>
      </c>
      <c r="K15" s="2">
        <v>0</v>
      </c>
      <c r="L15" s="2">
        <v>0</v>
      </c>
      <c r="M15" s="2">
        <v>0</v>
      </c>
      <c r="N15" s="2">
        <v>18</v>
      </c>
      <c r="O15" s="2">
        <v>29</v>
      </c>
      <c r="P15" s="2">
        <v>47</v>
      </c>
      <c r="Q15" s="2">
        <v>15</v>
      </c>
      <c r="R15" s="2">
        <v>21</v>
      </c>
      <c r="S15" s="2">
        <v>36</v>
      </c>
      <c r="T15" s="2">
        <v>187</v>
      </c>
      <c r="U15" s="2">
        <v>126</v>
      </c>
      <c r="V15" s="2">
        <v>313</v>
      </c>
      <c r="W15" s="2">
        <v>105</v>
      </c>
      <c r="X15" s="2">
        <v>61</v>
      </c>
      <c r="Y15" s="2">
        <v>166</v>
      </c>
      <c r="AB15" s="52"/>
      <c r="AC15" s="52"/>
    </row>
    <row r="16" spans="1:29">
      <c r="A16" s="2" t="s">
        <v>991</v>
      </c>
      <c r="B16" s="2">
        <v>95</v>
      </c>
      <c r="C16" s="2">
        <v>58</v>
      </c>
      <c r="D16" s="2">
        <v>153</v>
      </c>
      <c r="E16" s="2">
        <v>80</v>
      </c>
      <c r="F16" s="2">
        <v>42</v>
      </c>
      <c r="G16" s="2">
        <v>122</v>
      </c>
      <c r="H16" s="2">
        <v>0</v>
      </c>
      <c r="I16" s="2">
        <v>0</v>
      </c>
      <c r="J16" s="2">
        <v>0</v>
      </c>
      <c r="K16" s="2">
        <v>0</v>
      </c>
      <c r="L16" s="2">
        <v>0</v>
      </c>
      <c r="M16" s="2">
        <v>0</v>
      </c>
      <c r="N16" s="2">
        <v>11</v>
      </c>
      <c r="O16" s="2">
        <v>41</v>
      </c>
      <c r="P16" s="2">
        <v>52</v>
      </c>
      <c r="Q16" s="2">
        <v>10</v>
      </c>
      <c r="R16" s="2">
        <v>27</v>
      </c>
      <c r="S16" s="2">
        <v>37</v>
      </c>
      <c r="T16" s="2">
        <v>118</v>
      </c>
      <c r="U16" s="2">
        <v>130</v>
      </c>
      <c r="V16" s="2">
        <v>248</v>
      </c>
      <c r="W16" s="2">
        <v>81</v>
      </c>
      <c r="X16" s="2">
        <v>59</v>
      </c>
      <c r="Y16" s="2">
        <v>140</v>
      </c>
      <c r="AB16" s="52"/>
      <c r="AC16" s="52"/>
    </row>
    <row r="17" spans="1:29">
      <c r="A17" s="2" t="s">
        <v>1065</v>
      </c>
      <c r="B17" s="2">
        <v>267</v>
      </c>
      <c r="C17" s="2">
        <v>62</v>
      </c>
      <c r="D17" s="2">
        <v>329</v>
      </c>
      <c r="E17" s="2">
        <v>199</v>
      </c>
      <c r="F17" s="2">
        <v>38</v>
      </c>
      <c r="G17" s="2">
        <v>237</v>
      </c>
      <c r="H17" s="2">
        <v>0</v>
      </c>
      <c r="I17" s="2">
        <v>0</v>
      </c>
      <c r="J17" s="2">
        <v>0</v>
      </c>
      <c r="K17" s="2">
        <v>0</v>
      </c>
      <c r="L17" s="2">
        <v>0</v>
      </c>
      <c r="M17" s="2">
        <v>0</v>
      </c>
      <c r="N17" s="2">
        <v>25</v>
      </c>
      <c r="O17" s="2">
        <v>32</v>
      </c>
      <c r="P17" s="2">
        <v>57</v>
      </c>
      <c r="Q17" s="2">
        <v>22</v>
      </c>
      <c r="R17" s="2">
        <v>20</v>
      </c>
      <c r="S17" s="2">
        <v>42</v>
      </c>
      <c r="T17" s="2">
        <v>341</v>
      </c>
      <c r="U17" s="2">
        <v>124</v>
      </c>
      <c r="V17" s="2">
        <v>465</v>
      </c>
      <c r="W17" s="2">
        <v>200</v>
      </c>
      <c r="X17" s="2">
        <v>47</v>
      </c>
      <c r="Y17" s="2">
        <v>247</v>
      </c>
      <c r="AB17" s="52"/>
      <c r="AC17" s="52"/>
    </row>
    <row r="18" spans="1:29">
      <c r="A18" s="2" t="s">
        <v>1066</v>
      </c>
      <c r="B18" s="2">
        <v>300</v>
      </c>
      <c r="C18" s="2">
        <v>100</v>
      </c>
      <c r="D18" s="2">
        <v>400</v>
      </c>
      <c r="E18" s="2">
        <v>216</v>
      </c>
      <c r="F18" s="2">
        <v>58</v>
      </c>
      <c r="G18" s="2">
        <v>274</v>
      </c>
      <c r="H18" s="2">
        <v>0</v>
      </c>
      <c r="I18" s="2">
        <v>0</v>
      </c>
      <c r="J18" s="2">
        <v>0</v>
      </c>
      <c r="K18" s="2">
        <v>0</v>
      </c>
      <c r="L18" s="2">
        <v>0</v>
      </c>
      <c r="M18" s="2">
        <v>0</v>
      </c>
      <c r="N18" s="2">
        <v>32</v>
      </c>
      <c r="O18" s="2">
        <v>41</v>
      </c>
      <c r="P18" s="2">
        <v>73</v>
      </c>
      <c r="Q18" s="2">
        <v>29</v>
      </c>
      <c r="R18" s="2">
        <v>31</v>
      </c>
      <c r="S18" s="2">
        <v>60</v>
      </c>
      <c r="T18" s="2">
        <v>396</v>
      </c>
      <c r="U18" s="2">
        <v>181</v>
      </c>
      <c r="V18" s="2">
        <v>577</v>
      </c>
      <c r="W18" s="2">
        <v>216</v>
      </c>
      <c r="X18" s="2">
        <v>73</v>
      </c>
      <c r="Y18" s="2">
        <v>289</v>
      </c>
      <c r="AB18" s="52"/>
      <c r="AC18" s="52"/>
    </row>
    <row r="19" spans="1:29">
      <c r="A19" s="2" t="s">
        <v>1067</v>
      </c>
      <c r="B19" s="2">
        <v>257</v>
      </c>
      <c r="C19" s="2">
        <v>81</v>
      </c>
      <c r="D19" s="2">
        <v>338</v>
      </c>
      <c r="E19" s="2">
        <v>211</v>
      </c>
      <c r="F19" s="2">
        <v>61</v>
      </c>
      <c r="G19" s="2">
        <v>272</v>
      </c>
      <c r="H19" s="2">
        <v>0</v>
      </c>
      <c r="I19" s="2">
        <v>0</v>
      </c>
      <c r="J19" s="2">
        <v>0</v>
      </c>
      <c r="K19" s="2">
        <v>0</v>
      </c>
      <c r="L19" s="2">
        <v>0</v>
      </c>
      <c r="M19" s="2">
        <v>0</v>
      </c>
      <c r="N19" s="2">
        <v>22</v>
      </c>
      <c r="O19" s="2">
        <v>41</v>
      </c>
      <c r="P19" s="2">
        <v>63</v>
      </c>
      <c r="Q19" s="2">
        <v>21</v>
      </c>
      <c r="R19" s="2">
        <v>28</v>
      </c>
      <c r="S19" s="2">
        <v>49</v>
      </c>
      <c r="T19" s="2">
        <v>338</v>
      </c>
      <c r="U19" s="2">
        <v>165</v>
      </c>
      <c r="V19" s="2">
        <v>503</v>
      </c>
      <c r="W19" s="2">
        <v>214</v>
      </c>
      <c r="X19" s="2">
        <v>75</v>
      </c>
      <c r="Y19" s="2">
        <v>289</v>
      </c>
      <c r="AB19" s="52"/>
      <c r="AC19" s="52"/>
    </row>
    <row r="20" spans="1:29">
      <c r="A20" s="2" t="s">
        <v>1068</v>
      </c>
      <c r="B20" s="2">
        <v>292</v>
      </c>
      <c r="C20" s="2">
        <v>93</v>
      </c>
      <c r="D20" s="2">
        <v>385</v>
      </c>
      <c r="E20" s="2">
        <v>231</v>
      </c>
      <c r="F20" s="2">
        <v>61</v>
      </c>
      <c r="G20" s="2">
        <v>292</v>
      </c>
      <c r="H20" s="2">
        <v>0</v>
      </c>
      <c r="I20" s="2">
        <v>0</v>
      </c>
      <c r="J20" s="2">
        <v>0</v>
      </c>
      <c r="K20" s="2">
        <v>0</v>
      </c>
      <c r="L20" s="2">
        <v>0</v>
      </c>
      <c r="M20" s="2">
        <v>0</v>
      </c>
      <c r="N20" s="2">
        <v>23</v>
      </c>
      <c r="O20" s="2">
        <v>34</v>
      </c>
      <c r="P20" s="2">
        <v>57</v>
      </c>
      <c r="Q20" s="2">
        <v>21</v>
      </c>
      <c r="R20" s="2">
        <v>25</v>
      </c>
      <c r="S20" s="2">
        <v>46</v>
      </c>
      <c r="T20" s="2">
        <v>368</v>
      </c>
      <c r="U20" s="2">
        <v>159</v>
      </c>
      <c r="V20" s="2">
        <v>527</v>
      </c>
      <c r="W20" s="2">
        <v>238</v>
      </c>
      <c r="X20" s="2">
        <v>80</v>
      </c>
      <c r="Y20" s="2">
        <v>318</v>
      </c>
      <c r="AB20" s="52"/>
      <c r="AC20" s="52"/>
    </row>
    <row r="21" spans="1:29">
      <c r="A21" s="2" t="s">
        <v>1069</v>
      </c>
      <c r="B21" s="2">
        <v>289</v>
      </c>
      <c r="C21" s="2">
        <v>81</v>
      </c>
      <c r="D21" s="2">
        <v>370</v>
      </c>
      <c r="E21" s="2">
        <v>212</v>
      </c>
      <c r="F21" s="2">
        <v>53</v>
      </c>
      <c r="G21" s="2">
        <v>265</v>
      </c>
      <c r="H21" s="2">
        <v>0</v>
      </c>
      <c r="I21" s="2">
        <v>0</v>
      </c>
      <c r="J21" s="2">
        <v>0</v>
      </c>
      <c r="K21" s="2">
        <v>0</v>
      </c>
      <c r="L21" s="2">
        <v>0</v>
      </c>
      <c r="M21" s="2">
        <v>0</v>
      </c>
      <c r="N21" s="2">
        <v>28</v>
      </c>
      <c r="O21" s="2">
        <v>64</v>
      </c>
      <c r="P21" s="2">
        <v>92</v>
      </c>
      <c r="Q21" s="2">
        <v>25</v>
      </c>
      <c r="R21" s="2">
        <v>39</v>
      </c>
      <c r="S21" s="2">
        <v>64</v>
      </c>
      <c r="T21" s="2">
        <v>376</v>
      </c>
      <c r="U21" s="2">
        <v>196</v>
      </c>
      <c r="V21" s="2">
        <v>572</v>
      </c>
      <c r="W21" s="2">
        <v>214</v>
      </c>
      <c r="X21" s="2">
        <v>80</v>
      </c>
      <c r="Y21" s="2">
        <v>294</v>
      </c>
      <c r="AB21" s="52"/>
      <c r="AC21" s="52"/>
    </row>
    <row r="22" spans="1:29">
      <c r="A22" s="2" t="s">
        <v>1070</v>
      </c>
      <c r="B22" s="2">
        <v>150</v>
      </c>
      <c r="C22" s="2">
        <v>83</v>
      </c>
      <c r="D22" s="2">
        <v>233</v>
      </c>
      <c r="E22" s="2">
        <v>106</v>
      </c>
      <c r="F22" s="2">
        <v>57</v>
      </c>
      <c r="G22" s="2">
        <v>163</v>
      </c>
      <c r="H22" s="2">
        <v>0</v>
      </c>
      <c r="I22" s="2">
        <v>0</v>
      </c>
      <c r="J22" s="2">
        <v>0</v>
      </c>
      <c r="K22" s="2">
        <v>0</v>
      </c>
      <c r="L22" s="2">
        <v>0</v>
      </c>
      <c r="M22" s="2">
        <v>0</v>
      </c>
      <c r="N22" s="2">
        <v>10</v>
      </c>
      <c r="O22" s="2">
        <v>35</v>
      </c>
      <c r="P22" s="2">
        <v>45</v>
      </c>
      <c r="Q22" s="2">
        <v>9</v>
      </c>
      <c r="R22" s="2">
        <v>22</v>
      </c>
      <c r="S22" s="2">
        <v>31</v>
      </c>
      <c r="T22" s="2">
        <v>177</v>
      </c>
      <c r="U22" s="2">
        <v>153</v>
      </c>
      <c r="V22" s="2">
        <v>330</v>
      </c>
      <c r="W22" s="2">
        <v>107</v>
      </c>
      <c r="X22" s="2">
        <v>69</v>
      </c>
      <c r="Y22" s="2">
        <v>176</v>
      </c>
      <c r="AB22" s="52"/>
      <c r="AC22" s="52"/>
    </row>
    <row r="23" spans="1:29">
      <c r="A23" s="2" t="s">
        <v>1071</v>
      </c>
      <c r="B23" s="2">
        <v>118</v>
      </c>
      <c r="C23" s="2">
        <v>57</v>
      </c>
      <c r="D23" s="2">
        <v>175</v>
      </c>
      <c r="E23" s="2">
        <v>93</v>
      </c>
      <c r="F23" s="2">
        <v>43</v>
      </c>
      <c r="G23" s="2">
        <v>135</v>
      </c>
      <c r="H23" s="2">
        <v>0</v>
      </c>
      <c r="I23" s="2">
        <v>0</v>
      </c>
      <c r="J23" s="2">
        <v>0</v>
      </c>
      <c r="K23" s="2">
        <v>0</v>
      </c>
      <c r="L23" s="2">
        <v>0</v>
      </c>
      <c r="M23" s="2">
        <v>0</v>
      </c>
      <c r="N23" s="2">
        <v>15</v>
      </c>
      <c r="O23" s="2">
        <v>40</v>
      </c>
      <c r="P23" s="2">
        <v>55</v>
      </c>
      <c r="Q23" s="2">
        <v>15</v>
      </c>
      <c r="R23" s="2">
        <v>30</v>
      </c>
      <c r="S23" s="2">
        <v>45</v>
      </c>
      <c r="T23" s="2">
        <v>143</v>
      </c>
      <c r="U23" s="2">
        <v>126</v>
      </c>
      <c r="V23" s="2">
        <v>269</v>
      </c>
      <c r="W23" s="2">
        <v>93</v>
      </c>
      <c r="X23" s="2">
        <v>64</v>
      </c>
      <c r="Y23" s="2">
        <v>156</v>
      </c>
      <c r="AB23" s="52"/>
      <c r="AC23" s="52"/>
    </row>
    <row r="24" spans="1:29">
      <c r="A24" s="2" t="s">
        <v>1072</v>
      </c>
      <c r="B24" s="2">
        <v>314</v>
      </c>
      <c r="C24" s="2">
        <v>67</v>
      </c>
      <c r="D24" s="2">
        <v>381</v>
      </c>
      <c r="E24" s="2">
        <v>239</v>
      </c>
      <c r="F24" s="2">
        <v>47</v>
      </c>
      <c r="G24" s="2">
        <v>286</v>
      </c>
      <c r="H24" s="2">
        <v>0</v>
      </c>
      <c r="I24" s="2">
        <v>0</v>
      </c>
      <c r="J24" s="2">
        <v>0</v>
      </c>
      <c r="K24" s="2">
        <v>0</v>
      </c>
      <c r="L24" s="2">
        <v>0</v>
      </c>
      <c r="M24" s="2">
        <v>0</v>
      </c>
      <c r="N24" s="2">
        <v>36</v>
      </c>
      <c r="O24" s="2">
        <v>30</v>
      </c>
      <c r="P24" s="2">
        <v>66</v>
      </c>
      <c r="Q24" s="2">
        <v>33</v>
      </c>
      <c r="R24" s="2">
        <v>23</v>
      </c>
      <c r="S24" s="2">
        <v>56</v>
      </c>
      <c r="T24" s="2">
        <v>411</v>
      </c>
      <c r="U24" s="2">
        <v>141</v>
      </c>
      <c r="V24" s="2">
        <v>552</v>
      </c>
      <c r="W24" s="2">
        <v>242</v>
      </c>
      <c r="X24" s="2">
        <v>66</v>
      </c>
      <c r="Y24" s="2">
        <v>307</v>
      </c>
      <c r="AB24" s="52"/>
      <c r="AC24" s="52"/>
    </row>
    <row r="25" spans="1:29">
      <c r="A25" s="2" t="s">
        <v>1073</v>
      </c>
      <c r="B25" s="2">
        <v>357</v>
      </c>
      <c r="C25" s="2">
        <v>102</v>
      </c>
      <c r="D25" s="2">
        <v>459</v>
      </c>
      <c r="E25" s="2">
        <v>231</v>
      </c>
      <c r="F25" s="2">
        <v>68</v>
      </c>
      <c r="G25" s="2">
        <v>299</v>
      </c>
      <c r="H25" s="2">
        <v>0</v>
      </c>
      <c r="I25" s="2">
        <v>0</v>
      </c>
      <c r="J25" s="2">
        <v>0</v>
      </c>
      <c r="K25" s="2">
        <v>0</v>
      </c>
      <c r="L25" s="2">
        <v>0</v>
      </c>
      <c r="M25" s="2">
        <v>0</v>
      </c>
      <c r="N25" s="2">
        <v>38</v>
      </c>
      <c r="O25" s="2">
        <v>69</v>
      </c>
      <c r="P25" s="2">
        <v>107</v>
      </c>
      <c r="Q25" s="2">
        <v>34</v>
      </c>
      <c r="R25" s="2">
        <v>42</v>
      </c>
      <c r="S25" s="2">
        <v>76</v>
      </c>
      <c r="T25" s="2">
        <v>493</v>
      </c>
      <c r="U25" s="2">
        <v>233</v>
      </c>
      <c r="V25" s="2">
        <v>726</v>
      </c>
      <c r="W25" s="2">
        <v>238</v>
      </c>
      <c r="X25" s="2">
        <v>96</v>
      </c>
      <c r="Y25" s="2">
        <v>334</v>
      </c>
      <c r="AB25" s="52"/>
      <c r="AC25" s="52"/>
    </row>
    <row r="26" spans="1:29">
      <c r="A26" s="2" t="s">
        <v>1074</v>
      </c>
      <c r="B26" s="2">
        <v>317</v>
      </c>
      <c r="C26" s="2">
        <v>138</v>
      </c>
      <c r="D26" s="2">
        <v>455</v>
      </c>
      <c r="E26" s="2">
        <v>221</v>
      </c>
      <c r="F26" s="2">
        <v>90</v>
      </c>
      <c r="G26" s="2">
        <v>311</v>
      </c>
      <c r="H26" s="2">
        <v>0</v>
      </c>
      <c r="I26" s="2">
        <v>0</v>
      </c>
      <c r="J26" s="2">
        <v>0</v>
      </c>
      <c r="K26" s="2">
        <v>0</v>
      </c>
      <c r="L26" s="2">
        <v>0</v>
      </c>
      <c r="M26" s="2">
        <v>0</v>
      </c>
      <c r="N26" s="2">
        <v>29</v>
      </c>
      <c r="O26" s="2">
        <v>32</v>
      </c>
      <c r="P26" s="2">
        <v>61</v>
      </c>
      <c r="Q26" s="2">
        <v>28</v>
      </c>
      <c r="R26" s="2">
        <v>23</v>
      </c>
      <c r="S26" s="2">
        <v>51</v>
      </c>
      <c r="T26" s="2">
        <v>428</v>
      </c>
      <c r="U26" s="2">
        <v>205</v>
      </c>
      <c r="V26" s="2">
        <v>633</v>
      </c>
      <c r="W26" s="2">
        <v>224</v>
      </c>
      <c r="X26" s="2">
        <v>102</v>
      </c>
      <c r="Y26" s="2">
        <v>326</v>
      </c>
      <c r="AB26" s="52"/>
      <c r="AC26" s="52"/>
    </row>
    <row r="27" spans="1:29">
      <c r="A27" s="2" t="s">
        <v>1075</v>
      </c>
      <c r="B27" s="2">
        <v>363</v>
      </c>
      <c r="C27" s="2">
        <v>118</v>
      </c>
      <c r="D27" s="2">
        <v>481</v>
      </c>
      <c r="E27" s="2">
        <v>242</v>
      </c>
      <c r="F27" s="2">
        <v>79</v>
      </c>
      <c r="G27" s="2">
        <v>320</v>
      </c>
      <c r="H27" s="2">
        <v>0</v>
      </c>
      <c r="I27" s="2">
        <v>0</v>
      </c>
      <c r="J27" s="2">
        <v>0</v>
      </c>
      <c r="K27" s="2">
        <v>0</v>
      </c>
      <c r="L27" s="2">
        <v>0</v>
      </c>
      <c r="M27" s="2">
        <v>0</v>
      </c>
      <c r="N27" s="2">
        <v>47</v>
      </c>
      <c r="O27" s="2">
        <v>62</v>
      </c>
      <c r="P27" s="2">
        <v>109</v>
      </c>
      <c r="Q27" s="2">
        <v>42</v>
      </c>
      <c r="R27" s="2">
        <v>41</v>
      </c>
      <c r="S27" s="2">
        <v>82</v>
      </c>
      <c r="T27" s="2">
        <v>474</v>
      </c>
      <c r="U27" s="2">
        <v>247</v>
      </c>
      <c r="V27" s="2">
        <v>721</v>
      </c>
      <c r="W27" s="2">
        <v>242</v>
      </c>
      <c r="X27" s="2">
        <v>100</v>
      </c>
      <c r="Y27" s="2">
        <v>340</v>
      </c>
      <c r="AB27" s="52"/>
      <c r="AC27" s="52"/>
    </row>
    <row r="28" spans="1:29">
      <c r="A28" s="2" t="s">
        <v>1076</v>
      </c>
      <c r="B28" s="2">
        <v>278</v>
      </c>
      <c r="C28" s="2">
        <v>80</v>
      </c>
      <c r="D28" s="2">
        <v>358</v>
      </c>
      <c r="E28" s="2">
        <v>211</v>
      </c>
      <c r="F28" s="2">
        <v>56</v>
      </c>
      <c r="G28" s="2">
        <v>267</v>
      </c>
      <c r="H28" s="2">
        <v>0</v>
      </c>
      <c r="I28" s="2">
        <v>0</v>
      </c>
      <c r="J28" s="2">
        <v>0</v>
      </c>
      <c r="K28" s="2">
        <v>0</v>
      </c>
      <c r="L28" s="2">
        <v>0</v>
      </c>
      <c r="M28" s="2">
        <v>0</v>
      </c>
      <c r="N28" s="2">
        <v>37</v>
      </c>
      <c r="O28" s="2">
        <v>44</v>
      </c>
      <c r="P28" s="2">
        <v>81</v>
      </c>
      <c r="Q28" s="2">
        <v>30</v>
      </c>
      <c r="R28" s="2">
        <v>25</v>
      </c>
      <c r="S28" s="2">
        <v>55</v>
      </c>
      <c r="T28" s="2">
        <v>368</v>
      </c>
      <c r="U28" s="2">
        <v>158</v>
      </c>
      <c r="V28" s="2">
        <v>526</v>
      </c>
      <c r="W28" s="2">
        <v>212</v>
      </c>
      <c r="X28" s="2">
        <v>71</v>
      </c>
      <c r="Y28" s="2">
        <v>282</v>
      </c>
      <c r="AB28" s="52"/>
      <c r="AC28" s="52"/>
    </row>
    <row r="29" spans="1:29">
      <c r="A29" s="2" t="s">
        <v>1077</v>
      </c>
      <c r="B29" s="2">
        <v>126</v>
      </c>
      <c r="C29" s="2">
        <v>45</v>
      </c>
      <c r="D29" s="2">
        <v>171</v>
      </c>
      <c r="E29" s="2">
        <v>100</v>
      </c>
      <c r="F29" s="2">
        <v>35</v>
      </c>
      <c r="G29" s="2">
        <v>135</v>
      </c>
      <c r="H29" s="2">
        <v>0</v>
      </c>
      <c r="I29" s="2">
        <v>0</v>
      </c>
      <c r="J29" s="2">
        <v>0</v>
      </c>
      <c r="K29" s="2">
        <v>0</v>
      </c>
      <c r="L29" s="2">
        <v>0</v>
      </c>
      <c r="M29" s="2">
        <v>0</v>
      </c>
      <c r="N29" s="2">
        <v>20</v>
      </c>
      <c r="O29" s="2">
        <v>22</v>
      </c>
      <c r="P29" s="2">
        <v>42</v>
      </c>
      <c r="Q29" s="2">
        <v>17</v>
      </c>
      <c r="R29" s="2">
        <v>17</v>
      </c>
      <c r="S29" s="2">
        <v>34</v>
      </c>
      <c r="T29" s="2">
        <v>165</v>
      </c>
      <c r="U29" s="2">
        <v>78</v>
      </c>
      <c r="V29" s="2">
        <v>243</v>
      </c>
      <c r="W29" s="2">
        <v>100</v>
      </c>
      <c r="X29" s="2">
        <v>41</v>
      </c>
      <c r="Y29" s="2">
        <v>141</v>
      </c>
      <c r="AB29" s="52"/>
      <c r="AC29" s="52"/>
    </row>
    <row r="30" spans="1:29">
      <c r="A30" s="2" t="s">
        <v>1078</v>
      </c>
      <c r="B30" s="2">
        <v>120</v>
      </c>
      <c r="C30" s="2">
        <v>88</v>
      </c>
      <c r="D30" s="2">
        <v>208</v>
      </c>
      <c r="E30" s="2">
        <v>92</v>
      </c>
      <c r="F30" s="2">
        <v>59</v>
      </c>
      <c r="G30" s="2">
        <v>151</v>
      </c>
      <c r="H30" s="2">
        <v>0</v>
      </c>
      <c r="I30" s="2">
        <v>0</v>
      </c>
      <c r="J30" s="2">
        <v>0</v>
      </c>
      <c r="K30" s="2">
        <v>0</v>
      </c>
      <c r="L30" s="2">
        <v>0</v>
      </c>
      <c r="M30" s="2">
        <v>0</v>
      </c>
      <c r="N30" s="2">
        <v>15</v>
      </c>
      <c r="O30" s="2">
        <v>43</v>
      </c>
      <c r="P30" s="2">
        <v>58</v>
      </c>
      <c r="Q30" s="2">
        <v>14</v>
      </c>
      <c r="R30" s="2">
        <v>27</v>
      </c>
      <c r="S30" s="2">
        <v>41</v>
      </c>
      <c r="T30" s="2">
        <v>150</v>
      </c>
      <c r="U30" s="2">
        <v>176</v>
      </c>
      <c r="V30" s="2">
        <v>326</v>
      </c>
      <c r="W30" s="2">
        <v>93</v>
      </c>
      <c r="X30" s="2">
        <v>75</v>
      </c>
      <c r="Y30" s="2">
        <v>168</v>
      </c>
      <c r="AB30" s="52"/>
      <c r="AC30" s="52"/>
    </row>
    <row r="31" spans="1:29">
      <c r="A31" s="2" t="s">
        <v>1079</v>
      </c>
      <c r="B31" s="2">
        <v>269</v>
      </c>
      <c r="C31" s="2">
        <v>75</v>
      </c>
      <c r="D31" s="2">
        <v>344</v>
      </c>
      <c r="E31" s="2">
        <v>211</v>
      </c>
      <c r="F31" s="2">
        <v>46</v>
      </c>
      <c r="G31" s="2">
        <v>256</v>
      </c>
      <c r="H31" s="2">
        <v>0</v>
      </c>
      <c r="I31" s="2">
        <v>0</v>
      </c>
      <c r="J31" s="2">
        <v>0</v>
      </c>
      <c r="K31" s="2">
        <v>0</v>
      </c>
      <c r="L31" s="2">
        <v>0</v>
      </c>
      <c r="M31" s="2">
        <v>0</v>
      </c>
      <c r="N31" s="2">
        <v>41</v>
      </c>
      <c r="O31" s="2">
        <v>28</v>
      </c>
      <c r="P31" s="2">
        <v>69</v>
      </c>
      <c r="Q31" s="2">
        <v>39</v>
      </c>
      <c r="R31" s="2">
        <v>21</v>
      </c>
      <c r="S31" s="2">
        <v>59</v>
      </c>
      <c r="T31" s="2">
        <v>360</v>
      </c>
      <c r="U31" s="2">
        <v>134</v>
      </c>
      <c r="V31" s="2">
        <v>494</v>
      </c>
      <c r="W31" s="2">
        <v>215</v>
      </c>
      <c r="X31" s="2">
        <v>60</v>
      </c>
      <c r="Y31" s="2">
        <v>274</v>
      </c>
      <c r="AB31" s="52"/>
      <c r="AC31" s="52"/>
    </row>
    <row r="32" spans="1:29">
      <c r="AB32" s="52"/>
      <c r="AC32" s="52"/>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CD7F-6084-4655-BE48-D523E3310174}">
  <sheetPr codeName="Sheet7">
    <tabColor theme="9" tint="0.79998168889431442"/>
  </sheetPr>
  <dimension ref="A1:AA500"/>
  <sheetViews>
    <sheetView zoomScale="85" zoomScaleNormal="85" workbookViewId="0">
      <selection activeCell="F2" sqref="F2:G101"/>
    </sheetView>
  </sheetViews>
  <sheetFormatPr defaultRowHeight="16.5"/>
  <cols>
    <col min="1" max="1" width="23.375" style="2" customWidth="1"/>
    <col min="2" max="2" width="9.875" style="175" customWidth="1"/>
    <col min="3" max="3" width="30.75" hidden="1" customWidth="1"/>
    <col min="4" max="4" width="13.75" hidden="1" customWidth="1"/>
    <col min="5" max="5" width="6" customWidth="1"/>
    <col min="6" max="6" width="21.125" style="2" customWidth="1"/>
    <col min="7" max="7" width="16.125" style="175" bestFit="1" customWidth="1"/>
    <col min="8" max="8" width="22.875" hidden="1" customWidth="1"/>
    <col min="9" max="9" width="13.75" hidden="1" customWidth="1"/>
    <col min="12" max="12" width="8.625" style="52"/>
    <col min="13" max="13" width="17.125" style="52" customWidth="1"/>
    <col min="14" max="14" width="20.125" style="52" customWidth="1"/>
    <col min="17" max="27" width="0" hidden="1" customWidth="1"/>
  </cols>
  <sheetData>
    <row r="1" spans="1:27" s="52" customFormat="1">
      <c r="A1" s="174" t="s">
        <v>209</v>
      </c>
      <c r="B1" s="174" t="s">
        <v>210</v>
      </c>
      <c r="C1" s="176" t="s">
        <v>456</v>
      </c>
      <c r="F1" s="174" t="s">
        <v>211</v>
      </c>
      <c r="G1" s="174" t="s">
        <v>212</v>
      </c>
      <c r="H1" s="176" t="s">
        <v>456</v>
      </c>
      <c r="Q1" s="177" t="s">
        <v>299</v>
      </c>
      <c r="S1" s="91" t="s">
        <v>298</v>
      </c>
      <c r="T1" s="91" t="s">
        <v>457</v>
      </c>
      <c r="U1" s="91" t="s">
        <v>459</v>
      </c>
      <c r="V1" s="91" t="s">
        <v>957</v>
      </c>
      <c r="W1" s="91" t="s">
        <v>458</v>
      </c>
      <c r="X1" s="91" t="s">
        <v>460</v>
      </c>
      <c r="Y1" s="52" t="s">
        <v>958</v>
      </c>
    </row>
    <row r="2" spans="1:27" ht="17.25" thickBot="1">
      <c r="A2" s="2" t="s">
        <v>934</v>
      </c>
      <c r="B2" s="175">
        <v>22</v>
      </c>
      <c r="C2" s="9" t="str" cm="1">
        <f t="array" ref="C2">IFERROR(IF(A2="","",IF(ISNUMBER(MATCH(TRUE,ISNUMBER(SEARCH($Q$2:$Q$51, $A2)),0))=TRUE,"United States of America",INDEX($S$2:$S$199,MATCH(TRUE,ISNUMBER(SEARCH($S$2:$S$199, $A2)),0)))),"United States of America")</f>
        <v>India</v>
      </c>
      <c r="D2" s="9" t="str" cm="1">
        <f t="array" ref="D2">IF(A2="","",IF(ISNUMBER(MATCH(TRUE,ISNUMBER(SEARCH($Q$2:$Q$51, $A2)),0))=TRUE,"",IF(ISNUMBER(MATCH(TRUE,ISNUMBER(SEARCH($S$2:$S$199, $A2)),0))=TRUE,"","미국 확인 필요")))</f>
        <v/>
      </c>
      <c r="F2" s="2" t="s">
        <v>709</v>
      </c>
      <c r="G2" s="175">
        <v>19987</v>
      </c>
      <c r="H2" s="9" t="str" cm="1">
        <f t="array" ref="H2">IFERROR(IF(F2="","",IF(ISNUMBER(MATCH(TRUE,ISNUMBER(SEARCH($Q$2:$Q$51, $F2)),0))=TRUE,"United States of America",INDEX($S$2:$S$199,MATCH(TRUE,ISNUMBER(SEARCH($S$2:$S$199, $F2)),0)))),"United States of America")</f>
        <v>Korea</v>
      </c>
      <c r="I2" s="9" t="str" cm="1">
        <f t="array" ref="I2">IF(F2="","",IF(ISNUMBER(MATCH(TRUE,ISNUMBER(SEARCH($Q$2:$Q$51, $F2)),0))=TRUE,"",IF(ISNUMBER(MATCH(TRUE,ISNUMBER(SEARCH($S$2:$S$199, $F2)),0))=TRUE,"","미국 확인 필요")))</f>
        <v/>
      </c>
      <c r="L2" s="176"/>
      <c r="Q2" s="172" t="s">
        <v>248</v>
      </c>
      <c r="S2" s="46" t="s">
        <v>213</v>
      </c>
      <c r="T2" s="149">
        <f t="shared" ref="T2:T65" si="0">SUMIF(C:C,S2,B:B)</f>
        <v>34</v>
      </c>
      <c r="U2" s="149">
        <f>IF(T2=0,"",RANK(T2,T:T,0)+COUNTIF(T$1:T1,T2))</f>
        <v>19</v>
      </c>
      <c r="V2" s="46">
        <v>0</v>
      </c>
      <c r="W2" s="149">
        <f t="shared" ref="W2:W33" si="1">SUMIF(H:H,S2,G:G)</f>
        <v>0</v>
      </c>
      <c r="X2" s="149" t="str">
        <f>IF(W2=0,"",RANK(W2,W:W,0)+COUNTIF(W$1:W1,W2))</f>
        <v/>
      </c>
      <c r="Y2" s="46">
        <v>0</v>
      </c>
      <c r="AA2" t="s">
        <v>955</v>
      </c>
    </row>
    <row r="3" spans="1:27" ht="17.25" thickBot="1">
      <c r="A3" s="2" t="s">
        <v>1080</v>
      </c>
      <c r="B3" s="175">
        <v>25</v>
      </c>
      <c r="C3" s="9" t="str" cm="1">
        <f t="array" ref="C3">IFERROR(IF(A3="","",IF(ISNUMBER(MATCH(TRUE,ISNUMBER(SEARCH($Q$2:$Q$51, $A3)),0))=TRUE,"United States of America",INDEX($S$2:$S$199,MATCH(TRUE,ISNUMBER(SEARCH($S$2:$S$199, $A3)),0)))),"United States of America")</f>
        <v>India</v>
      </c>
      <c r="D3" s="9" t="str" cm="1">
        <f t="array" ref="D3">IF(A3="","",IF(ISNUMBER(MATCH(TRUE,ISNUMBER(SEARCH($Q$2:$Q$51, $A3)),0))=TRUE,"",IF(ISNUMBER(MATCH(TRUE,ISNUMBER(SEARCH($S$2:$S$199, $A3)),0))=TRUE,"","미국 확인 필요")))</f>
        <v/>
      </c>
      <c r="F3" s="2" t="s">
        <v>711</v>
      </c>
      <c r="G3" s="175">
        <v>4853</v>
      </c>
      <c r="H3" s="9" t="str" cm="1">
        <f t="array" ref="H3">IFERROR(IF(F3="","",IF(ISNUMBER(MATCH(TRUE,ISNUMBER(SEARCH($Q$2:$Q$51, $F3)),0))=TRUE,"United States of America",INDEX($S$2:$S$199,MATCH(TRUE,ISNUMBER(SEARCH($S$2:$S$199, $F3)),0)))),"United States of America")</f>
        <v>India</v>
      </c>
      <c r="I3" s="9" t="str" cm="1">
        <f t="array" ref="I3">IF(F3="","",IF(ISNUMBER(MATCH(TRUE,ISNUMBER(SEARCH($Q$2:$Q$51, $F3)),0))=TRUE,"",IF(ISNUMBER(MATCH(TRUE,ISNUMBER(SEARCH($S$2:$S$199, $F3)),0))=TRUE,"","미국 확인 필요")))</f>
        <v/>
      </c>
      <c r="L3" s="422" t="s">
        <v>465</v>
      </c>
      <c r="M3" s="423"/>
      <c r="N3" s="424"/>
      <c r="Q3" s="172" t="s">
        <v>249</v>
      </c>
      <c r="S3" s="46" t="s">
        <v>214</v>
      </c>
      <c r="T3" s="149">
        <f t="shared" si="0"/>
        <v>0</v>
      </c>
      <c r="U3" s="149" t="str">
        <f>IF(T3=0,"",RANK(T3,T:T,0)+COUNTIF(T$1:T2,T3))</f>
        <v/>
      </c>
      <c r="V3" s="46">
        <v>0</v>
      </c>
      <c r="W3" s="149">
        <f t="shared" si="1"/>
        <v>0</v>
      </c>
      <c r="X3" s="149" t="str">
        <f>IF(W3=0,"",RANK(W3,W:W,0)+COUNTIF(W$1:W2,W3))</f>
        <v/>
      </c>
      <c r="Y3" s="46">
        <v>0</v>
      </c>
    </row>
    <row r="4" spans="1:27">
      <c r="A4" s="2" t="s">
        <v>806</v>
      </c>
      <c r="B4" s="175">
        <v>22</v>
      </c>
      <c r="C4" s="9" t="str" cm="1">
        <f t="array" ref="C4">IFERROR(IF(A4="","",IF(ISNUMBER(MATCH(TRUE,ISNUMBER(SEARCH($Q$2:$Q$51, $A4)),0))=TRUE,"United States of America",INDEX($S$2:$S$199,MATCH(TRUE,ISNUMBER(SEARCH($S$2:$S$199, $A4)),0)))),"United States of America")</f>
        <v>Thailand</v>
      </c>
      <c r="D4" s="9" t="str" cm="1">
        <f t="array" ref="D4">IF(A4="","",IF(ISNUMBER(MATCH(TRUE,ISNUMBER(SEARCH($Q$2:$Q$51, $A4)),0))=TRUE,"",IF(ISNUMBER(MATCH(TRUE,ISNUMBER(SEARCH($S$2:$S$199, $A4)),0))=TRUE,"","미국 확인 필요")))</f>
        <v/>
      </c>
      <c r="F4" s="2" t="s">
        <v>710</v>
      </c>
      <c r="G4" s="175">
        <v>4585</v>
      </c>
      <c r="H4" s="9" t="str" cm="1">
        <f t="array" ref="H4">IFERROR(IF(F4="","",IF(ISNUMBER(MATCH(TRUE,ISNUMBER(SEARCH($Q$2:$Q$51, $F4)),0))=TRUE,"United States of America",INDEX($S$2:$S$199,MATCH(TRUE,ISNUMBER(SEARCH($S$2:$S$199, $F4)),0)))),"United States of America")</f>
        <v>United States of America</v>
      </c>
      <c r="I4" s="9" t="str" cm="1">
        <f t="array" ref="I4">IF(F4="","",IF(ISNUMBER(MATCH(TRUE,ISNUMBER(SEARCH($Q$2:$Q$51, $F4)),0))=TRUE,"",IF(ISNUMBER(MATCH(TRUE,ISNUMBER(SEARCH($S$2:$S$199, $F4)),0))=TRUE,"","미국 확인 필요")))</f>
        <v>미국 확인 필요</v>
      </c>
      <c r="L4" s="240" t="s">
        <v>200</v>
      </c>
      <c r="M4" s="241" t="s">
        <v>201</v>
      </c>
      <c r="N4" s="242">
        <f>followers!H1</f>
        <v>45536</v>
      </c>
      <c r="Q4" s="172" t="s">
        <v>250</v>
      </c>
      <c r="S4" s="46" t="s">
        <v>215</v>
      </c>
      <c r="T4" s="149">
        <f t="shared" si="0"/>
        <v>0</v>
      </c>
      <c r="U4" s="149" t="str">
        <f>IF(T4=0,"",RANK(T4,T:T,0)+COUNTIF(T$1:T3,T4))</f>
        <v/>
      </c>
      <c r="V4" s="46">
        <v>64</v>
      </c>
      <c r="W4" s="149">
        <f t="shared" si="1"/>
        <v>0</v>
      </c>
      <c r="X4" s="149" t="str">
        <f>IF(W4=0,"",RANK(W4,W:W,0)+COUNTIF(W$1:W3,W4))</f>
        <v/>
      </c>
      <c r="Y4" s="46">
        <v>0</v>
      </c>
      <c r="AA4" t="s">
        <v>956</v>
      </c>
    </row>
    <row r="5" spans="1:27">
      <c r="A5" s="2" t="s">
        <v>805</v>
      </c>
      <c r="B5" s="175">
        <v>24</v>
      </c>
      <c r="C5" s="9" t="str" cm="1">
        <f t="array" ref="C5">IFERROR(IF(A5="","",IF(ISNUMBER(MATCH(TRUE,ISNUMBER(SEARCH($Q$2:$Q$51, $A5)),0))=TRUE,"United States of America",INDEX($S$2:$S$199,MATCH(TRUE,ISNUMBER(SEARCH($S$2:$S$199, $A5)),0)))),"United States of America")</f>
        <v>India</v>
      </c>
      <c r="D5" s="9" t="str" cm="1">
        <f t="array" ref="D5">IF(A5="","",IF(ISNUMBER(MATCH(TRUE,ISNUMBER(SEARCH($Q$2:$Q$51, $A5)),0))=TRUE,"",IF(ISNUMBER(MATCH(TRUE,ISNUMBER(SEARCH($S$2:$S$199, $A5)),0))=TRUE,"","미국 확인 필요")))</f>
        <v/>
      </c>
      <c r="F5" s="2" t="s">
        <v>712</v>
      </c>
      <c r="G5" s="175">
        <v>2995</v>
      </c>
      <c r="H5" s="9" t="str" cm="1">
        <f t="array" ref="H5">IFERROR(IF(F5="","",IF(ISNUMBER(MATCH(TRUE,ISNUMBER(SEARCH($Q$2:$Q$51, $F5)),0))=TRUE,"United States of America",INDEX($S$2:$S$199,MATCH(TRUE,ISNUMBER(SEARCH($S$2:$S$199, $F5)),0)))),"United States of America")</f>
        <v>India</v>
      </c>
      <c r="I5" s="9" t="str" cm="1">
        <f t="array" ref="I5">IF(F5="","",IF(ISNUMBER(MATCH(TRUE,ISNUMBER(SEARCH($Q$2:$Q$51, $F5)),0))=TRUE,"",IF(ISNUMBER(MATCH(TRUE,ISNUMBER(SEARCH($S$2:$S$199, $F5)),0))=TRUE,"","미국 확인 필요")))</f>
        <v/>
      </c>
      <c r="L5" s="168">
        <v>1</v>
      </c>
      <c r="M5" s="170" t="str">
        <f t="shared" ref="M5:M14" si="2">INDEX(S:S,MATCH(L5,U:U,0))</f>
        <v>India</v>
      </c>
      <c r="N5" s="338" t="str">
        <f>TEXT(INDEX(T:T, MATCH(L5, U:U, 0)), "#,###") &amp; "(" &amp;
IF(INDEX(T:T, MATCH(L5, U:U, 0)) &gt; INDEX(V:V, MATCH(L5, U:U, 0)), "▲", "▼") &amp;
TEXT(ABS(INDEX(T:T, MATCH(L5, U:U, 0)) - INDEX(V:V, MATCH(L5, U:U, 0))),"#,###") &amp; ")"</f>
        <v>4,307(▼402)</v>
      </c>
      <c r="Q5" s="172" t="s">
        <v>251</v>
      </c>
      <c r="S5" s="46" t="s">
        <v>216</v>
      </c>
      <c r="T5" s="149">
        <f t="shared" si="0"/>
        <v>0</v>
      </c>
      <c r="U5" s="149" t="str">
        <f>IF(T5=0,"",RANK(T5,T:T,0)+COUNTIF(T$1:T4,T5))</f>
        <v/>
      </c>
      <c r="V5" s="46">
        <v>0</v>
      </c>
      <c r="W5" s="149">
        <f t="shared" si="1"/>
        <v>0</v>
      </c>
      <c r="X5" s="149" t="str">
        <f>IF(W5=0,"",RANK(W5,W:W,0)+COUNTIF(W$1:W4,W5))</f>
        <v/>
      </c>
      <c r="Y5" s="46">
        <v>0</v>
      </c>
    </row>
    <row r="6" spans="1:27" ht="25.5">
      <c r="A6" s="2" t="s">
        <v>734</v>
      </c>
      <c r="B6" s="175">
        <v>35</v>
      </c>
      <c r="C6" s="9" t="str" cm="1">
        <f t="array" ref="C6">IFERROR(IF(A6="","",IF(ISNUMBER(MATCH(TRUE,ISNUMBER(SEARCH($Q$2:$Q$51, $A6)),0))=TRUE,"United States of America",INDEX($S$2:$S$199,MATCH(TRUE,ISNUMBER(SEARCH($S$2:$S$199, $A6)),0)))),"United States of America")</f>
        <v>Japan</v>
      </c>
      <c r="D6" s="9" t="str" cm="1">
        <f t="array" ref="D6">IF(A6="","",IF(ISNUMBER(MATCH(TRUE,ISNUMBER(SEARCH($Q$2:$Q$51, $A6)),0))=TRUE,"",IF(ISNUMBER(MATCH(TRUE,ISNUMBER(SEARCH($S$2:$S$199, $A6)),0))=TRUE,"","미국 확인 필요")))</f>
        <v/>
      </c>
      <c r="F6" s="2" t="s">
        <v>714</v>
      </c>
      <c r="G6" s="175">
        <v>1945</v>
      </c>
      <c r="H6" s="9" t="str" cm="1">
        <f t="array" ref="H6">IFERROR(IF(F6="","",IF(ISNUMBER(MATCH(TRUE,ISNUMBER(SEARCH($Q$2:$Q$51, $F6)),0))=TRUE,"United States of America",INDEX($S$2:$S$199,MATCH(TRUE,ISNUMBER(SEARCH($S$2:$S$199, $F6)),0)))),"United States of America")</f>
        <v>India</v>
      </c>
      <c r="I6" s="9" t="str" cm="1">
        <f t="array" ref="I6">IF(F6="","",IF(ISNUMBER(MATCH(TRUE,ISNUMBER(SEARCH($Q$2:$Q$51, $F6)),0))=TRUE,"",IF(ISNUMBER(MATCH(TRUE,ISNUMBER(SEARCH($S$2:$S$199, $F6)),0))=TRUE,"","미국 확인 필요")))</f>
        <v/>
      </c>
      <c r="L6" s="168">
        <v>2</v>
      </c>
      <c r="M6" s="170" t="str">
        <f t="shared" si="2"/>
        <v>United States of America</v>
      </c>
      <c r="N6" s="338" t="str">
        <f t="shared" ref="N6:N14" si="3">TEXT(INDEX(T:T, MATCH(L6, U:U, 0)), "#,###") &amp; "(" &amp;
IF(INDEX(T:T, MATCH(L6, U:U, 0)) &gt; INDEX(V:V, MATCH(L6, U:U, 0)), "▲", "▼") &amp;
TEXT(ABS(INDEX(T:T, MATCH(L6, U:U, 0)) - INDEX(V:V, MATCH(L6, U:U, 0))),"#,###") &amp; ")"</f>
        <v>2,910(▼26)</v>
      </c>
      <c r="Q6" s="172" t="s">
        <v>252</v>
      </c>
      <c r="S6" s="46" t="s">
        <v>217</v>
      </c>
      <c r="T6" s="149">
        <f t="shared" si="0"/>
        <v>65</v>
      </c>
      <c r="U6" s="149">
        <f>IF(T6=0,"",RANK(T6,T:T,0)+COUNTIF(T$1:T5,T6))</f>
        <v>13</v>
      </c>
      <c r="V6" s="46">
        <v>0</v>
      </c>
      <c r="W6" s="149">
        <f t="shared" si="1"/>
        <v>834</v>
      </c>
      <c r="X6" s="149">
        <f>IF(W6=0,"",RANK(W6,W:W,0)+COUNTIF(W$1:W5,W6))</f>
        <v>8</v>
      </c>
      <c r="Y6" s="46">
        <v>944</v>
      </c>
    </row>
    <row r="7" spans="1:27">
      <c r="A7" s="2" t="s">
        <v>761</v>
      </c>
      <c r="B7" s="175">
        <v>38</v>
      </c>
      <c r="C7" s="9" t="str" cm="1">
        <f t="array" ref="C7">IFERROR(IF(A7="","",IF(ISNUMBER(MATCH(TRUE,ISNUMBER(SEARCH($Q$2:$Q$51, $A7)),0))=TRUE,"United States of America",INDEX($S$2:$S$199,MATCH(TRUE,ISNUMBER(SEARCH($S$2:$S$199, $A7)),0)))),"United States of America")</f>
        <v>Malaysia</v>
      </c>
      <c r="D7" s="9" t="str" cm="1">
        <f t="array" ref="D7">IF(A7="","",IF(ISNUMBER(MATCH(TRUE,ISNUMBER(SEARCH($Q$2:$Q$51, $A7)),0))=TRUE,"",IF(ISNUMBER(MATCH(TRUE,ISNUMBER(SEARCH($S$2:$S$199, $A7)),0))=TRUE,"","미국 확인 필요")))</f>
        <v/>
      </c>
      <c r="F7" s="2" t="s">
        <v>713</v>
      </c>
      <c r="G7" s="175">
        <v>1664</v>
      </c>
      <c r="H7" s="9" t="str" cm="1">
        <f t="array" ref="H7">IFERROR(IF(F7="","",IF(ISNUMBER(MATCH(TRUE,ISNUMBER(SEARCH($Q$2:$Q$51, $F7)),0))=TRUE,"United States of America",INDEX($S$2:$S$199,MATCH(TRUE,ISNUMBER(SEARCH($S$2:$S$199, $F7)),0)))),"United States of America")</f>
        <v>Taiwan</v>
      </c>
      <c r="I7" s="9" t="str" cm="1">
        <f t="array" ref="I7">IF(F7="","",IF(ISNUMBER(MATCH(TRUE,ISNUMBER(SEARCH($Q$2:$Q$51, $F7)),0))=TRUE,"",IF(ISNUMBER(MATCH(TRUE,ISNUMBER(SEARCH($S$2:$S$199, $F7)),0))=TRUE,"","미국 확인 필요")))</f>
        <v/>
      </c>
      <c r="L7" s="168">
        <v>3</v>
      </c>
      <c r="M7" s="170" t="str">
        <f t="shared" si="2"/>
        <v>Korea</v>
      </c>
      <c r="N7" s="338" t="str">
        <f t="shared" si="3"/>
        <v>2,577(▼675)</v>
      </c>
      <c r="Q7" s="172" t="s">
        <v>253</v>
      </c>
      <c r="S7" s="46" t="s">
        <v>218</v>
      </c>
      <c r="T7" s="149">
        <f t="shared" si="0"/>
        <v>230</v>
      </c>
      <c r="U7" s="149">
        <f>IF(T7=0,"",RANK(T7,T:T,0)+COUNTIF(T$1:T6,T7))</f>
        <v>6</v>
      </c>
      <c r="V7" s="46">
        <v>164</v>
      </c>
      <c r="W7" s="149">
        <f t="shared" si="1"/>
        <v>1298</v>
      </c>
      <c r="X7" s="149">
        <f>IF(W7=0,"",RANK(W7,W:W,0)+COUNTIF(W$1:W6,W7))</f>
        <v>7</v>
      </c>
      <c r="Y7" s="46">
        <v>1220</v>
      </c>
    </row>
    <row r="8" spans="1:27">
      <c r="A8" s="2" t="s">
        <v>738</v>
      </c>
      <c r="B8" s="175">
        <v>92</v>
      </c>
      <c r="C8" s="9" t="str" cm="1">
        <f t="array" ref="C8">IFERROR(IF(A8="","",IF(ISNUMBER(MATCH(TRUE,ISNUMBER(SEARCH($Q$2:$Q$51, $A8)),0))=TRUE,"United States of America",INDEX($S$2:$S$199,MATCH(TRUE,ISNUMBER(SEARCH($S$2:$S$199, $A8)),0)))),"United States of America")</f>
        <v>United States of America</v>
      </c>
      <c r="D8" s="9" t="str" cm="1">
        <f t="array" ref="D8">IF(A8="","",IF(ISNUMBER(MATCH(TRUE,ISNUMBER(SEARCH($Q$2:$Q$51, $A8)),0))=TRUE,"",IF(ISNUMBER(MATCH(TRUE,ISNUMBER(SEARCH($S$2:$S$199, $A8)),0))=TRUE,"","미국 확인 필요")))</f>
        <v/>
      </c>
      <c r="F8" s="2" t="s">
        <v>717</v>
      </c>
      <c r="G8" s="175">
        <v>1434</v>
      </c>
      <c r="H8" s="9" t="str" cm="1">
        <f t="array" ref="H8">IFERROR(IF(F8="","",IF(ISNUMBER(MATCH(TRUE,ISNUMBER(SEARCH($Q$2:$Q$51, $F8)),0))=TRUE,"United States of America",INDEX($S$2:$S$199,MATCH(TRUE,ISNUMBER(SEARCH($S$2:$S$199, $F8)),0)))),"United States of America")</f>
        <v>India</v>
      </c>
      <c r="I8" s="9" t="str" cm="1">
        <f t="array" ref="I8">IF(F8="","",IF(ISNUMBER(MATCH(TRUE,ISNUMBER(SEARCH($Q$2:$Q$51, $F8)),0))=TRUE,"",IF(ISNUMBER(MATCH(TRUE,ISNUMBER(SEARCH($S$2:$S$199, $F8)),0))=TRUE,"","미국 확인 필요")))</f>
        <v/>
      </c>
      <c r="L8" s="168">
        <v>4</v>
      </c>
      <c r="M8" s="170" t="str">
        <f t="shared" si="2"/>
        <v>Romania</v>
      </c>
      <c r="N8" s="338" t="str">
        <f t="shared" si="3"/>
        <v>303(▲159)</v>
      </c>
      <c r="Q8" s="172" t="s">
        <v>254</v>
      </c>
      <c r="S8" s="46" t="s">
        <v>206</v>
      </c>
      <c r="T8" s="149">
        <f t="shared" si="0"/>
        <v>74</v>
      </c>
      <c r="U8" s="149">
        <f>IF(T8=0,"",RANK(T8,T:T,0)+COUNTIF(T$1:T7,T8))</f>
        <v>12</v>
      </c>
      <c r="V8" s="46">
        <v>81</v>
      </c>
      <c r="W8" s="149">
        <f t="shared" si="1"/>
        <v>747</v>
      </c>
      <c r="X8" s="149">
        <f>IF(W8=0,"",RANK(W8,W:W,0)+COUNTIF(W$1:W7,W8))</f>
        <v>10</v>
      </c>
      <c r="Y8" s="46">
        <v>737</v>
      </c>
    </row>
    <row r="9" spans="1:27">
      <c r="A9" s="2" t="s">
        <v>757</v>
      </c>
      <c r="B9" s="175">
        <v>79</v>
      </c>
      <c r="C9" s="9" t="str" cm="1">
        <f t="array" ref="C9">IFERROR(IF(A9="","",IF(ISNUMBER(MATCH(TRUE,ISNUMBER(SEARCH($Q$2:$Q$51, $A9)),0))=TRUE,"United States of America",INDEX($S$2:$S$199,MATCH(TRUE,ISNUMBER(SEARCH($S$2:$S$199, $A9)),0)))),"United States of America")</f>
        <v>United States of America</v>
      </c>
      <c r="D9" s="9" t="str" cm="1">
        <f t="array" ref="D9">IF(A9="","",IF(ISNUMBER(MATCH(TRUE,ISNUMBER(SEARCH($Q$2:$Q$51, $A9)),0))=TRUE,"",IF(ISNUMBER(MATCH(TRUE,ISNUMBER(SEARCH($S$2:$S$199, $A9)),0))=TRUE,"","미국 확인 필요")))</f>
        <v>미국 확인 필요</v>
      </c>
      <c r="F9" s="2" t="s">
        <v>715</v>
      </c>
      <c r="G9" s="175">
        <v>1312</v>
      </c>
      <c r="H9" s="9" t="str" cm="1">
        <f t="array" ref="H9">IFERROR(IF(F9="","",IF(ISNUMBER(MATCH(TRUE,ISNUMBER(SEARCH($Q$2:$Q$51, $F9)),0))=TRUE,"United States of America",INDEX($S$2:$S$199,MATCH(TRUE,ISNUMBER(SEARCH($S$2:$S$199, $F9)),0)))),"United States of America")</f>
        <v>China</v>
      </c>
      <c r="I9" s="9" t="str" cm="1">
        <f t="array" ref="I9">IF(F9="","",IF(ISNUMBER(MATCH(TRUE,ISNUMBER(SEARCH($Q$2:$Q$51, $F9)),0))=TRUE,"",IF(ISNUMBER(MATCH(TRUE,ISNUMBER(SEARCH($S$2:$S$199, $F9)),0))=TRUE,"","미국 확인 필요")))</f>
        <v/>
      </c>
      <c r="L9" s="168">
        <v>5</v>
      </c>
      <c r="M9" s="170" t="str">
        <f t="shared" si="2"/>
        <v>Taiwan</v>
      </c>
      <c r="N9" s="338" t="str">
        <f t="shared" si="3"/>
        <v>289(▼125)</v>
      </c>
      <c r="Q9" s="172" t="s">
        <v>255</v>
      </c>
      <c r="S9" s="46" t="s">
        <v>220</v>
      </c>
      <c r="T9" s="149">
        <f t="shared" si="0"/>
        <v>20</v>
      </c>
      <c r="U9" s="149">
        <f>IF(T9=0,"",RANK(T9,T:T,0)+COUNTIF(T$1:T8,T9))</f>
        <v>23</v>
      </c>
      <c r="V9" s="46">
        <v>44</v>
      </c>
      <c r="W9" s="149">
        <f t="shared" si="1"/>
        <v>142</v>
      </c>
      <c r="X9" s="149">
        <f>IF(W9=0,"",RANK(W9,W:W,0)+COUNTIF(W$1:W8,W9))</f>
        <v>30</v>
      </c>
      <c r="Y9" s="46">
        <v>140</v>
      </c>
    </row>
    <row r="10" spans="1:27">
      <c r="A10" s="2" t="s">
        <v>741</v>
      </c>
      <c r="B10" s="175">
        <v>97</v>
      </c>
      <c r="C10" s="9" t="str" cm="1">
        <f t="array" ref="C10">IFERROR(IF(A10="","",IF(ISNUMBER(MATCH(TRUE,ISNUMBER(SEARCH($Q$2:$Q$51, $A10)),0))=TRUE,"United States of America",INDEX($S$2:$S$199,MATCH(TRUE,ISNUMBER(SEARCH($S$2:$S$199, $A10)),0)))),"United States of America")</f>
        <v>India</v>
      </c>
      <c r="D10" s="9" t="str" cm="1">
        <f t="array" ref="D10">IF(A10="","",IF(ISNUMBER(MATCH(TRUE,ISNUMBER(SEARCH($Q$2:$Q$51, $A10)),0))=TRUE,"",IF(ISNUMBER(MATCH(TRUE,ISNUMBER(SEARCH($S$2:$S$199, $A10)),0))=TRUE,"","미국 확인 필요")))</f>
        <v/>
      </c>
      <c r="F10" s="2" t="s">
        <v>718</v>
      </c>
      <c r="G10" s="175">
        <v>1310</v>
      </c>
      <c r="H10" s="9" t="str" cm="1">
        <f t="array" ref="H10">IFERROR(IF(F10="","",IF(ISNUMBER(MATCH(TRUE,ISNUMBER(SEARCH($Q$2:$Q$51, $F10)),0))=TRUE,"United States of America",INDEX($S$2:$S$199,MATCH(TRUE,ISNUMBER(SEARCH($S$2:$S$199, $F10)),0)))),"United States of America")</f>
        <v>India</v>
      </c>
      <c r="I10" s="9" t="str" cm="1">
        <f t="array" ref="I10">IF(F10="","",IF(ISNUMBER(MATCH(TRUE,ISNUMBER(SEARCH($Q$2:$Q$51, $F10)),0))=TRUE,"",IF(ISNUMBER(MATCH(TRUE,ISNUMBER(SEARCH($S$2:$S$199, $F10)),0))=TRUE,"","미국 확인 필요")))</f>
        <v/>
      </c>
      <c r="L10" s="168">
        <v>6</v>
      </c>
      <c r="M10" s="170" t="str">
        <f t="shared" si="2"/>
        <v>Singapore</v>
      </c>
      <c r="N10" s="338" t="str">
        <f t="shared" si="3"/>
        <v>230(▲66)</v>
      </c>
      <c r="Q10" s="172" t="s">
        <v>256</v>
      </c>
      <c r="S10" s="46" t="s">
        <v>221</v>
      </c>
      <c r="T10" s="149">
        <f t="shared" si="0"/>
        <v>0</v>
      </c>
      <c r="U10" s="149" t="str">
        <f>IF(T10=0,"",RANK(T10,T:T,0)+COUNTIF(T$1:T9,T10))</f>
        <v/>
      </c>
      <c r="V10" s="46">
        <v>0</v>
      </c>
      <c r="W10" s="149">
        <f t="shared" si="1"/>
        <v>0</v>
      </c>
      <c r="X10" s="149" t="str">
        <f>IF(W10=0,"",RANK(W10,W:W,0)+COUNTIF(W$1:W9,W10))</f>
        <v/>
      </c>
      <c r="Y10" s="46">
        <v>0</v>
      </c>
    </row>
    <row r="11" spans="1:27">
      <c r="A11" s="2" t="s">
        <v>743</v>
      </c>
      <c r="B11" s="175">
        <v>51</v>
      </c>
      <c r="C11" s="9" t="str" cm="1">
        <f t="array" ref="C11">IFERROR(IF(A11="","",IF(ISNUMBER(MATCH(TRUE,ISNUMBER(SEARCH($Q$2:$Q$51, $A11)),0))=TRUE,"United States of America",INDEX($S$2:$S$199,MATCH(TRUE,ISNUMBER(SEARCH($S$2:$S$199, $A11)),0)))),"United States of America")</f>
        <v>Taiwan</v>
      </c>
      <c r="D11" s="9" t="str" cm="1">
        <f t="array" ref="D11">IF(A11="","",IF(ISNUMBER(MATCH(TRUE,ISNUMBER(SEARCH($Q$2:$Q$51, $A11)),0))=TRUE,"",IF(ISNUMBER(MATCH(TRUE,ISNUMBER(SEARCH($S$2:$S$199, $A11)),0))=TRUE,"","미국 확인 필요")))</f>
        <v/>
      </c>
      <c r="F11" s="2" t="s">
        <v>716</v>
      </c>
      <c r="G11" s="175">
        <v>1298</v>
      </c>
      <c r="H11" s="9" t="str" cm="1">
        <f t="array" ref="H11">IFERROR(IF(F11="","",IF(ISNUMBER(MATCH(TRUE,ISNUMBER(SEARCH($Q$2:$Q$51, $F11)),0))=TRUE,"United States of America",INDEX($S$2:$S$199,MATCH(TRUE,ISNUMBER(SEARCH($S$2:$S$199, $F11)),0)))),"United States of America")</f>
        <v>Singapore</v>
      </c>
      <c r="I11" s="9" t="str" cm="1">
        <f t="array" ref="I11">IF(F11="","",IF(ISNUMBER(MATCH(TRUE,ISNUMBER(SEARCH($Q$2:$Q$51, $F11)),0))=TRUE,"",IF(ISNUMBER(MATCH(TRUE,ISNUMBER(SEARCH($S$2:$S$199, $F11)),0))=TRUE,"","미국 확인 필요")))</f>
        <v/>
      </c>
      <c r="L11" s="168">
        <v>7</v>
      </c>
      <c r="M11" s="170" t="str">
        <f t="shared" si="2"/>
        <v>Argentina</v>
      </c>
      <c r="N11" s="338" t="str">
        <f t="shared" si="3"/>
        <v>190(▼30)</v>
      </c>
      <c r="Q11" s="172" t="s">
        <v>257</v>
      </c>
      <c r="S11" s="46" t="s">
        <v>222</v>
      </c>
      <c r="T11" s="149">
        <f t="shared" si="0"/>
        <v>0</v>
      </c>
      <c r="U11" s="149" t="str">
        <f>IF(T11=0,"",RANK(T11,T:T,0)+COUNTIF(T$1:T10,T11))</f>
        <v/>
      </c>
      <c r="V11" s="46">
        <v>0</v>
      </c>
      <c r="W11" s="149">
        <f t="shared" si="1"/>
        <v>0</v>
      </c>
      <c r="X11" s="149" t="str">
        <f>IF(W11=0,"",RANK(W11,W:W,0)+COUNTIF(W$1:W10,W11))</f>
        <v/>
      </c>
      <c r="Y11" s="46">
        <v>0</v>
      </c>
    </row>
    <row r="12" spans="1:27">
      <c r="A12" s="2" t="s">
        <v>712</v>
      </c>
      <c r="B12" s="175">
        <v>636</v>
      </c>
      <c r="C12" s="9" t="str" cm="1">
        <f t="array" ref="C12">IFERROR(IF(A12="","",IF(ISNUMBER(MATCH(TRUE,ISNUMBER(SEARCH($Q$2:$Q$51, $A12)),0))=TRUE,"United States of America",INDEX($S$2:$S$199,MATCH(TRUE,ISNUMBER(SEARCH($S$2:$S$199, $A12)),0)))),"United States of America")</f>
        <v>India</v>
      </c>
      <c r="D12" s="9" t="str" cm="1">
        <f t="array" ref="D12">IF(A12="","",IF(ISNUMBER(MATCH(TRUE,ISNUMBER(SEARCH($Q$2:$Q$51, $A12)),0))=TRUE,"",IF(ISNUMBER(MATCH(TRUE,ISNUMBER(SEARCH($S$2:$S$199, $A12)),0))=TRUE,"","미국 확인 필요")))</f>
        <v/>
      </c>
      <c r="F12" s="2" t="s">
        <v>721</v>
      </c>
      <c r="G12" s="175">
        <v>1023</v>
      </c>
      <c r="H12" s="9" t="str" cm="1">
        <f t="array" ref="H12">IFERROR(IF(F12="","",IF(ISNUMBER(MATCH(TRUE,ISNUMBER(SEARCH($Q$2:$Q$51, $F12)),0))=TRUE,"United States of America",INDEX($S$2:$S$199,MATCH(TRUE,ISNUMBER(SEARCH($S$2:$S$199, $F12)),0)))),"United States of America")</f>
        <v>United States of America</v>
      </c>
      <c r="I12" s="9" t="str" cm="1">
        <f t="array" ref="I12">IF(F12="","",IF(ISNUMBER(MATCH(TRUE,ISNUMBER(SEARCH($Q$2:$Q$51, $F12)),0))=TRUE,"",IF(ISNUMBER(MATCH(TRUE,ISNUMBER(SEARCH($S$2:$S$199, $F12)),0))=TRUE,"","미국 확인 필요")))</f>
        <v/>
      </c>
      <c r="L12" s="168">
        <v>8</v>
      </c>
      <c r="M12" s="170" t="str">
        <f t="shared" si="2"/>
        <v>Germany</v>
      </c>
      <c r="N12" s="338" t="str">
        <f t="shared" si="3"/>
        <v>165(▲57)</v>
      </c>
      <c r="Q12" s="172" t="s">
        <v>258</v>
      </c>
      <c r="S12" s="46" t="s">
        <v>223</v>
      </c>
      <c r="T12" s="149">
        <f t="shared" si="0"/>
        <v>165</v>
      </c>
      <c r="U12" s="149">
        <f>IF(T12=0,"",RANK(T12,T:T,0)+COUNTIF(T$1:T11,T12))</f>
        <v>8</v>
      </c>
      <c r="V12" s="46">
        <v>108</v>
      </c>
      <c r="W12" s="149">
        <f t="shared" si="1"/>
        <v>689</v>
      </c>
      <c r="X12" s="149">
        <f>IF(W12=0,"",RANK(W12,W:W,0)+COUNTIF(W$1:W11,W12))</f>
        <v>12</v>
      </c>
      <c r="Y12" s="46">
        <v>666</v>
      </c>
    </row>
    <row r="13" spans="1:27">
      <c r="A13" s="2" t="s">
        <v>807</v>
      </c>
      <c r="B13" s="175">
        <v>36</v>
      </c>
      <c r="C13" s="9" t="str" cm="1">
        <f t="array" ref="C13">IFERROR(IF(A13="","",IF(ISNUMBER(MATCH(TRUE,ISNUMBER(SEARCH($Q$2:$Q$51, $A13)),0))=TRUE,"United States of America",INDEX($S$2:$S$199,MATCH(TRUE,ISNUMBER(SEARCH($S$2:$S$199, $A13)),0)))),"United States of America")</f>
        <v>India</v>
      </c>
      <c r="D13" s="9" t="str" cm="1">
        <f t="array" ref="D13">IF(A13="","",IF(ISNUMBER(MATCH(TRUE,ISNUMBER(SEARCH($Q$2:$Q$51, $A13)),0))=TRUE,"",IF(ISNUMBER(MATCH(TRUE,ISNUMBER(SEARCH($S$2:$S$199, $A13)),0))=TRUE,"","미국 확인 필요")))</f>
        <v/>
      </c>
      <c r="F13" s="2" t="s">
        <v>719</v>
      </c>
      <c r="G13" s="175">
        <v>954</v>
      </c>
      <c r="H13" s="9" t="str" cm="1">
        <f t="array" ref="H13">IFERROR(IF(F13="","",IF(ISNUMBER(MATCH(TRUE,ISNUMBER(SEARCH($Q$2:$Q$51, $F13)),0))=TRUE,"United States of America",INDEX($S$2:$S$199,MATCH(TRUE,ISNUMBER(SEARCH($S$2:$S$199, $F13)),0)))),"United States of America")</f>
        <v>Brazil</v>
      </c>
      <c r="I13" s="9" t="str" cm="1">
        <f t="array" ref="I13">IF(F13="","",IF(ISNUMBER(MATCH(TRUE,ISNUMBER(SEARCH($Q$2:$Q$51, $F13)),0))=TRUE,"",IF(ISNUMBER(MATCH(TRUE,ISNUMBER(SEARCH($S$2:$S$199, $F13)),0))=TRUE,"","미국 확인 필요")))</f>
        <v/>
      </c>
      <c r="L13" s="168">
        <v>9</v>
      </c>
      <c r="M13" s="170" t="str">
        <f t="shared" si="2"/>
        <v>Indonesia</v>
      </c>
      <c r="N13" s="338" t="str">
        <f t="shared" si="3"/>
        <v>152(▲85)</v>
      </c>
      <c r="Q13" s="172" t="s">
        <v>259</v>
      </c>
      <c r="S13" s="46" t="s">
        <v>224</v>
      </c>
      <c r="T13" s="149">
        <f t="shared" si="0"/>
        <v>0</v>
      </c>
      <c r="U13" s="149" t="str">
        <f>IF(T13=0,"",RANK(T13,T:T,0)+COUNTIF(T$1:T12,T13))</f>
        <v/>
      </c>
      <c r="V13" s="46">
        <v>0</v>
      </c>
      <c r="W13" s="149">
        <f t="shared" si="1"/>
        <v>499</v>
      </c>
      <c r="X13" s="149">
        <f>IF(W13=0,"",RANK(W13,W:W,0)+COUNTIF(W$1:W12,W13))</f>
        <v>18</v>
      </c>
      <c r="Y13" s="46">
        <v>488</v>
      </c>
    </row>
    <row r="14" spans="1:27">
      <c r="A14" s="2" t="s">
        <v>808</v>
      </c>
      <c r="B14" s="175">
        <v>17</v>
      </c>
      <c r="C14" s="9" t="str" cm="1">
        <f t="array" ref="C14">IFERROR(IF(A14="","",IF(ISNUMBER(MATCH(TRUE,ISNUMBER(SEARCH($Q$2:$Q$51, $A14)),0))=TRUE,"United States of America",INDEX($S$2:$S$199,MATCH(TRUE,ISNUMBER(SEARCH($S$2:$S$199, $A14)),0)))),"United States of America")</f>
        <v>India</v>
      </c>
      <c r="D14" s="9" t="str" cm="1">
        <f t="array" ref="D14">IF(A14="","",IF(ISNUMBER(MATCH(TRUE,ISNUMBER(SEARCH($Q$2:$Q$51, $A14)),0))=TRUE,"",IF(ISNUMBER(MATCH(TRUE,ISNUMBER(SEARCH($S$2:$S$199, $A14)),0))=TRUE,"","미국 확인 필요")))</f>
        <v/>
      </c>
      <c r="F14" s="2" t="s">
        <v>720</v>
      </c>
      <c r="G14" s="175">
        <v>922</v>
      </c>
      <c r="H14" s="9" t="str" cm="1">
        <f t="array" ref="H14">IFERROR(IF(F14="","",IF(ISNUMBER(MATCH(TRUE,ISNUMBER(SEARCH($Q$2:$Q$51, $F14)),0))=TRUE,"United States of America",INDEX($S$2:$S$199,MATCH(TRUE,ISNUMBER(SEARCH($S$2:$S$199, $F14)),0)))),"United States of America")</f>
        <v>China</v>
      </c>
      <c r="I14" s="9" t="str" cm="1">
        <f t="array" ref="I14">IF(F14="","",IF(ISNUMBER(MATCH(TRUE,ISNUMBER(SEARCH($Q$2:$Q$51, $F14)),0))=TRUE,"",IF(ISNUMBER(MATCH(TRUE,ISNUMBER(SEARCH($S$2:$S$199, $F14)),0))=TRUE,"","미국 확인 필요")))</f>
        <v/>
      </c>
      <c r="L14" s="169">
        <v>10</v>
      </c>
      <c r="M14" s="170" t="str">
        <f t="shared" si="2"/>
        <v>China</v>
      </c>
      <c r="N14" s="338" t="str">
        <f t="shared" si="3"/>
        <v>92(▲16)</v>
      </c>
      <c r="Q14" s="172" t="s">
        <v>260</v>
      </c>
      <c r="S14" s="46" t="s">
        <v>225</v>
      </c>
      <c r="T14" s="149">
        <f t="shared" si="0"/>
        <v>38</v>
      </c>
      <c r="U14" s="149">
        <f>IF(T14=0,"",RANK(T14,T:T,0)+COUNTIF(T$1:T13,T14))</f>
        <v>17</v>
      </c>
      <c r="V14" s="46">
        <v>111</v>
      </c>
      <c r="W14" s="149">
        <f t="shared" si="1"/>
        <v>516</v>
      </c>
      <c r="X14" s="149">
        <f>IF(W14=0,"",RANK(W14,W:W,0)+COUNTIF(W$1:W13,W14))</f>
        <v>15</v>
      </c>
      <c r="Y14" s="46">
        <v>505</v>
      </c>
    </row>
    <row r="15" spans="1:27" ht="17.25" thickBot="1">
      <c r="A15" s="2" t="s">
        <v>798</v>
      </c>
      <c r="B15" s="175">
        <v>57</v>
      </c>
      <c r="C15" s="9" t="str" cm="1">
        <f t="array" ref="C15">IFERROR(IF(A15="","",IF(ISNUMBER(MATCH(TRUE,ISNUMBER(SEARCH($Q$2:$Q$51, $A15)),0))=TRUE,"United States of America",INDEX($S$2:$S$199,MATCH(TRUE,ISNUMBER(SEARCH($S$2:$S$199, $A15)),0)))),"United States of America")</f>
        <v>Peru</v>
      </c>
      <c r="D15" s="9" t="str" cm="1">
        <f t="array" ref="D15">IF(A15="","",IF(ISNUMBER(MATCH(TRUE,ISNUMBER(SEARCH($Q$2:$Q$51, $A15)),0))=TRUE,"",IF(ISNUMBER(MATCH(TRUE,ISNUMBER(SEARCH($S$2:$S$199, $A15)),0))=TRUE,"","미국 확인 필요")))</f>
        <v/>
      </c>
      <c r="F15" s="2" t="s">
        <v>722</v>
      </c>
      <c r="G15" s="175">
        <v>908</v>
      </c>
      <c r="H15" s="9" t="str" cm="1">
        <f t="array" ref="H15">IFERROR(IF(F15="","",IF(ISNUMBER(MATCH(TRUE,ISNUMBER(SEARCH($Q$2:$Q$51, $F15)),0))=TRUE,"United States of America",INDEX($S$2:$S$199,MATCH(TRUE,ISNUMBER(SEARCH($S$2:$S$199, $F15)),0)))),"United States of America")</f>
        <v>United States of America</v>
      </c>
      <c r="I15" s="9" t="str" cm="1">
        <f t="array" ref="I15">IF(F15="","",IF(ISNUMBER(MATCH(TRUE,ISNUMBER(SEARCH($Q$2:$Q$51, $F15)),0))=TRUE,"",IF(ISNUMBER(MATCH(TRUE,ISNUMBER(SEARCH($S$2:$S$199, $F15)),0))=TRUE,"","미국 확인 필요")))</f>
        <v>미국 확인 필요</v>
      </c>
      <c r="L15" s="420" t="s">
        <v>142</v>
      </c>
      <c r="M15" s="421"/>
      <c r="N15" s="171" t="str">
        <f>TEXT(SUM(T:T),"#,###")&amp;" (전체 "&amp;TEXT(SUM(T:T)/SUM(visitors!V:V),"#.0%")&amp;")"</f>
        <v>11,827 (전체 81.3%)</v>
      </c>
      <c r="Q15" s="172" t="s">
        <v>261</v>
      </c>
      <c r="S15" s="46" t="s">
        <v>205</v>
      </c>
      <c r="T15" s="149">
        <f t="shared" si="0"/>
        <v>59</v>
      </c>
      <c r="U15" s="149">
        <f>IF(T15=0,"",RANK(T15,T:T,0)+COUNTIF(T$1:T14,T15))</f>
        <v>14</v>
      </c>
      <c r="V15" s="46">
        <v>25</v>
      </c>
      <c r="W15" s="149">
        <f t="shared" si="1"/>
        <v>790</v>
      </c>
      <c r="X15" s="149">
        <f>IF(W15=0,"",RANK(W15,W:W,0)+COUNTIF(W$1:W14,W15))</f>
        <v>9</v>
      </c>
      <c r="Y15" s="46">
        <v>783</v>
      </c>
    </row>
    <row r="16" spans="1:27">
      <c r="A16" s="2" t="s">
        <v>745</v>
      </c>
      <c r="B16" s="175">
        <v>67</v>
      </c>
      <c r="C16" s="9" t="str" cm="1">
        <f t="array" ref="C16">IFERROR(IF(A16="","",IF(ISNUMBER(MATCH(TRUE,ISNUMBER(SEARCH($Q$2:$Q$51, $A16)),0))=TRUE,"United States of America",INDEX($S$2:$S$199,MATCH(TRUE,ISNUMBER(SEARCH($S$2:$S$199, $A16)),0)))),"United States of America")</f>
        <v>United States of America</v>
      </c>
      <c r="D16" s="9" t="str" cm="1">
        <f t="array" ref="D16">IF(A16="","",IF(ISNUMBER(MATCH(TRUE,ISNUMBER(SEARCH($Q$2:$Q$51, $A16)),0))=TRUE,"",IF(ISNUMBER(MATCH(TRUE,ISNUMBER(SEARCH($S$2:$S$199, $A16)),0))=TRUE,"","미국 확인 필요")))</f>
        <v>미국 확인 필요</v>
      </c>
      <c r="F16" s="2" t="s">
        <v>723</v>
      </c>
      <c r="G16" s="175">
        <v>901</v>
      </c>
      <c r="H16" s="9" t="str" cm="1">
        <f t="array" ref="H16">IFERROR(IF(F16="","",IF(ISNUMBER(MATCH(TRUE,ISNUMBER(SEARCH($Q$2:$Q$51, $F16)),0))=TRUE,"United States of America",INDEX($S$2:$S$199,MATCH(TRUE,ISNUMBER(SEARCH($S$2:$S$199, $F16)),0)))),"United States of America")</f>
        <v>India</v>
      </c>
      <c r="I16" s="9" t="str" cm="1">
        <f t="array" ref="I16">IF(F16="","",IF(ISNUMBER(MATCH(TRUE,ISNUMBER(SEARCH($Q$2:$Q$51, $F16)),0))=TRUE,"",IF(ISNUMBER(MATCH(TRUE,ISNUMBER(SEARCH($S$2:$S$199, $F16)),0))=TRUE,"","미국 확인 필요")))</f>
        <v/>
      </c>
      <c r="Q16" s="172" t="s">
        <v>262</v>
      </c>
      <c r="S16" s="46" t="s">
        <v>207</v>
      </c>
      <c r="T16" s="149">
        <f t="shared" si="0"/>
        <v>30</v>
      </c>
      <c r="U16" s="149">
        <f>IF(T16=0,"",RANK(T16,T:T,0)+COUNTIF(T$1:T15,T16))</f>
        <v>20</v>
      </c>
      <c r="V16" s="46">
        <v>27</v>
      </c>
      <c r="W16" s="149">
        <f t="shared" si="1"/>
        <v>728</v>
      </c>
      <c r="X16" s="149">
        <f>IF(W16=0,"",RANK(W16,W:W,0)+COUNTIF(W$1:W15,W16))</f>
        <v>11</v>
      </c>
      <c r="Y16" s="46">
        <v>702</v>
      </c>
    </row>
    <row r="17" spans="1:25">
      <c r="A17" s="2" t="s">
        <v>727</v>
      </c>
      <c r="B17" s="175">
        <v>66</v>
      </c>
      <c r="C17" s="9" t="str" cm="1">
        <f t="array" ref="C17">IFERROR(IF(A17="","",IF(ISNUMBER(MATCH(TRUE,ISNUMBER(SEARCH($Q$2:$Q$51, $A17)),0))=TRUE,"United States of America",INDEX($S$2:$S$199,MATCH(TRUE,ISNUMBER(SEARCH($S$2:$S$199, $A17)),0)))),"United States of America")</f>
        <v>United States of America</v>
      </c>
      <c r="D17" s="9" t="str" cm="1">
        <f t="array" ref="D17">IF(A17="","",IF(ISNUMBER(MATCH(TRUE,ISNUMBER(SEARCH($Q$2:$Q$51, $A17)),0))=TRUE,"",IF(ISNUMBER(MATCH(TRUE,ISNUMBER(SEARCH($S$2:$S$199, $A17)),0))=TRUE,"","미국 확인 필요")))</f>
        <v>미국 확인 필요</v>
      </c>
      <c r="F17" s="2" t="s">
        <v>724</v>
      </c>
      <c r="G17" s="175">
        <v>747</v>
      </c>
      <c r="H17" s="9" t="str" cm="1">
        <f t="array" ref="H17">IFERROR(IF(F17="","",IF(ISNUMBER(MATCH(TRUE,ISNUMBER(SEARCH($Q$2:$Q$51, $F17)),0))=TRUE,"United States of America",INDEX($S$2:$S$199,MATCH(TRUE,ISNUMBER(SEARCH($S$2:$S$199, $F17)),0)))),"United States of America")</f>
        <v>United Kingdom</v>
      </c>
      <c r="I17" s="9" t="str" cm="1">
        <f t="array" ref="I17">IF(F17="","",IF(ISNUMBER(MATCH(TRUE,ISNUMBER(SEARCH($Q$2:$Q$51, $F17)),0))=TRUE,"",IF(ISNUMBER(MATCH(TRUE,ISNUMBER(SEARCH($S$2:$S$199, $F17)),0))=TRUE,"","미국 확인 필요")))</f>
        <v/>
      </c>
      <c r="Q17" s="172" t="s">
        <v>263</v>
      </c>
      <c r="S17" s="46" t="s">
        <v>226</v>
      </c>
      <c r="T17" s="149">
        <f t="shared" si="0"/>
        <v>0</v>
      </c>
      <c r="U17" s="149" t="str">
        <f>IF(T17=0,"",RANK(T17,T:T,0)+COUNTIF(T$1:T16,T17))</f>
        <v/>
      </c>
      <c r="V17" s="46">
        <v>0</v>
      </c>
      <c r="W17" s="149">
        <f t="shared" si="1"/>
        <v>0</v>
      </c>
      <c r="X17" s="149" t="str">
        <f>IF(W17=0,"",RANK(W17,W:W,0)+COUNTIF(W$1:W16,W17))</f>
        <v/>
      </c>
      <c r="Y17" s="46">
        <v>0</v>
      </c>
    </row>
    <row r="18" spans="1:25">
      <c r="A18" s="2" t="s">
        <v>750</v>
      </c>
      <c r="B18" s="175">
        <v>50</v>
      </c>
      <c r="C18" s="9" t="str" cm="1">
        <f t="array" ref="C18">IFERROR(IF(A18="","",IF(ISNUMBER(MATCH(TRUE,ISNUMBER(SEARCH($Q$2:$Q$51, $A18)),0))=TRUE,"United States of America",INDEX($S$2:$S$199,MATCH(TRUE,ISNUMBER(SEARCH($S$2:$S$199, $A18)),0)))),"United States of America")</f>
        <v>Germany</v>
      </c>
      <c r="D18" s="9" t="str" cm="1">
        <f t="array" ref="D18">IF(A18="","",IF(ISNUMBER(MATCH(TRUE,ISNUMBER(SEARCH($Q$2:$Q$51, $A18)),0))=TRUE,"",IF(ISNUMBER(MATCH(TRUE,ISNUMBER(SEARCH($S$2:$S$199, $A18)),0))=TRUE,"","미국 확인 필요")))</f>
        <v/>
      </c>
      <c r="F18" s="2" t="s">
        <v>725</v>
      </c>
      <c r="G18" s="175">
        <v>732</v>
      </c>
      <c r="H18" s="9" t="str" cm="1">
        <f t="array" ref="H18">IFERROR(IF(F18="","",IF(ISNUMBER(MATCH(TRUE,ISNUMBER(SEARCH($Q$2:$Q$51, $F18)),0))=TRUE,"United States of America",INDEX($S$2:$S$199,MATCH(TRUE,ISNUMBER(SEARCH($S$2:$S$199, $F18)),0)))),"United States of America")</f>
        <v>United States of America</v>
      </c>
      <c r="I18" s="9" t="str" cm="1">
        <f t="array" ref="I18">IF(F18="","",IF(ISNUMBER(MATCH(TRUE,ISNUMBER(SEARCH($Q$2:$Q$51, $F18)),0))=TRUE,"",IF(ISNUMBER(MATCH(TRUE,ISNUMBER(SEARCH($S$2:$S$199, $F18)),0))=TRUE,"","미국 확인 필요")))</f>
        <v/>
      </c>
      <c r="Q18" s="172" t="s">
        <v>264</v>
      </c>
      <c r="S18" s="46" t="s">
        <v>227</v>
      </c>
      <c r="T18" s="149">
        <f t="shared" si="0"/>
        <v>83</v>
      </c>
      <c r="U18" s="149">
        <f>IF(T18=0,"",RANK(T18,T:T,0)+COUNTIF(T$1:T17,T18))</f>
        <v>11</v>
      </c>
      <c r="V18" s="46">
        <v>81</v>
      </c>
      <c r="W18" s="149">
        <f t="shared" si="1"/>
        <v>551</v>
      </c>
      <c r="X18" s="149">
        <f>IF(W18=0,"",RANK(W18,W:W,0)+COUNTIF(W$1:W17,W18))</f>
        <v>14</v>
      </c>
      <c r="Y18" s="46">
        <v>496</v>
      </c>
    </row>
    <row r="19" spans="1:25">
      <c r="A19" s="2" t="s">
        <v>710</v>
      </c>
      <c r="B19" s="175">
        <v>805</v>
      </c>
      <c r="C19" s="9" t="str" cm="1">
        <f t="array" ref="C19">IFERROR(IF(A19="","",IF(ISNUMBER(MATCH(TRUE,ISNUMBER(SEARCH($Q$2:$Q$51, $A19)),0))=TRUE,"United States of America",INDEX($S$2:$S$199,MATCH(TRUE,ISNUMBER(SEARCH($S$2:$S$199, $A19)),0)))),"United States of America")</f>
        <v>United States of America</v>
      </c>
      <c r="D19" s="9" t="str" cm="1">
        <f t="array" ref="D19">IF(A19="","",IF(ISNUMBER(MATCH(TRUE,ISNUMBER(SEARCH($Q$2:$Q$51, $A19)),0))=TRUE,"",IF(ISNUMBER(MATCH(TRUE,ISNUMBER(SEARCH($S$2:$S$199, $A19)),0))=TRUE,"","미국 확인 필요")))</f>
        <v>미국 확인 필요</v>
      </c>
      <c r="F19" s="2" t="s">
        <v>729</v>
      </c>
      <c r="G19" s="175">
        <v>729</v>
      </c>
      <c r="H19" s="9" t="str" cm="1">
        <f t="array" ref="H19">IFERROR(IF(F19="","",IF(ISNUMBER(MATCH(TRUE,ISNUMBER(SEARCH($Q$2:$Q$51, $F19)),0))=TRUE,"United States of America",INDEX($S$2:$S$199,MATCH(TRUE,ISNUMBER(SEARCH($S$2:$S$199, $F19)),0)))),"United States of America")</f>
        <v>India</v>
      </c>
      <c r="I19" s="9" t="str" cm="1">
        <f t="array" ref="I19">IF(F19="","",IF(ISNUMBER(MATCH(TRUE,ISNUMBER(SEARCH($Q$2:$Q$51, $F19)),0))=TRUE,"",IF(ISNUMBER(MATCH(TRUE,ISNUMBER(SEARCH($S$2:$S$199, $F19)),0))=TRUE,"","미국 확인 필요")))</f>
        <v/>
      </c>
      <c r="Q19" s="172" t="s">
        <v>219</v>
      </c>
      <c r="S19" s="46" t="s">
        <v>228</v>
      </c>
      <c r="T19" s="149">
        <f t="shared" si="0"/>
        <v>0</v>
      </c>
      <c r="U19" s="149" t="str">
        <f>IF(T19=0,"",RANK(T19,T:T,0)+COUNTIF(T$1:T18,T19))</f>
        <v/>
      </c>
      <c r="V19" s="46">
        <v>0</v>
      </c>
      <c r="W19" s="149">
        <f t="shared" si="1"/>
        <v>1904</v>
      </c>
      <c r="X19" s="149">
        <f>IF(W19=0,"",RANK(W19,W:W,0)+COUNTIF(W$1:W18,W19))</f>
        <v>6</v>
      </c>
      <c r="Y19" s="46">
        <v>1905</v>
      </c>
    </row>
    <row r="20" spans="1:25" ht="17.25" thickBot="1">
      <c r="A20" s="2" t="s">
        <v>794</v>
      </c>
      <c r="B20" s="175">
        <v>29</v>
      </c>
      <c r="C20" s="9" t="str" cm="1">
        <f t="array" ref="C20">IFERROR(IF(A20="","",IF(ISNUMBER(MATCH(TRUE,ISNUMBER(SEARCH($Q$2:$Q$51, $A20)),0))=TRUE,"United States of America",INDEX($S$2:$S$199,MATCH(TRUE,ISNUMBER(SEARCH($S$2:$S$199, $A20)),0)))),"United States of America")</f>
        <v>Taiwan</v>
      </c>
      <c r="D20" s="9" t="str" cm="1">
        <f t="array" ref="D20">IF(A20="","",IF(ISNUMBER(MATCH(TRUE,ISNUMBER(SEARCH($Q$2:$Q$51, $A20)),0))=TRUE,"",IF(ISNUMBER(MATCH(TRUE,ISNUMBER(SEARCH($S$2:$S$199, $A20)),0))=TRUE,"","미국 확인 필요")))</f>
        <v/>
      </c>
      <c r="F20" s="2" t="s">
        <v>726</v>
      </c>
      <c r="G20" s="175">
        <v>724</v>
      </c>
      <c r="H20" s="9" t="str" cm="1">
        <f t="array" ref="H20">IFERROR(IF(F20="","",IF(ISNUMBER(MATCH(TRUE,ISNUMBER(SEARCH($Q$2:$Q$51, $F20)),0))=TRUE,"United States of America",INDEX($S$2:$S$199,MATCH(TRUE,ISNUMBER(SEARCH($S$2:$S$199, $F20)),0)))),"United States of America")</f>
        <v>Korea</v>
      </c>
      <c r="I20" s="9" t="str" cm="1">
        <f t="array" ref="I20">IF(F20="","",IF(ISNUMBER(MATCH(TRUE,ISNUMBER(SEARCH($Q$2:$Q$51, $F20)),0))=TRUE,"",IF(ISNUMBER(MATCH(TRUE,ISNUMBER(SEARCH($S$2:$S$199, $F20)),0))=TRUE,"","미국 확인 필요")))</f>
        <v/>
      </c>
      <c r="L20" s="176"/>
      <c r="Q20" s="172" t="s">
        <v>265</v>
      </c>
      <c r="S20" s="46" t="s">
        <v>202</v>
      </c>
      <c r="T20" s="149">
        <f t="shared" si="0"/>
        <v>4307</v>
      </c>
      <c r="U20" s="149">
        <f>IF(T20=0,"",RANK(T20,T:T,0)+COUNTIF(T$1:T19,T20))</f>
        <v>1</v>
      </c>
      <c r="V20" s="46">
        <v>4709</v>
      </c>
      <c r="W20" s="149">
        <f t="shared" si="1"/>
        <v>17396</v>
      </c>
      <c r="X20" s="149">
        <f>IF(W20=0,"",RANK(W20,W:W,0)+COUNTIF(W$1:W19,W20))</f>
        <v>2</v>
      </c>
      <c r="Y20" s="46">
        <v>14903</v>
      </c>
    </row>
    <row r="21" spans="1:25" ht="17.25" thickBot="1">
      <c r="A21" s="2" t="s">
        <v>758</v>
      </c>
      <c r="B21" s="175">
        <v>48</v>
      </c>
      <c r="C21" s="9" t="str" cm="1">
        <f t="array" ref="C21">IFERROR(IF(A21="","",IF(ISNUMBER(MATCH(TRUE,ISNUMBER(SEARCH($Q$2:$Q$51, $A21)),0))=TRUE,"United States of America",INDEX($S$2:$S$199,MATCH(TRUE,ISNUMBER(SEARCH($S$2:$S$199, $A21)),0)))),"United States of America")</f>
        <v>Mexico</v>
      </c>
      <c r="D21" s="9" t="str" cm="1">
        <f t="array" ref="D21">IF(A21="","",IF(ISNUMBER(MATCH(TRUE,ISNUMBER(SEARCH($Q$2:$Q$51, $A21)),0))=TRUE,"",IF(ISNUMBER(MATCH(TRUE,ISNUMBER(SEARCH($S$2:$S$199, $A21)),0))=TRUE,"","미국 확인 필요")))</f>
        <v/>
      </c>
      <c r="F21" s="2" t="s">
        <v>730</v>
      </c>
      <c r="G21" s="175">
        <v>698</v>
      </c>
      <c r="H21" s="9" t="str" cm="1">
        <f t="array" ref="H21">IFERROR(IF(F21="","",IF(ISNUMBER(MATCH(TRUE,ISNUMBER(SEARCH($Q$2:$Q$51, $F21)),0))=TRUE,"United States of America",INDEX($S$2:$S$199,MATCH(TRUE,ISNUMBER(SEARCH($S$2:$S$199, $F21)),0)))),"United States of America")</f>
        <v>India</v>
      </c>
      <c r="I21" s="9" t="str" cm="1">
        <f t="array" ref="I21">IF(F21="","",IF(ISNUMBER(MATCH(TRUE,ISNUMBER(SEARCH($Q$2:$Q$51, $F21)),0))=TRUE,"",IF(ISNUMBER(MATCH(TRUE,ISNUMBER(SEARCH($S$2:$S$199, $F21)),0))=TRUE,"","미국 확인 필요")))</f>
        <v/>
      </c>
      <c r="L21" s="422" t="s">
        <v>466</v>
      </c>
      <c r="M21" s="423"/>
      <c r="N21" s="424"/>
      <c r="Q21" s="172" t="s">
        <v>266</v>
      </c>
      <c r="S21" s="46" t="s">
        <v>229</v>
      </c>
      <c r="T21" s="149">
        <f t="shared" si="0"/>
        <v>0</v>
      </c>
      <c r="U21" s="149" t="str">
        <f>IF(T21=0,"",RANK(T21,T:T,0)+COUNTIF(T$1:T20,T21))</f>
        <v/>
      </c>
      <c r="V21" s="46">
        <v>0</v>
      </c>
      <c r="W21" s="149">
        <f t="shared" si="1"/>
        <v>227</v>
      </c>
      <c r="X21" s="149">
        <f>IF(W21=0,"",RANK(W21,W:W,0)+COUNTIF(W$1:W20,W21))</f>
        <v>26</v>
      </c>
      <c r="Y21" s="46">
        <v>233</v>
      </c>
    </row>
    <row r="22" spans="1:25">
      <c r="A22" s="2" t="s">
        <v>713</v>
      </c>
      <c r="B22" s="175">
        <v>189</v>
      </c>
      <c r="C22" s="9" t="str" cm="1">
        <f t="array" ref="C22">IFERROR(IF(A22="","",IF(ISNUMBER(MATCH(TRUE,ISNUMBER(SEARCH($Q$2:$Q$51, $A22)),0))=TRUE,"United States of America",INDEX($S$2:$S$199,MATCH(TRUE,ISNUMBER(SEARCH($S$2:$S$199, $A22)),0)))),"United States of America")</f>
        <v>Taiwan</v>
      </c>
      <c r="D22" s="9" t="str" cm="1">
        <f t="array" ref="D22">IF(A22="","",IF(ISNUMBER(MATCH(TRUE,ISNUMBER(SEARCH($Q$2:$Q$51, $A22)),0))=TRUE,"",IF(ISNUMBER(MATCH(TRUE,ISNUMBER(SEARCH($S$2:$S$199, $A22)),0))=TRUE,"","미국 확인 필요")))</f>
        <v/>
      </c>
      <c r="F22" s="2" t="s">
        <v>727</v>
      </c>
      <c r="G22" s="175">
        <v>651</v>
      </c>
      <c r="H22" s="9" t="str" cm="1">
        <f t="array" ref="H22">IFERROR(IF(F22="","",IF(ISNUMBER(MATCH(TRUE,ISNUMBER(SEARCH($Q$2:$Q$51, $F22)),0))=TRUE,"United States of America",INDEX($S$2:$S$199,MATCH(TRUE,ISNUMBER(SEARCH($S$2:$S$199, $F22)),0)))),"United States of America")</f>
        <v>United States of America</v>
      </c>
      <c r="I22" s="9" t="str" cm="1">
        <f t="array" ref="I22">IF(F22="","",IF(ISNUMBER(MATCH(TRUE,ISNUMBER(SEARCH($Q$2:$Q$51, $F22)),0))=TRUE,"",IF(ISNUMBER(MATCH(TRUE,ISNUMBER(SEARCH($S$2:$S$199, $F22)),0))=TRUE,"","미국 확인 필요")))</f>
        <v>미국 확인 필요</v>
      </c>
      <c r="L22" s="240" t="s">
        <v>200</v>
      </c>
      <c r="M22" s="243" t="s">
        <v>208</v>
      </c>
      <c r="N22" s="242">
        <f>followers!H1</f>
        <v>45536</v>
      </c>
      <c r="Q22" s="172" t="s">
        <v>267</v>
      </c>
      <c r="S22" s="46" t="s">
        <v>230</v>
      </c>
      <c r="T22" s="149">
        <f t="shared" si="0"/>
        <v>303</v>
      </c>
      <c r="U22" s="149">
        <f>IF(T22=0,"",RANK(T22,T:T,0)+COUNTIF(T$1:T21,T22))</f>
        <v>4</v>
      </c>
      <c r="V22" s="46">
        <v>144</v>
      </c>
      <c r="W22" s="149">
        <f t="shared" si="1"/>
        <v>189</v>
      </c>
      <c r="X22" s="149">
        <f>IF(W22=0,"",RANK(W22,W:W,0)+COUNTIF(W$1:W21,W22))</f>
        <v>28</v>
      </c>
      <c r="Y22" s="46">
        <v>190</v>
      </c>
    </row>
    <row r="23" spans="1:25">
      <c r="A23" s="2" t="s">
        <v>787</v>
      </c>
      <c r="B23" s="175">
        <v>35</v>
      </c>
      <c r="C23" s="9" t="str" cm="1">
        <f t="array" ref="C23">IFERROR(IF(A23="","",IF(ISNUMBER(MATCH(TRUE,ISNUMBER(SEARCH($Q$2:$Q$51, $A23)),0))=TRUE,"United States of America",INDEX($S$2:$S$199,MATCH(TRUE,ISNUMBER(SEARCH($S$2:$S$199, $A23)),0)))),"United States of America")</f>
        <v>Mexico</v>
      </c>
      <c r="D23" s="9" t="str" cm="1">
        <f t="array" ref="D23">IF(A23="","",IF(ISNUMBER(MATCH(TRUE,ISNUMBER(SEARCH($Q$2:$Q$51, $A23)),0))=TRUE,"",IF(ISNUMBER(MATCH(TRUE,ISNUMBER(SEARCH($S$2:$S$199, $A23)),0))=TRUE,"","미국 확인 필요")))</f>
        <v/>
      </c>
      <c r="F23" s="2" t="s">
        <v>728</v>
      </c>
      <c r="G23" s="175">
        <v>631</v>
      </c>
      <c r="H23" s="9" t="str" cm="1">
        <f t="array" ref="H23">IFERROR(IF(F23="","",IF(ISNUMBER(MATCH(TRUE,ISNUMBER(SEARCH($Q$2:$Q$51, $F23)),0))=TRUE,"United States of America",INDEX($S$2:$S$199,MATCH(TRUE,ISNUMBER(SEARCH($S$2:$S$199, $F23)),0)))),"United States of America")</f>
        <v>Italy</v>
      </c>
      <c r="I23" s="9" t="str" cm="1">
        <f t="array" ref="I23">IF(F23="","",IF(ISNUMBER(MATCH(TRUE,ISNUMBER(SEARCH($Q$2:$Q$51, $F23)),0))=TRUE,"",IF(ISNUMBER(MATCH(TRUE,ISNUMBER(SEARCH($S$2:$S$199, $F23)),0))=TRUE,"","미국 확인 필요")))</f>
        <v/>
      </c>
      <c r="L23" s="178">
        <v>1</v>
      </c>
      <c r="M23" s="179" t="str">
        <f t="shared" ref="M23:M32" si="4">INDEX(S:S,MATCH(L5,X:X,0))</f>
        <v>Korea</v>
      </c>
      <c r="N23" s="186" t="str">
        <f>TEXT(INDEX(W:W, MATCH(L5, X:X, 0)),"#,###") &amp; "(" &amp;
IF(INDEX(W:W, MATCH(L5, X:X, 0)) &gt; INDEX(Y:Y, MATCH(L5, X:X, 0)), "▲", "▼") &amp;
TEXT(ABS(INDEX(W:W, MATCH(L5, X:X, 0)) - INDEX(Y:Y, MATCH(L5, X:X, 0))), "#,###") &amp; ")"</f>
        <v>22,388(▲2,419)</v>
      </c>
      <c r="Q23" s="172" t="s">
        <v>268</v>
      </c>
      <c r="S23" s="46" t="s">
        <v>231</v>
      </c>
      <c r="T23" s="149">
        <f t="shared" si="0"/>
        <v>0</v>
      </c>
      <c r="U23" s="149" t="str">
        <f>IF(T23=0,"",RANK(T23,T:T,0)+COUNTIF(T$1:T22,T23))</f>
        <v/>
      </c>
      <c r="V23" s="46">
        <v>0</v>
      </c>
      <c r="W23" s="149">
        <f t="shared" si="1"/>
        <v>0</v>
      </c>
      <c r="X23" s="149" t="str">
        <f>IF(W23=0,"",RANK(W23,W:W,0)+COUNTIF(W$1:W22,W23))</f>
        <v/>
      </c>
      <c r="Y23" s="46">
        <v>0</v>
      </c>
    </row>
    <row r="24" spans="1:25">
      <c r="A24" s="2" t="s">
        <v>936</v>
      </c>
      <c r="B24" s="175">
        <v>22</v>
      </c>
      <c r="C24" s="9" t="str" cm="1">
        <f t="array" ref="C24">IFERROR(IF(A24="","",IF(ISNUMBER(MATCH(TRUE,ISNUMBER(SEARCH($Q$2:$Q$51, $A24)),0))=TRUE,"United States of America",INDEX($S$2:$S$199,MATCH(TRUE,ISNUMBER(SEARCH($S$2:$S$199, $A24)),0)))),"United States of America")</f>
        <v>India</v>
      </c>
      <c r="D24" s="9" t="str" cm="1">
        <f t="array" ref="D24">IF(A24="","",IF(ISNUMBER(MATCH(TRUE,ISNUMBER(SEARCH($Q$2:$Q$51, $A24)),0))=TRUE,"",IF(ISNUMBER(MATCH(TRUE,ISNUMBER(SEARCH($S$2:$S$199, $A24)),0))=TRUE,"","미국 확인 필요")))</f>
        <v/>
      </c>
      <c r="F24" s="2" t="s">
        <v>731</v>
      </c>
      <c r="G24" s="175">
        <v>606</v>
      </c>
      <c r="H24" s="9" t="str" cm="1">
        <f t="array" ref="H24">IFERROR(IF(F24="","",IF(ISNUMBER(MATCH(TRUE,ISNUMBER(SEARCH($Q$2:$Q$51, $F24)),0))=TRUE,"United States of America",INDEX($S$2:$S$199,MATCH(TRUE,ISNUMBER(SEARCH($S$2:$S$199, $F24)),0)))),"United States of America")</f>
        <v>United States of America</v>
      </c>
      <c r="I24" s="9" t="str" cm="1">
        <f t="array" ref="I24">IF(F24="","",IF(ISNUMBER(MATCH(TRUE,ISNUMBER(SEARCH($Q$2:$Q$51, $F24)),0))=TRUE,"",IF(ISNUMBER(MATCH(TRUE,ISNUMBER(SEARCH($S$2:$S$199, $F24)),0))=TRUE,"","미국 확인 필요")))</f>
        <v/>
      </c>
      <c r="L24" s="168">
        <v>2</v>
      </c>
      <c r="M24" s="179" t="str">
        <f t="shared" si="4"/>
        <v>India</v>
      </c>
      <c r="N24" s="186" t="str">
        <f t="shared" ref="N24:N32" si="5">TEXT(INDEX(W:W, MATCH(L6, X:X, 0)),"#,###") &amp; "(" &amp;
IF(INDEX(W:W, MATCH(L6, X:X, 0)) &gt; INDEX(Y:Y, MATCH(L6, X:X, 0)), "▲", "▼") &amp;
TEXT(ABS(INDEX(W:W, MATCH(L6, X:X, 0)) - INDEX(Y:Y, MATCH(L6, X:X, 0))), "#,###") &amp; ")"</f>
        <v>17,396(▲2,493)</v>
      </c>
      <c r="Q24" s="172" t="s">
        <v>269</v>
      </c>
      <c r="S24" s="46" t="s">
        <v>232</v>
      </c>
      <c r="T24" s="149">
        <f t="shared" si="0"/>
        <v>35</v>
      </c>
      <c r="U24" s="149">
        <f>IF(T24=0,"",RANK(T24,T:T,0)+COUNTIF(T$1:T23,T24))</f>
        <v>18</v>
      </c>
      <c r="V24" s="46">
        <v>39</v>
      </c>
      <c r="W24" s="149">
        <f t="shared" si="1"/>
        <v>496</v>
      </c>
      <c r="X24" s="149">
        <f>IF(W24=0,"",RANK(W24,W:W,0)+COUNTIF(W$1:W23,W24))</f>
        <v>19</v>
      </c>
      <c r="Y24" s="46">
        <v>480</v>
      </c>
    </row>
    <row r="25" spans="1:25">
      <c r="A25" s="2" t="s">
        <v>737</v>
      </c>
      <c r="B25" s="175">
        <v>77</v>
      </c>
      <c r="C25" s="9" t="str" cm="1">
        <f t="array" ref="C25">IFERROR(IF(A25="","",IF(ISNUMBER(MATCH(TRUE,ISNUMBER(SEARCH($Q$2:$Q$51, $A25)),0))=TRUE,"United States of America",INDEX($S$2:$S$199,MATCH(TRUE,ISNUMBER(SEARCH($S$2:$S$199, $A25)),0)))),"United States of America")</f>
        <v>United States of America</v>
      </c>
      <c r="D25" s="9" t="str" cm="1">
        <f t="array" ref="D25">IF(A25="","",IF(ISNUMBER(MATCH(TRUE,ISNUMBER(SEARCH($Q$2:$Q$51, $A25)),0))=TRUE,"",IF(ISNUMBER(MATCH(TRUE,ISNUMBER(SEARCH($S$2:$S$199, $A25)),0))=TRUE,"","미국 확인 필요")))</f>
        <v>미국 확인 필요</v>
      </c>
      <c r="F25" s="2" t="s">
        <v>751</v>
      </c>
      <c r="G25" s="175">
        <v>598</v>
      </c>
      <c r="H25" s="9" t="str" cm="1">
        <f t="array" ref="H25">IFERROR(IF(F25="","",IF(ISNUMBER(MATCH(TRUE,ISNUMBER(SEARCH($Q$2:$Q$51, $F25)),0))=TRUE,"United States of America",INDEX($S$2:$S$199,MATCH(TRUE,ISNUMBER(SEARCH($S$2:$S$199, $F25)),0)))),"United States of America")</f>
        <v>Canada</v>
      </c>
      <c r="I25" s="9" t="str" cm="1">
        <f t="array" ref="I25">IF(F25="","",IF(ISNUMBER(MATCH(TRUE,ISNUMBER(SEARCH($Q$2:$Q$51, $F25)),0))=TRUE,"",IF(ISNUMBER(MATCH(TRUE,ISNUMBER(SEARCH($S$2:$S$199, $F25)),0))=TRUE,"","미국 확인 필요")))</f>
        <v/>
      </c>
      <c r="L25" s="168">
        <v>3</v>
      </c>
      <c r="M25" s="179" t="str">
        <f t="shared" si="4"/>
        <v>United States of America</v>
      </c>
      <c r="N25" s="186" t="str">
        <f t="shared" si="5"/>
        <v>14,408(▲1,004)</v>
      </c>
      <c r="Q25" s="172" t="s">
        <v>270</v>
      </c>
      <c r="S25" s="46" t="s">
        <v>233</v>
      </c>
      <c r="T25" s="149">
        <f t="shared" si="0"/>
        <v>2577</v>
      </c>
      <c r="U25" s="149">
        <f>IF(T25=0,"",RANK(T25,T:T,0)+COUNTIF(T$1:T24,T25))</f>
        <v>3</v>
      </c>
      <c r="V25" s="46">
        <v>3252</v>
      </c>
      <c r="W25" s="149">
        <f t="shared" si="1"/>
        <v>22388</v>
      </c>
      <c r="X25" s="149">
        <f>IF(W25=0,"",RANK(W25,W:W,0)+COUNTIF(W$1:W24,W25))</f>
        <v>1</v>
      </c>
      <c r="Y25" s="46">
        <v>19969</v>
      </c>
    </row>
    <row r="26" spans="1:25">
      <c r="A26" s="2" t="s">
        <v>721</v>
      </c>
      <c r="B26" s="175">
        <v>256</v>
      </c>
      <c r="C26" s="9" t="str" cm="1">
        <f t="array" ref="C26">IFERROR(IF(A26="","",IF(ISNUMBER(MATCH(TRUE,ISNUMBER(SEARCH($Q$2:$Q$51, $A26)),0))=TRUE,"United States of America",INDEX($S$2:$S$199,MATCH(TRUE,ISNUMBER(SEARCH($S$2:$S$199, $A26)),0)))),"United States of America")</f>
        <v>United States of America</v>
      </c>
      <c r="D26" s="9" t="str" cm="1">
        <f t="array" ref="D26">IF(A26="","",IF(ISNUMBER(MATCH(TRUE,ISNUMBER(SEARCH($Q$2:$Q$51, $A26)),0))=TRUE,"",IF(ISNUMBER(MATCH(TRUE,ISNUMBER(SEARCH($S$2:$S$199, $A26)),0))=TRUE,"","미국 확인 필요")))</f>
        <v/>
      </c>
      <c r="F26" s="2" t="s">
        <v>741</v>
      </c>
      <c r="G26" s="175">
        <v>570</v>
      </c>
      <c r="H26" s="9" t="str" cm="1">
        <f t="array" ref="H26">IFERROR(IF(F26="","",IF(ISNUMBER(MATCH(TRUE,ISNUMBER(SEARCH($Q$2:$Q$51, $F26)),0))=TRUE,"United States of America",INDEX($S$2:$S$199,MATCH(TRUE,ISNUMBER(SEARCH($S$2:$S$199, $F26)),0)))),"United States of America")</f>
        <v>India</v>
      </c>
      <c r="I26" s="9" t="str" cm="1">
        <f t="array" ref="I26">IF(F26="","",IF(ISNUMBER(MATCH(TRUE,ISNUMBER(SEARCH($Q$2:$Q$51, $F26)),0))=TRUE,"",IF(ISNUMBER(MATCH(TRUE,ISNUMBER(SEARCH($S$2:$S$199, $F26)),0))=TRUE,"","미국 확인 필요")))</f>
        <v/>
      </c>
      <c r="L26" s="168">
        <v>4</v>
      </c>
      <c r="M26" s="179" t="str">
        <f t="shared" si="4"/>
        <v>China</v>
      </c>
      <c r="N26" s="186" t="str">
        <f t="shared" si="5"/>
        <v>3,765(▲61)</v>
      </c>
      <c r="Q26" s="172" t="s">
        <v>271</v>
      </c>
      <c r="S26" s="46" t="s">
        <v>234</v>
      </c>
      <c r="T26" s="149">
        <f t="shared" si="0"/>
        <v>56</v>
      </c>
      <c r="U26" s="149">
        <f>IF(T26=0,"",RANK(T26,T:T,0)+COUNTIF(T$1:T25,T26))</f>
        <v>16</v>
      </c>
      <c r="V26" s="46">
        <v>39</v>
      </c>
      <c r="W26" s="149">
        <f t="shared" si="1"/>
        <v>510</v>
      </c>
      <c r="X26" s="149">
        <f>IF(W26=0,"",RANK(W26,W:W,0)+COUNTIF(W$1:W25,W26))</f>
        <v>16</v>
      </c>
      <c r="Y26" s="46">
        <v>485</v>
      </c>
    </row>
    <row r="27" spans="1:25">
      <c r="A27" s="2" t="s">
        <v>1081</v>
      </c>
      <c r="B27" s="175">
        <v>17</v>
      </c>
      <c r="C27" s="9" t="str" cm="1">
        <f t="array" ref="C27">IFERROR(IF(A27="","",IF(ISNUMBER(MATCH(TRUE,ISNUMBER(SEARCH($Q$2:$Q$51, $A27)),0))=TRUE,"United States of America",INDEX($S$2:$S$199,MATCH(TRUE,ISNUMBER(SEARCH($S$2:$S$199, $A27)),0)))),"United States of America")</f>
        <v>United States of America</v>
      </c>
      <c r="D27" s="9" t="str" cm="1">
        <f t="array" ref="D27">IF(A27="","",IF(ISNUMBER(MATCH(TRUE,ISNUMBER(SEARCH($Q$2:$Q$51, $A27)),0))=TRUE,"",IF(ISNUMBER(MATCH(TRUE,ISNUMBER(SEARCH($S$2:$S$199, $A27)),0))=TRUE,"","미국 확인 필요")))</f>
        <v>미국 확인 필요</v>
      </c>
      <c r="F27" s="2" t="s">
        <v>756</v>
      </c>
      <c r="G27" s="175">
        <v>568</v>
      </c>
      <c r="H27" s="9" t="str" cm="1">
        <f t="array" ref="H27">IFERROR(IF(F27="","",IF(ISNUMBER(MATCH(TRUE,ISNUMBER(SEARCH($Q$2:$Q$51, $F27)),0))=TRUE,"United States of America",INDEX($S$2:$S$199,MATCH(TRUE,ISNUMBER(SEARCH($S$2:$S$199, $F27)),0)))),"United States of America")</f>
        <v>Argentina</v>
      </c>
      <c r="I27" s="9" t="str" cm="1">
        <f t="array" ref="I27">IF(F27="","",IF(ISNUMBER(MATCH(TRUE,ISNUMBER(SEARCH($Q$2:$Q$51, $F27)),0))=TRUE,"",IF(ISNUMBER(MATCH(TRUE,ISNUMBER(SEARCH($S$2:$S$199, $F27)),0))=TRUE,"","미국 확인 필요")))</f>
        <v/>
      </c>
      <c r="L27" s="168">
        <v>5</v>
      </c>
      <c r="M27" s="179" t="str">
        <f t="shared" si="4"/>
        <v>Taiwan</v>
      </c>
      <c r="N27" s="186" t="str">
        <f t="shared" si="5"/>
        <v>2,241(▲75)</v>
      </c>
      <c r="Q27" s="172" t="s">
        <v>272</v>
      </c>
      <c r="S27" s="46" t="s">
        <v>235</v>
      </c>
      <c r="T27" s="149">
        <f t="shared" si="0"/>
        <v>0</v>
      </c>
      <c r="U27" s="149" t="str">
        <f>IF(T27=0,"",RANK(T27,T:T,0)+COUNTIF(T$1:T26,T27))</f>
        <v/>
      </c>
      <c r="V27" s="46">
        <v>0</v>
      </c>
      <c r="W27" s="149">
        <f t="shared" si="1"/>
        <v>0</v>
      </c>
      <c r="X27" s="149" t="str">
        <f>IF(W27=0,"",RANK(W27,W:W,0)+COUNTIF(W$1:W26,W27))</f>
        <v/>
      </c>
      <c r="Y27" s="46">
        <v>0</v>
      </c>
    </row>
    <row r="28" spans="1:25">
      <c r="A28" s="2" t="s">
        <v>792</v>
      </c>
      <c r="B28" s="175">
        <v>53</v>
      </c>
      <c r="C28" s="9" t="str" cm="1">
        <f t="array" ref="C28">IFERROR(IF(A28="","",IF(ISNUMBER(MATCH(TRUE,ISNUMBER(SEARCH($Q$2:$Q$51, $A28)),0))=TRUE,"United States of America",INDEX($S$2:$S$199,MATCH(TRUE,ISNUMBER(SEARCH($S$2:$S$199, $A28)),0)))),"United States of America")</f>
        <v>United States of America</v>
      </c>
      <c r="D28" s="9" t="str" cm="1">
        <f t="array" ref="D28">IF(A28="","",IF(ISNUMBER(MATCH(TRUE,ISNUMBER(SEARCH($Q$2:$Q$51, $A28)),0))=TRUE,"",IF(ISNUMBER(MATCH(TRUE,ISNUMBER(SEARCH($S$2:$S$199, $A28)),0))=TRUE,"","미국 확인 필요")))</f>
        <v>미국 확인 필요</v>
      </c>
      <c r="F28" s="2" t="s">
        <v>736</v>
      </c>
      <c r="G28" s="175">
        <v>538</v>
      </c>
      <c r="H28" s="9" t="str" cm="1">
        <f t="array" ref="H28">IFERROR(IF(F28="","",IF(ISNUMBER(MATCH(TRUE,ISNUMBER(SEARCH($Q$2:$Q$51, $F28)),0))=TRUE,"United States of America",INDEX($S$2:$S$199,MATCH(TRUE,ISNUMBER(SEARCH($S$2:$S$199, $F28)),0)))),"United States of America")</f>
        <v>United States of America</v>
      </c>
      <c r="I28" s="9" t="str" cm="1">
        <f t="array" ref="I28">IF(F28="","",IF(ISNUMBER(MATCH(TRUE,ISNUMBER(SEARCH($Q$2:$Q$51, $F28)),0))=TRUE,"",IF(ISNUMBER(MATCH(TRUE,ISNUMBER(SEARCH($S$2:$S$199, $F28)),0))=TRUE,"","미국 확인 필요")))</f>
        <v>미국 확인 필요</v>
      </c>
      <c r="L28" s="168">
        <v>6</v>
      </c>
      <c r="M28" s="179" t="str">
        <f t="shared" si="4"/>
        <v>Brazil</v>
      </c>
      <c r="N28" s="186" t="str">
        <f t="shared" si="5"/>
        <v>1,904(▼1)</v>
      </c>
      <c r="Q28" s="172" t="s">
        <v>273</v>
      </c>
      <c r="S28" s="46" t="s">
        <v>236</v>
      </c>
      <c r="T28" s="149">
        <f t="shared" si="0"/>
        <v>0</v>
      </c>
      <c r="U28" s="149" t="str">
        <f>IF(T28=0,"",RANK(T28,T:T,0)+COUNTIF(T$1:T27,T28))</f>
        <v/>
      </c>
      <c r="V28" s="46">
        <v>0</v>
      </c>
      <c r="W28" s="149">
        <f t="shared" si="1"/>
        <v>0</v>
      </c>
      <c r="X28" s="149" t="str">
        <f>IF(W28=0,"",RANK(W28,W:W,0)+COUNTIF(W$1:W27,W28))</f>
        <v/>
      </c>
      <c r="Y28" s="46">
        <v>0</v>
      </c>
    </row>
    <row r="29" spans="1:25">
      <c r="A29" s="2" t="s">
        <v>937</v>
      </c>
      <c r="B29" s="175">
        <v>24</v>
      </c>
      <c r="C29" s="9" t="str" cm="1">
        <f t="array" ref="C29">IFERROR(IF(A29="","",IF(ISNUMBER(MATCH(TRUE,ISNUMBER(SEARCH($Q$2:$Q$51, $A29)),0))=TRUE,"United States of America",INDEX($S$2:$S$199,MATCH(TRUE,ISNUMBER(SEARCH($S$2:$S$199, $A29)),0)))),"United States of America")</f>
        <v>United States of America</v>
      </c>
      <c r="D29" s="9" t="str" cm="1">
        <f t="array" ref="D29">IF(A29="","",IF(ISNUMBER(MATCH(TRUE,ISNUMBER(SEARCH($Q$2:$Q$51, $A29)),0))=TRUE,"",IF(ISNUMBER(MATCH(TRUE,ISNUMBER(SEARCH($S$2:$S$199, $A29)),0))=TRUE,"","미국 확인 필요")))</f>
        <v>미국 확인 필요</v>
      </c>
      <c r="F29" s="2" t="s">
        <v>732</v>
      </c>
      <c r="G29" s="175">
        <v>516</v>
      </c>
      <c r="H29" s="9" t="str" cm="1">
        <f t="array" ref="H29">IFERROR(IF(F29="","",IF(ISNUMBER(MATCH(TRUE,ISNUMBER(SEARCH($Q$2:$Q$51, $F29)),0))=TRUE,"United States of America",INDEX($S$2:$S$199,MATCH(TRUE,ISNUMBER(SEARCH($S$2:$S$199, $F29)),0)))),"United States of America")</f>
        <v>France</v>
      </c>
      <c r="I29" s="9" t="str" cm="1">
        <f t="array" ref="I29">IF(F29="","",IF(ISNUMBER(MATCH(TRUE,ISNUMBER(SEARCH($Q$2:$Q$51, $F29)),0))=TRUE,"",IF(ISNUMBER(MATCH(TRUE,ISNUMBER(SEARCH($S$2:$S$199, $F29)),0))=TRUE,"","미국 확인 필요")))</f>
        <v/>
      </c>
      <c r="L29" s="168">
        <v>7</v>
      </c>
      <c r="M29" s="179" t="str">
        <f t="shared" si="4"/>
        <v>Singapore</v>
      </c>
      <c r="N29" s="186" t="str">
        <f t="shared" si="5"/>
        <v>1,298(▲78)</v>
      </c>
      <c r="Q29" s="172" t="s">
        <v>274</v>
      </c>
      <c r="S29" s="46" t="s">
        <v>237</v>
      </c>
      <c r="T29" s="149">
        <f t="shared" si="0"/>
        <v>0</v>
      </c>
      <c r="U29" s="149" t="str">
        <f>IF(T29=0,"",RANK(T29,T:T,0)+COUNTIF(T$1:T28,T29))</f>
        <v/>
      </c>
      <c r="V29" s="46">
        <v>19</v>
      </c>
      <c r="W29" s="149">
        <f t="shared" si="1"/>
        <v>399</v>
      </c>
      <c r="X29" s="149">
        <f>IF(W29=0,"",RANK(W29,W:W,0)+COUNTIF(W$1:W28,W29))</f>
        <v>20</v>
      </c>
      <c r="Y29" s="46">
        <v>389</v>
      </c>
    </row>
    <row r="30" spans="1:25">
      <c r="A30" s="2" t="s">
        <v>731</v>
      </c>
      <c r="B30" s="175">
        <v>100</v>
      </c>
      <c r="C30" s="9" t="str" cm="1">
        <f t="array" ref="C30">IFERROR(IF(A30="","",IF(ISNUMBER(MATCH(TRUE,ISNUMBER(SEARCH($Q$2:$Q$51, $A30)),0))=TRUE,"United States of America",INDEX($S$2:$S$199,MATCH(TRUE,ISNUMBER(SEARCH($S$2:$S$199, $A30)),0)))),"United States of America")</f>
        <v>United States of America</v>
      </c>
      <c r="D30" s="9" t="str" cm="1">
        <f t="array" ref="D30">IF(A30="","",IF(ISNUMBER(MATCH(TRUE,ISNUMBER(SEARCH($Q$2:$Q$51, $A30)),0))=TRUE,"",IF(ISNUMBER(MATCH(TRUE,ISNUMBER(SEARCH($S$2:$S$199, $A30)),0))=TRUE,"","미국 확인 필요")))</f>
        <v/>
      </c>
      <c r="F30" s="2" t="s">
        <v>739</v>
      </c>
      <c r="G30" s="175">
        <v>513</v>
      </c>
      <c r="H30" s="9" t="str" cm="1">
        <f t="array" ref="H30">IFERROR(IF(F30="","",IF(ISNUMBER(MATCH(TRUE,ISNUMBER(SEARCH($Q$2:$Q$51, $F30)),0))=TRUE,"United States of America",INDEX($S$2:$S$199,MATCH(TRUE,ISNUMBER(SEARCH($S$2:$S$199, $F30)),0)))),"United States of America")</f>
        <v>United States of America</v>
      </c>
      <c r="I30" s="9" t="str" cm="1">
        <f t="array" ref="I30">IF(F30="","",IF(ISNUMBER(MATCH(TRUE,ISNUMBER(SEARCH($Q$2:$Q$51, $F30)),0))=TRUE,"",IF(ISNUMBER(MATCH(TRUE,ISNUMBER(SEARCH($S$2:$S$199, $F30)),0))=TRUE,"","미국 확인 필요")))</f>
        <v>미국 확인 필요</v>
      </c>
      <c r="L30" s="168">
        <v>8</v>
      </c>
      <c r="M30" s="179" t="str">
        <f t="shared" si="4"/>
        <v>Canada</v>
      </c>
      <c r="N30" s="186" t="str">
        <f t="shared" si="5"/>
        <v>834(▼110)</v>
      </c>
      <c r="Q30" s="172" t="s">
        <v>275</v>
      </c>
      <c r="S30" s="46" t="s">
        <v>238</v>
      </c>
      <c r="T30" s="149">
        <f t="shared" si="0"/>
        <v>152</v>
      </c>
      <c r="U30" s="149">
        <f>IF(T30=0,"",RANK(T30,T:T,0)+COUNTIF(T$1:T29,T30))</f>
        <v>9</v>
      </c>
      <c r="V30" s="46">
        <v>67</v>
      </c>
      <c r="W30" s="149">
        <f t="shared" si="1"/>
        <v>337</v>
      </c>
      <c r="X30" s="149">
        <f>IF(W30=0,"",RANK(W30,W:W,0)+COUNTIF(W$1:W29,W30))</f>
        <v>22</v>
      </c>
      <c r="Y30" s="46">
        <v>271</v>
      </c>
    </row>
    <row r="31" spans="1:25">
      <c r="A31" s="2" t="s">
        <v>800</v>
      </c>
      <c r="B31" s="175">
        <v>32</v>
      </c>
      <c r="C31" s="9" t="str" cm="1">
        <f t="array" ref="C31">IFERROR(IF(A31="","",IF(ISNUMBER(MATCH(TRUE,ISNUMBER(SEARCH($Q$2:$Q$51, $A31)),0))=TRUE,"United States of America",INDEX($S$2:$S$199,MATCH(TRUE,ISNUMBER(SEARCH($S$2:$S$199, $A31)),0)))),"United States of America")</f>
        <v>United States of America</v>
      </c>
      <c r="D31" s="9" t="str" cm="1">
        <f t="array" ref="D31">IF(A31="","",IF(ISNUMBER(MATCH(TRUE,ISNUMBER(SEARCH($Q$2:$Q$51, $A31)),0))=TRUE,"",IF(ISNUMBER(MATCH(TRUE,ISNUMBER(SEARCH($S$2:$S$199, $A31)),0))=TRUE,"","미국 확인 필요")))</f>
        <v>미국 확인 필요</v>
      </c>
      <c r="F31" s="2" t="s">
        <v>738</v>
      </c>
      <c r="G31" s="175">
        <v>510</v>
      </c>
      <c r="H31" s="9" t="str" cm="1">
        <f t="array" ref="H31">IFERROR(IF(F31="","",IF(ISNUMBER(MATCH(TRUE,ISNUMBER(SEARCH($Q$2:$Q$51, $F31)),0))=TRUE,"United States of America",INDEX($S$2:$S$199,MATCH(TRUE,ISNUMBER(SEARCH($S$2:$S$199, $F31)),0)))),"United States of America")</f>
        <v>United States of America</v>
      </c>
      <c r="I31" s="9" t="str" cm="1">
        <f t="array" ref="I31">IF(F31="","",IF(ISNUMBER(MATCH(TRUE,ISNUMBER(SEARCH($Q$2:$Q$51, $F31)),0))=TRUE,"",IF(ISNUMBER(MATCH(TRUE,ISNUMBER(SEARCH($S$2:$S$199, $F31)),0))=TRUE,"","미국 확인 필요")))</f>
        <v/>
      </c>
      <c r="L31" s="168">
        <v>9</v>
      </c>
      <c r="M31" s="179" t="str">
        <f t="shared" si="4"/>
        <v>Italy</v>
      </c>
      <c r="N31" s="186" t="str">
        <f t="shared" si="5"/>
        <v>790(▲7)</v>
      </c>
      <c r="Q31" s="172" t="s">
        <v>276</v>
      </c>
      <c r="S31" s="46" t="s">
        <v>239</v>
      </c>
      <c r="T31" s="149">
        <f t="shared" si="0"/>
        <v>0</v>
      </c>
      <c r="U31" s="149" t="str">
        <f>IF(T31=0,"",RANK(T31,T:T,0)+COUNTIF(T$1:T30,T31))</f>
        <v/>
      </c>
      <c r="V31" s="46">
        <v>0</v>
      </c>
      <c r="W31" s="149">
        <f t="shared" si="1"/>
        <v>0</v>
      </c>
      <c r="X31" s="149" t="str">
        <f>IF(W31=0,"",RANK(W31,W:W,0)+COUNTIF(W$1:W30,W31))</f>
        <v/>
      </c>
      <c r="Y31" s="46">
        <v>0</v>
      </c>
    </row>
    <row r="32" spans="1:25">
      <c r="A32" s="2" t="s">
        <v>766</v>
      </c>
      <c r="B32" s="175">
        <v>22</v>
      </c>
      <c r="C32" s="9" t="str" cm="1">
        <f t="array" ref="C32">IFERROR(IF(A32="","",IF(ISNUMBER(MATCH(TRUE,ISNUMBER(SEARCH($Q$2:$Q$51, $A32)),0))=TRUE,"United States of America",INDEX($S$2:$S$199,MATCH(TRUE,ISNUMBER(SEARCH($S$2:$S$199, $A32)),0)))),"United States of America")</f>
        <v>United States of America</v>
      </c>
      <c r="D32" s="9" t="str" cm="1">
        <f t="array" ref="D32">IF(A32="","",IF(ISNUMBER(MATCH(TRUE,ISNUMBER(SEARCH($Q$2:$Q$51, $A32)),0))=TRUE,"",IF(ISNUMBER(MATCH(TRUE,ISNUMBER(SEARCH($S$2:$S$199, $A32)),0))=TRUE,"","미국 확인 필요")))</f>
        <v>미국 확인 필요</v>
      </c>
      <c r="F32" s="2" t="s">
        <v>733</v>
      </c>
      <c r="G32" s="175">
        <v>510</v>
      </c>
      <c r="H32" s="9" t="str" cm="1">
        <f t="array" ref="H32">IFERROR(IF(F32="","",IF(ISNUMBER(MATCH(TRUE,ISNUMBER(SEARCH($Q$2:$Q$51, $F32)),0))=TRUE,"United States of America",INDEX($S$2:$S$199,MATCH(TRUE,ISNUMBER(SEARCH($S$2:$S$199, $F32)),0)))),"United States of America")</f>
        <v>Egypt</v>
      </c>
      <c r="I32" s="9" t="str" cm="1">
        <f t="array" ref="I32">IF(F32="","",IF(ISNUMBER(MATCH(TRUE,ISNUMBER(SEARCH($Q$2:$Q$51, $F32)),0))=TRUE,"",IF(ISNUMBER(MATCH(TRUE,ISNUMBER(SEARCH($S$2:$S$199, $F32)),0))=TRUE,"","미국 확인 필요")))</f>
        <v/>
      </c>
      <c r="L32" s="169">
        <v>10</v>
      </c>
      <c r="M32" s="179" t="str">
        <f t="shared" si="4"/>
        <v>United Kingdom</v>
      </c>
      <c r="N32" s="186" t="str">
        <f t="shared" si="5"/>
        <v>747(▲10)</v>
      </c>
      <c r="Q32" s="172" t="s">
        <v>277</v>
      </c>
      <c r="S32" s="46" t="s">
        <v>203</v>
      </c>
      <c r="T32" s="149">
        <f t="shared" si="0"/>
        <v>92</v>
      </c>
      <c r="U32" s="149">
        <f>IF(T32=0,"",RANK(T32,T:T,0)+COUNTIF(T$1:T31,T32))</f>
        <v>10</v>
      </c>
      <c r="V32" s="46">
        <v>76</v>
      </c>
      <c r="W32" s="149">
        <f t="shared" si="1"/>
        <v>3765</v>
      </c>
      <c r="X32" s="149">
        <f>IF(W32=0,"",RANK(W32,W:W,0)+COUNTIF(W$1:W31,W32))</f>
        <v>4</v>
      </c>
      <c r="Y32" s="46">
        <v>3704</v>
      </c>
    </row>
    <row r="33" spans="1:25" ht="17.25" thickBot="1">
      <c r="A33" s="2" t="s">
        <v>938</v>
      </c>
      <c r="B33" s="175">
        <v>25</v>
      </c>
      <c r="C33" s="9" t="str" cm="1">
        <f t="array" ref="C33">IFERROR(IF(A33="","",IF(ISNUMBER(MATCH(TRUE,ISNUMBER(SEARCH($Q$2:$Q$51, $A33)),0))=TRUE,"United States of America",INDEX($S$2:$S$199,MATCH(TRUE,ISNUMBER(SEARCH($S$2:$S$199, $A33)),0)))),"United States of America")</f>
        <v>United States of America</v>
      </c>
      <c r="D33" s="9" t="str" cm="1">
        <f t="array" ref="D33">IF(A33="","",IF(ISNUMBER(MATCH(TRUE,ISNUMBER(SEARCH($Q$2:$Q$51, $A33)),0))=TRUE,"",IF(ISNUMBER(MATCH(TRUE,ISNUMBER(SEARCH($S$2:$S$199, $A33)),0))=TRUE,"","미국 확인 필요")))</f>
        <v>미국 확인 필요</v>
      </c>
      <c r="F33" s="2" t="s">
        <v>734</v>
      </c>
      <c r="G33" s="175">
        <v>496</v>
      </c>
      <c r="H33" s="9" t="str" cm="1">
        <f t="array" ref="H33">IFERROR(IF(F33="","",IF(ISNUMBER(MATCH(TRUE,ISNUMBER(SEARCH($Q$2:$Q$51, $F33)),0))=TRUE,"United States of America",INDEX($S$2:$S$199,MATCH(TRUE,ISNUMBER(SEARCH($S$2:$S$199, $F33)),0)))),"United States of America")</f>
        <v>Japan</v>
      </c>
      <c r="I33" s="9" t="str" cm="1">
        <f t="array" ref="I33">IF(F33="","",IF(ISNUMBER(MATCH(TRUE,ISNUMBER(SEARCH($Q$2:$Q$51, $F33)),0))=TRUE,"",IF(ISNUMBER(MATCH(TRUE,ISNUMBER(SEARCH($S$2:$S$199, $F33)),0))=TRUE,"","미국 확인 필요")))</f>
        <v/>
      </c>
      <c r="L33" s="420" t="s">
        <v>142</v>
      </c>
      <c r="M33" s="421"/>
      <c r="N33" s="171" t="str">
        <f>TEXT(SUM(W:W),"#,###")&amp;" (전체 "&amp;TEXT(SUM(W:W)/'월간 HL'!H49,"#.0%")&amp;")"</f>
        <v>73,772 (전체 60.4%)</v>
      </c>
      <c r="Q33" s="172" t="s">
        <v>278</v>
      </c>
      <c r="S33" s="46" t="s">
        <v>204</v>
      </c>
      <c r="T33" s="149">
        <f t="shared" si="0"/>
        <v>289</v>
      </c>
      <c r="U33" s="149">
        <f>IF(T33=0,"",RANK(T33,T:T,0)+COUNTIF(T$1:T32,T33))</f>
        <v>5</v>
      </c>
      <c r="V33" s="46">
        <v>414</v>
      </c>
      <c r="W33" s="149">
        <f t="shared" si="1"/>
        <v>2241</v>
      </c>
      <c r="X33" s="149">
        <f>IF(W33=0,"",RANK(W33,W:W,0)+COUNTIF(W$1:W32,W33))</f>
        <v>5</v>
      </c>
      <c r="Y33" s="46">
        <v>2166</v>
      </c>
    </row>
    <row r="34" spans="1:25">
      <c r="A34" s="2" t="s">
        <v>1082</v>
      </c>
      <c r="B34" s="175">
        <v>17</v>
      </c>
      <c r="C34" s="9" t="str" cm="1">
        <f t="array" ref="C34">IFERROR(IF(A34="","",IF(ISNUMBER(MATCH(TRUE,ISNUMBER(SEARCH($Q$2:$Q$51, $A34)),0))=TRUE,"United States of America",INDEX($S$2:$S$199,MATCH(TRUE,ISNUMBER(SEARCH($S$2:$S$199, $A34)),0)))),"United States of America")</f>
        <v>India</v>
      </c>
      <c r="D34" s="9" t="str" cm="1">
        <f t="array" ref="D34">IF(A34="","",IF(ISNUMBER(MATCH(TRUE,ISNUMBER(SEARCH($Q$2:$Q$51, $A34)),0))=TRUE,"",IF(ISNUMBER(MATCH(TRUE,ISNUMBER(SEARCH($S$2:$S$199, $A34)),0))=TRUE,"","미국 확인 필요")))</f>
        <v/>
      </c>
      <c r="F34" s="2" t="s">
        <v>737</v>
      </c>
      <c r="G34" s="175">
        <v>495</v>
      </c>
      <c r="H34" s="9" t="str" cm="1">
        <f t="array" ref="H34">IFERROR(IF(F34="","",IF(ISNUMBER(MATCH(TRUE,ISNUMBER(SEARCH($Q$2:$Q$51, $F34)),0))=TRUE,"United States of America",INDEX($S$2:$S$199,MATCH(TRUE,ISNUMBER(SEARCH($S$2:$S$199, $F34)),0)))),"United States of America")</f>
        <v>United States of America</v>
      </c>
      <c r="I34" s="9" t="str" cm="1">
        <f t="array" ref="I34">IF(F34="","",IF(ISNUMBER(MATCH(TRUE,ISNUMBER(SEARCH($Q$2:$Q$51, $F34)),0))=TRUE,"",IF(ISNUMBER(MATCH(TRUE,ISNUMBER(SEARCH($S$2:$S$199, $F34)),0))=TRUE,"","미국 확인 필요")))</f>
        <v>미국 확인 필요</v>
      </c>
      <c r="Q34" s="172" t="s">
        <v>279</v>
      </c>
      <c r="S34" s="46" t="s">
        <v>240</v>
      </c>
      <c r="T34" s="149">
        <f t="shared" si="0"/>
        <v>23</v>
      </c>
      <c r="U34" s="149">
        <f>IF(T34=0,"",RANK(T34,T:T,0)+COUNTIF(T$1:T33,T34))</f>
        <v>21</v>
      </c>
      <c r="V34" s="46">
        <v>0</v>
      </c>
      <c r="W34" s="149">
        <f t="shared" ref="W34:W65" si="6">SUMIF(H:H,S34,G:G)</f>
        <v>0</v>
      </c>
      <c r="X34" s="149" t="str">
        <f>IF(W34=0,"",RANK(W34,W:W,0)+COUNTIF(W$1:W33,W34))</f>
        <v/>
      </c>
      <c r="Y34" s="46">
        <v>0</v>
      </c>
    </row>
    <row r="35" spans="1:25">
      <c r="A35" s="2" t="s">
        <v>809</v>
      </c>
      <c r="B35" s="175">
        <v>31</v>
      </c>
      <c r="C35" s="9" t="str" cm="1">
        <f t="array" ref="C35">IFERROR(IF(A35="","",IF(ISNUMBER(MATCH(TRUE,ISNUMBER(SEARCH($Q$2:$Q$51, $A35)),0))=TRUE,"United States of America",INDEX($S$2:$S$199,MATCH(TRUE,ISNUMBER(SEARCH($S$2:$S$199, $A35)),0)))),"United States of America")</f>
        <v>India</v>
      </c>
      <c r="D35" s="9" t="str" cm="1">
        <f t="array" ref="D35">IF(A35="","",IF(ISNUMBER(MATCH(TRUE,ISNUMBER(SEARCH($Q$2:$Q$51, $A35)),0))=TRUE,"",IF(ISNUMBER(MATCH(TRUE,ISNUMBER(SEARCH($S$2:$S$199, $A35)),0))=TRUE,"","미국 확인 필요")))</f>
        <v/>
      </c>
      <c r="F35" s="2" t="s">
        <v>735</v>
      </c>
      <c r="G35" s="175">
        <v>467</v>
      </c>
      <c r="H35" s="9" t="str" cm="1">
        <f t="array" ref="H35">IFERROR(IF(F35="","",IF(ISNUMBER(MATCH(TRUE,ISNUMBER(SEARCH($Q$2:$Q$51, $F35)),0))=TRUE,"United States of America",INDEX($S$2:$S$199,MATCH(TRUE,ISNUMBER(SEARCH($S$2:$S$199, $F35)),0)))),"United States of America")</f>
        <v>China</v>
      </c>
      <c r="I35" s="9" t="str" cm="1">
        <f t="array" ref="I35">IF(F35="","",IF(ISNUMBER(MATCH(TRUE,ISNUMBER(SEARCH($Q$2:$Q$51, $F35)),0))=TRUE,"",IF(ISNUMBER(MATCH(TRUE,ISNUMBER(SEARCH($S$2:$S$199, $F35)),0))=TRUE,"","미국 확인 필요")))</f>
        <v/>
      </c>
      <c r="Q35" s="172" t="s">
        <v>280</v>
      </c>
      <c r="S35" s="46" t="s">
        <v>241</v>
      </c>
      <c r="T35" s="149">
        <f t="shared" si="0"/>
        <v>22</v>
      </c>
      <c r="U35" s="149">
        <f>IF(T35=0,"",RANK(T35,T:T,0)+COUNTIF(T$1:T34,T35))</f>
        <v>22</v>
      </c>
      <c r="V35" s="46">
        <v>61</v>
      </c>
      <c r="W35" s="149">
        <f t="shared" si="6"/>
        <v>0</v>
      </c>
      <c r="X35" s="149" t="str">
        <f>IF(W35=0,"",RANK(W35,W:W,0)+COUNTIF(W$1:W34,W35))</f>
        <v/>
      </c>
      <c r="Y35" s="46">
        <v>0</v>
      </c>
    </row>
    <row r="36" spans="1:25">
      <c r="A36" s="2" t="s">
        <v>746</v>
      </c>
      <c r="B36" s="175">
        <v>30</v>
      </c>
      <c r="C36" s="9" t="str" cm="1">
        <f t="array" ref="C36">IFERROR(IF(A36="","",IF(ISNUMBER(MATCH(TRUE,ISNUMBER(SEARCH($Q$2:$Q$51, $A36)),0))=TRUE,"United States of America",INDEX($S$2:$S$199,MATCH(TRUE,ISNUMBER(SEARCH($S$2:$S$199, $A36)),0)))),"United States of America")</f>
        <v>Netherlands</v>
      </c>
      <c r="D36" s="9" t="str" cm="1">
        <f t="array" ref="D36">IF(A36="","",IF(ISNUMBER(MATCH(TRUE,ISNUMBER(SEARCH($Q$2:$Q$51, $A36)),0))=TRUE,"",IF(ISNUMBER(MATCH(TRUE,ISNUMBER(SEARCH($S$2:$S$199, $A36)),0))=TRUE,"","미국 확인 필요")))</f>
        <v/>
      </c>
      <c r="F36" s="2" t="s">
        <v>742</v>
      </c>
      <c r="G36" s="175">
        <v>439</v>
      </c>
      <c r="H36" s="9" t="str" cm="1">
        <f t="array" ref="H36">IFERROR(IF(F36="","",IF(ISNUMBER(MATCH(TRUE,ISNUMBER(SEARCH($Q$2:$Q$51, $F36)),0))=TRUE,"United States of America",INDEX($S$2:$S$199,MATCH(TRUE,ISNUMBER(SEARCH($S$2:$S$199, $F36)),0)))),"United States of America")</f>
        <v>China</v>
      </c>
      <c r="I36" s="9" t="str" cm="1">
        <f t="array" ref="I36">IF(F36="","",IF(ISNUMBER(MATCH(TRUE,ISNUMBER(SEARCH($Q$2:$Q$51, $F36)),0))=TRUE,"",IF(ISNUMBER(MATCH(TRUE,ISNUMBER(SEARCH($S$2:$S$199, $F36)),0))=TRUE,"","미국 확인 필요")))</f>
        <v/>
      </c>
      <c r="Q36" s="172" t="s">
        <v>281</v>
      </c>
      <c r="S36" s="46" t="s">
        <v>242</v>
      </c>
      <c r="T36" s="149">
        <f t="shared" si="0"/>
        <v>0</v>
      </c>
      <c r="U36" s="149" t="str">
        <f>IF(T36=0,"",RANK(T36,T:T,0)+COUNTIF(T$1:T35,T36))</f>
        <v/>
      </c>
      <c r="V36" s="46">
        <v>18</v>
      </c>
      <c r="W36" s="149">
        <f t="shared" si="6"/>
        <v>0</v>
      </c>
      <c r="X36" s="149" t="str">
        <f>IF(W36=0,"",RANK(W36,W:W,0)+COUNTIF(W$1:W35,W36))</f>
        <v/>
      </c>
      <c r="Y36" s="46">
        <v>0</v>
      </c>
    </row>
    <row r="37" spans="1:25">
      <c r="A37" s="2" t="s">
        <v>796</v>
      </c>
      <c r="B37" s="175">
        <v>16</v>
      </c>
      <c r="C37" s="9" t="str" cm="1">
        <f t="array" ref="C37">IFERROR(IF(A37="","",IF(ISNUMBER(MATCH(TRUE,ISNUMBER(SEARCH($Q$2:$Q$51, $A37)),0))=TRUE,"United States of America",INDEX($S$2:$S$199,MATCH(TRUE,ISNUMBER(SEARCH($S$2:$S$199, $A37)),0)))),"United States of America")</f>
        <v>Germany</v>
      </c>
      <c r="D37" s="9" t="str" cm="1">
        <f t="array" ref="D37">IF(A37="","",IF(ISNUMBER(MATCH(TRUE,ISNUMBER(SEARCH($Q$2:$Q$51, $A37)),0))=TRUE,"",IF(ISNUMBER(MATCH(TRUE,ISNUMBER(SEARCH($S$2:$S$199, $A37)),0))=TRUE,"","미국 확인 필요")))</f>
        <v/>
      </c>
      <c r="F37" s="2" t="s">
        <v>740</v>
      </c>
      <c r="G37" s="175">
        <v>437</v>
      </c>
      <c r="H37" s="9" t="str" cm="1">
        <f t="array" ref="H37">IFERROR(IF(F37="","",IF(ISNUMBER(MATCH(TRUE,ISNUMBER(SEARCH($Q$2:$Q$51, $F37)),0))=TRUE,"United States of America",INDEX($S$2:$S$199,MATCH(TRUE,ISNUMBER(SEARCH($S$2:$S$199, $F37)),0)))),"United States of America")</f>
        <v>China</v>
      </c>
      <c r="I37" s="9" t="str" cm="1">
        <f t="array" ref="I37">IF(F37="","",IF(ISNUMBER(MATCH(TRUE,ISNUMBER(SEARCH($Q$2:$Q$51, $F37)),0))=TRUE,"",IF(ISNUMBER(MATCH(TRUE,ISNUMBER(SEARCH($S$2:$S$199, $F37)),0))=TRUE,"","미국 확인 필요")))</f>
        <v/>
      </c>
      <c r="Q37" s="172" t="s">
        <v>282</v>
      </c>
      <c r="S37" s="46" t="s">
        <v>243</v>
      </c>
      <c r="T37" s="149">
        <f t="shared" si="0"/>
        <v>0</v>
      </c>
      <c r="U37" s="149" t="str">
        <f>IF(T37=0,"",RANK(T37,T:T,0)+COUNTIF(T$1:T36,T37))</f>
        <v/>
      </c>
      <c r="V37" s="46">
        <v>0</v>
      </c>
      <c r="W37" s="149">
        <f t="shared" si="6"/>
        <v>0</v>
      </c>
      <c r="X37" s="149" t="str">
        <f>IF(W37=0,"",RANK(W37,W:W,0)+COUNTIF(W$1:W36,W37))</f>
        <v/>
      </c>
      <c r="Y37" s="46">
        <v>0</v>
      </c>
    </row>
    <row r="38" spans="1:25">
      <c r="A38" s="2" t="s">
        <v>939</v>
      </c>
      <c r="B38" s="175">
        <v>33</v>
      </c>
      <c r="C38" s="9" t="str" cm="1">
        <f t="array" ref="C38">IFERROR(IF(A38="","",IF(ISNUMBER(MATCH(TRUE,ISNUMBER(SEARCH($Q$2:$Q$51, $A38)),0))=TRUE,"United States of America",INDEX($S$2:$S$199,MATCH(TRUE,ISNUMBER(SEARCH($S$2:$S$199, $A38)),0)))),"United States of America")</f>
        <v>India</v>
      </c>
      <c r="D38" s="9" t="str" cm="1">
        <f t="array" ref="D38">IF(A38="","",IF(ISNUMBER(MATCH(TRUE,ISNUMBER(SEARCH($Q$2:$Q$51, $A38)),0))=TRUE,"",IF(ISNUMBER(MATCH(TRUE,ISNUMBER(SEARCH($S$2:$S$199, $A38)),0))=TRUE,"","미국 확인 필요")))</f>
        <v/>
      </c>
      <c r="F38" s="2" t="s">
        <v>744</v>
      </c>
      <c r="G38" s="175">
        <v>436</v>
      </c>
      <c r="H38" s="9" t="str" cm="1">
        <f t="array" ref="H38">IFERROR(IF(F38="","",IF(ISNUMBER(MATCH(TRUE,ISNUMBER(SEARCH($Q$2:$Q$51, $F38)),0))=TRUE,"United States of America",INDEX($S$2:$S$199,MATCH(TRUE,ISNUMBER(SEARCH($S$2:$S$199, $F38)),0)))),"United States of America")</f>
        <v>Korea</v>
      </c>
      <c r="I38" s="9" t="str" cm="1">
        <f t="array" ref="I38">IF(F38="","",IF(ISNUMBER(MATCH(TRUE,ISNUMBER(SEARCH($Q$2:$Q$51, $F38)),0))=TRUE,"",IF(ISNUMBER(MATCH(TRUE,ISNUMBER(SEARCH($S$2:$S$199, $F38)),0))=TRUE,"","미국 확인 필요")))</f>
        <v/>
      </c>
      <c r="Q38" s="172" t="s">
        <v>283</v>
      </c>
      <c r="S38" s="46" t="s">
        <v>244</v>
      </c>
      <c r="T38" s="149">
        <f t="shared" si="0"/>
        <v>0</v>
      </c>
      <c r="U38" s="149" t="str">
        <f>IF(T38=0,"",RANK(T38,T:T,0)+COUNTIF(T$1:T37,T38))</f>
        <v/>
      </c>
      <c r="V38" s="46">
        <v>0</v>
      </c>
      <c r="W38" s="149">
        <f t="shared" si="6"/>
        <v>316</v>
      </c>
      <c r="X38" s="149">
        <f>IF(W38=0,"",RANK(W38,W:W,0)+COUNTIF(W$1:W37,W38))</f>
        <v>24</v>
      </c>
      <c r="Y38" s="46">
        <v>315</v>
      </c>
    </row>
    <row r="39" spans="1:25">
      <c r="A39" s="2" t="s">
        <v>1083</v>
      </c>
      <c r="B39" s="175">
        <v>15</v>
      </c>
      <c r="C39" s="9" t="str" cm="1">
        <f t="array" ref="C39">IFERROR(IF(A39="","",IF(ISNUMBER(MATCH(TRUE,ISNUMBER(SEARCH($Q$2:$Q$51, $A39)),0))=TRUE,"United States of America",INDEX($S$2:$S$199,MATCH(TRUE,ISNUMBER(SEARCH($S$2:$S$199, $A39)),0)))),"United States of America")</f>
        <v>France</v>
      </c>
      <c r="D39" s="9" t="str" cm="1">
        <f t="array" ref="D39">IF(A39="","",IF(ISNUMBER(MATCH(TRUE,ISNUMBER(SEARCH($Q$2:$Q$51, $A39)),0))=TRUE,"",IF(ISNUMBER(MATCH(TRUE,ISNUMBER(SEARCH($S$2:$S$199, $A39)),0))=TRUE,"","미국 확인 필요")))</f>
        <v/>
      </c>
      <c r="F39" s="2" t="s">
        <v>743</v>
      </c>
      <c r="G39" s="175">
        <v>409</v>
      </c>
      <c r="H39" s="9" t="str" cm="1">
        <f t="array" ref="H39">IFERROR(IF(F39="","",IF(ISNUMBER(MATCH(TRUE,ISNUMBER(SEARCH($Q$2:$Q$51, $F39)),0))=TRUE,"United States of America",INDEX($S$2:$S$199,MATCH(TRUE,ISNUMBER(SEARCH($S$2:$S$199, $F39)),0)))),"United States of America")</f>
        <v>Taiwan</v>
      </c>
      <c r="I39" s="9" t="str" cm="1">
        <f t="array" ref="I39">IF(F39="","",IF(ISNUMBER(MATCH(TRUE,ISNUMBER(SEARCH($Q$2:$Q$51, $F39)),0))=TRUE,"",IF(ISNUMBER(MATCH(TRUE,ISNUMBER(SEARCH($S$2:$S$199, $F39)),0))=TRUE,"","미국 확인 필요")))</f>
        <v/>
      </c>
      <c r="Q39" s="172" t="s">
        <v>284</v>
      </c>
      <c r="S39" s="46" t="s">
        <v>245</v>
      </c>
      <c r="T39" s="149">
        <f t="shared" si="0"/>
        <v>0</v>
      </c>
      <c r="U39" s="149" t="str">
        <f>IF(T39=0,"",RANK(T39,T:T,0)+COUNTIF(T$1:T38,T39))</f>
        <v/>
      </c>
      <c r="V39" s="46">
        <v>0</v>
      </c>
      <c r="W39" s="149">
        <f t="shared" si="6"/>
        <v>0</v>
      </c>
      <c r="X39" s="149" t="str">
        <f>IF(W39=0,"",RANK(W39,W:W,0)+COUNTIF(W$1:W38,W39))</f>
        <v/>
      </c>
      <c r="Y39" s="46">
        <v>0</v>
      </c>
    </row>
    <row r="40" spans="1:25">
      <c r="A40" s="2" t="s">
        <v>772</v>
      </c>
      <c r="B40" s="175">
        <v>31</v>
      </c>
      <c r="C40" s="9" t="str" cm="1">
        <f t="array" ref="C40">IFERROR(IF(A40="","",IF(ISNUMBER(MATCH(TRUE,ISNUMBER(SEARCH($Q$2:$Q$51, $A40)),0))=TRUE,"United States of America",INDEX($S$2:$S$199,MATCH(TRUE,ISNUMBER(SEARCH($S$2:$S$199, $A40)),0)))),"United States of America")</f>
        <v>Canada</v>
      </c>
      <c r="D40" s="9" t="str" cm="1">
        <f t="array" ref="D40">IF(A40="","",IF(ISNUMBER(MATCH(TRUE,ISNUMBER(SEARCH($Q$2:$Q$51, $A40)),0))=TRUE,"",IF(ISNUMBER(MATCH(TRUE,ISNUMBER(SEARCH($S$2:$S$199, $A40)),0))=TRUE,"","미국 확인 필요")))</f>
        <v/>
      </c>
      <c r="F40" s="2" t="s">
        <v>748</v>
      </c>
      <c r="G40" s="175">
        <v>409</v>
      </c>
      <c r="H40" s="9" t="str" cm="1">
        <f t="array" ref="H40">IFERROR(IF(F40="","",IF(ISNUMBER(MATCH(TRUE,ISNUMBER(SEARCH($Q$2:$Q$51, $F40)),0))=TRUE,"United States of America",INDEX($S$2:$S$199,MATCH(TRUE,ISNUMBER(SEARCH($S$2:$S$199, $F40)),0)))),"United States of America")</f>
        <v>United States of America</v>
      </c>
      <c r="I40" s="9" t="str" cm="1">
        <f t="array" ref="I40">IF(F40="","",IF(ISNUMBER(MATCH(TRUE,ISNUMBER(SEARCH($Q$2:$Q$51, $F40)),0))=TRUE,"",IF(ISNUMBER(MATCH(TRUE,ISNUMBER(SEARCH($S$2:$S$199, $F40)),0))=TRUE,"","미국 확인 필요")))</f>
        <v>미국 확인 필요</v>
      </c>
      <c r="Q40" s="172" t="s">
        <v>285</v>
      </c>
      <c r="S40" s="46" t="s">
        <v>246</v>
      </c>
      <c r="T40" s="149">
        <f t="shared" si="0"/>
        <v>0</v>
      </c>
      <c r="U40" s="149" t="str">
        <f>IF(T40=0,"",RANK(T40,T:T,0)+COUNTIF(T$1:T39,T40))</f>
        <v/>
      </c>
      <c r="V40" s="46">
        <v>0</v>
      </c>
      <c r="W40" s="149">
        <f t="shared" si="6"/>
        <v>328</v>
      </c>
      <c r="X40" s="149">
        <f>IF(W40=0,"",RANK(W40,W:W,0)+COUNTIF(W$1:W39,W40))</f>
        <v>23</v>
      </c>
      <c r="Y40" s="46">
        <v>325</v>
      </c>
    </row>
    <row r="41" spans="1:25">
      <c r="A41" s="2" t="s">
        <v>725</v>
      </c>
      <c r="B41" s="175">
        <v>110</v>
      </c>
      <c r="C41" s="9" t="str" cm="1">
        <f t="array" ref="C41">IFERROR(IF(A41="","",IF(ISNUMBER(MATCH(TRUE,ISNUMBER(SEARCH($Q$2:$Q$51, $A41)),0))=TRUE,"United States of America",INDEX($S$2:$S$199,MATCH(TRUE,ISNUMBER(SEARCH($S$2:$S$199, $A41)),0)))),"United States of America")</f>
        <v>United States of America</v>
      </c>
      <c r="D41" s="9" t="str" cm="1">
        <f t="array" ref="D41">IF(A41="","",IF(ISNUMBER(MATCH(TRUE,ISNUMBER(SEARCH($Q$2:$Q$51, $A41)),0))=TRUE,"",IF(ISNUMBER(MATCH(TRUE,ISNUMBER(SEARCH($S$2:$S$199, $A41)),0))=TRUE,"","미국 확인 필요")))</f>
        <v/>
      </c>
      <c r="F41" s="2" t="s">
        <v>745</v>
      </c>
      <c r="G41" s="175">
        <v>400</v>
      </c>
      <c r="H41" s="9" t="str" cm="1">
        <f t="array" ref="H41">IFERROR(IF(F41="","",IF(ISNUMBER(MATCH(TRUE,ISNUMBER(SEARCH($Q$2:$Q$51, $F41)),0))=TRUE,"United States of America",INDEX($S$2:$S$199,MATCH(TRUE,ISNUMBER(SEARCH($S$2:$S$199, $F41)),0)))),"United States of America")</f>
        <v>United States of America</v>
      </c>
      <c r="I41" s="9" t="str" cm="1">
        <f t="array" ref="I41">IF(F41="","",IF(ISNUMBER(MATCH(TRUE,ISNUMBER(SEARCH($Q$2:$Q$51, $F41)),0))=TRUE,"",IF(ISNUMBER(MATCH(TRUE,ISNUMBER(SEARCH($S$2:$S$199, $F41)),0))=TRUE,"","미국 확인 필요")))</f>
        <v>미국 확인 필요</v>
      </c>
      <c r="Q41" s="172" t="s">
        <v>286</v>
      </c>
      <c r="S41" s="46" t="s">
        <v>247</v>
      </c>
      <c r="T41" s="149">
        <f t="shared" si="0"/>
        <v>0</v>
      </c>
      <c r="U41" s="149" t="str">
        <f>IF(T41=0,"",RANK(T41,T:T,0)+COUNTIF(T$1:T40,T41))</f>
        <v/>
      </c>
      <c r="V41" s="46">
        <v>0</v>
      </c>
      <c r="W41" s="149">
        <f t="shared" si="6"/>
        <v>0</v>
      </c>
      <c r="X41" s="149" t="str">
        <f>IF(W41=0,"",RANK(W41,W:W,0)+COUNTIF(W$1:W40,W41))</f>
        <v/>
      </c>
      <c r="Y41" s="46">
        <v>0</v>
      </c>
    </row>
    <row r="42" spans="1:25">
      <c r="A42" s="2" t="s">
        <v>983</v>
      </c>
      <c r="B42" s="175">
        <v>20</v>
      </c>
      <c r="C42" s="9" t="str" cm="1">
        <f t="array" ref="C42">IFERROR(IF(A42="","",IF(ISNUMBER(MATCH(TRUE,ISNUMBER(SEARCH($Q$2:$Q$51, $A42)),0))=TRUE,"United States of America",INDEX($S$2:$S$199,MATCH(TRUE,ISNUMBER(SEARCH($S$2:$S$199, $A42)),0)))),"United States of America")</f>
        <v>United States of America</v>
      </c>
      <c r="D42" s="9" t="str" cm="1">
        <f t="array" ref="D42">IF(A42="","",IF(ISNUMBER(MATCH(TRUE,ISNUMBER(SEARCH($Q$2:$Q$51, $A42)),0))=TRUE,"",IF(ISNUMBER(MATCH(TRUE,ISNUMBER(SEARCH($S$2:$S$199, $A42)),0))=TRUE,"","미국 확인 필요")))</f>
        <v/>
      </c>
      <c r="F42" s="2" t="s">
        <v>746</v>
      </c>
      <c r="G42" s="175">
        <v>371</v>
      </c>
      <c r="H42" s="9" t="str" cm="1">
        <f t="array" ref="H42">IFERROR(IF(F42="","",IF(ISNUMBER(MATCH(TRUE,ISNUMBER(SEARCH($Q$2:$Q$51, $F42)),0))=TRUE,"United States of America",INDEX($S$2:$S$199,MATCH(TRUE,ISNUMBER(SEARCH($S$2:$S$199, $F42)),0)))),"United States of America")</f>
        <v>Netherlands</v>
      </c>
      <c r="I42" s="9" t="str" cm="1">
        <f t="array" ref="I42">IF(F42="","",IF(ISNUMBER(MATCH(TRUE,ISNUMBER(SEARCH($Q$2:$Q$51, $F42)),0))=TRUE,"",IF(ISNUMBER(MATCH(TRUE,ISNUMBER(SEARCH($S$2:$S$199, $F42)),0))=TRUE,"","미국 확인 필요")))</f>
        <v/>
      </c>
      <c r="Q42" s="172" t="s">
        <v>287</v>
      </c>
      <c r="S42" s="46" t="s">
        <v>297</v>
      </c>
      <c r="T42" s="149">
        <f t="shared" si="0"/>
        <v>0</v>
      </c>
      <c r="U42" s="149" t="str">
        <f>IF(T42=0,"",RANK(T42,T:T,0)+COUNTIF(T$1:T41,T42))</f>
        <v/>
      </c>
      <c r="V42" s="46">
        <v>0</v>
      </c>
      <c r="W42" s="149">
        <f t="shared" si="6"/>
        <v>0</v>
      </c>
      <c r="X42" s="149" t="str">
        <f>IF(W42=0,"",RANK(W42,W:W,0)+COUNTIF(W$1:W41,W42))</f>
        <v/>
      </c>
      <c r="Y42" s="46">
        <v>0</v>
      </c>
    </row>
    <row r="43" spans="1:25">
      <c r="A43" s="2" t="s">
        <v>739</v>
      </c>
      <c r="B43" s="175">
        <v>101</v>
      </c>
      <c r="C43" s="9" t="str" cm="1">
        <f t="array" ref="C43">IFERROR(IF(A43="","",IF(ISNUMBER(MATCH(TRUE,ISNUMBER(SEARCH($Q$2:$Q$51, $A43)),0))=TRUE,"United States of America",INDEX($S$2:$S$199,MATCH(TRUE,ISNUMBER(SEARCH($S$2:$S$199, $A43)),0)))),"United States of America")</f>
        <v>United States of America</v>
      </c>
      <c r="D43" s="9" t="str" cm="1">
        <f t="array" ref="D43">IF(A43="","",IF(ISNUMBER(MATCH(TRUE,ISNUMBER(SEARCH($Q$2:$Q$51, $A43)),0))=TRUE,"",IF(ISNUMBER(MATCH(TRUE,ISNUMBER(SEARCH($S$2:$S$199, $A43)),0))=TRUE,"","미국 확인 필요")))</f>
        <v>미국 확인 필요</v>
      </c>
      <c r="F43" s="2" t="s">
        <v>747</v>
      </c>
      <c r="G43" s="175">
        <v>370</v>
      </c>
      <c r="H43" s="9" t="str" cm="1">
        <f t="array" ref="H43">IFERROR(IF(F43="","",IF(ISNUMBER(MATCH(TRUE,ISNUMBER(SEARCH($Q$2:$Q$51, $F43)),0))=TRUE,"United States of America",INDEX($S$2:$S$199,MATCH(TRUE,ISNUMBER(SEARCH($S$2:$S$199, $F43)),0)))),"United States of America")</f>
        <v>United States of America</v>
      </c>
      <c r="I43" s="9" t="str" cm="1">
        <f t="array" ref="I43">IF(F43="","",IF(ISNUMBER(MATCH(TRUE,ISNUMBER(SEARCH($Q$2:$Q$51, $F43)),0))=TRUE,"",IF(ISNUMBER(MATCH(TRUE,ISNUMBER(SEARCH($S$2:$S$199, $F43)),0))=TRUE,"","미국 확인 필요")))</f>
        <v>미국 확인 필요</v>
      </c>
      <c r="Q43" s="172" t="s">
        <v>288</v>
      </c>
      <c r="S43" s="46" t="s">
        <v>300</v>
      </c>
      <c r="T43" s="149">
        <f t="shared" si="0"/>
        <v>0</v>
      </c>
      <c r="U43" s="149" t="str">
        <f>IF(T43=0,"",RANK(T43,T:T,0)+COUNTIF(T$1:T42,T43))</f>
        <v/>
      </c>
      <c r="V43" s="46">
        <v>0</v>
      </c>
      <c r="W43" s="149">
        <f t="shared" si="6"/>
        <v>510</v>
      </c>
      <c r="X43" s="149">
        <f>IF(W43=0,"",RANK(W43,W:W,0)+COUNTIF(W$1:W42,W43))</f>
        <v>17</v>
      </c>
      <c r="Y43" s="46">
        <v>507</v>
      </c>
    </row>
    <row r="44" spans="1:25">
      <c r="A44" s="2" t="s">
        <v>791</v>
      </c>
      <c r="B44" s="175">
        <v>71</v>
      </c>
      <c r="C44" s="9" t="str" cm="1">
        <f t="array" ref="C44">IFERROR(IF(A44="","",IF(ISNUMBER(MATCH(TRUE,ISNUMBER(SEARCH($Q$2:$Q$51, $A44)),0))=TRUE,"United States of America",INDEX($S$2:$S$199,MATCH(TRUE,ISNUMBER(SEARCH($S$2:$S$199, $A44)),0)))),"United States of America")</f>
        <v>Germany</v>
      </c>
      <c r="D44" s="9" t="str" cm="1">
        <f t="array" ref="D44">IF(A44="","",IF(ISNUMBER(MATCH(TRUE,ISNUMBER(SEARCH($Q$2:$Q$51, $A44)),0))=TRUE,"",IF(ISNUMBER(MATCH(TRUE,ISNUMBER(SEARCH($S$2:$S$199, $A44)),0))=TRUE,"","미국 확인 필요")))</f>
        <v/>
      </c>
      <c r="F44" s="2" t="s">
        <v>758</v>
      </c>
      <c r="G44" s="175">
        <v>361</v>
      </c>
      <c r="H44" s="9" t="str" cm="1">
        <f t="array" ref="H44">IFERROR(IF(F44="","",IF(ISNUMBER(MATCH(TRUE,ISNUMBER(SEARCH($Q$2:$Q$51, $F44)),0))=TRUE,"United States of America",INDEX($S$2:$S$199,MATCH(TRUE,ISNUMBER(SEARCH($S$2:$S$199, $F44)),0)))),"United States of America")</f>
        <v>Mexico</v>
      </c>
      <c r="I44" s="9" t="str" cm="1">
        <f t="array" ref="I44">IF(F44="","",IF(ISNUMBER(MATCH(TRUE,ISNUMBER(SEARCH($Q$2:$Q$51, $F44)),0))=TRUE,"",IF(ISNUMBER(MATCH(TRUE,ISNUMBER(SEARCH($S$2:$S$199, $F44)),0))=TRUE,"","미국 확인 필요")))</f>
        <v/>
      </c>
      <c r="Q44" s="172" t="s">
        <v>289</v>
      </c>
      <c r="S44" s="46" t="s">
        <v>301</v>
      </c>
      <c r="T44" s="149">
        <f t="shared" si="0"/>
        <v>190</v>
      </c>
      <c r="U44" s="149">
        <f>IF(T44=0,"",RANK(T44,T:T,0)+COUNTIF(T$1:T43,T44))</f>
        <v>7</v>
      </c>
      <c r="V44" s="46">
        <v>220</v>
      </c>
      <c r="W44" s="149">
        <f t="shared" si="6"/>
        <v>568</v>
      </c>
      <c r="X44" s="149">
        <f>IF(W44=0,"",RANK(W44,W:W,0)+COUNTIF(W$1:W43,W44))</f>
        <v>13</v>
      </c>
      <c r="Y44" s="46">
        <v>395</v>
      </c>
    </row>
    <row r="45" spans="1:25">
      <c r="A45" s="2" t="s">
        <v>984</v>
      </c>
      <c r="B45" s="175">
        <v>32</v>
      </c>
      <c r="C45" s="9" t="str" cm="1">
        <f t="array" ref="C45">IFERROR(IF(A45="","",IF(ISNUMBER(MATCH(TRUE,ISNUMBER(SEARCH($Q$2:$Q$51, $A45)),0))=TRUE,"United States of America",INDEX($S$2:$S$199,MATCH(TRUE,ISNUMBER(SEARCH($S$2:$S$199, $A45)),0)))),"United States of America")</f>
        <v>United States of America</v>
      </c>
      <c r="D45" s="9" t="str" cm="1">
        <f t="array" ref="D45">IF(A45="","",IF(ISNUMBER(MATCH(TRUE,ISNUMBER(SEARCH($Q$2:$Q$51, $A45)),0))=TRUE,"",IF(ISNUMBER(MATCH(TRUE,ISNUMBER(SEARCH($S$2:$S$199, $A45)),0))=TRUE,"","미국 확인 필요")))</f>
        <v/>
      </c>
      <c r="F45" s="2" t="s">
        <v>750</v>
      </c>
      <c r="G45" s="175">
        <v>359</v>
      </c>
      <c r="H45" s="9" t="str" cm="1">
        <f t="array" ref="H45">IFERROR(IF(F45="","",IF(ISNUMBER(MATCH(TRUE,ISNUMBER(SEARCH($Q$2:$Q$51, $F45)),0))=TRUE,"United States of America",INDEX($S$2:$S$199,MATCH(TRUE,ISNUMBER(SEARCH($S$2:$S$199, $F45)),0)))),"United States of America")</f>
        <v>Germany</v>
      </c>
      <c r="I45" s="9" t="str" cm="1">
        <f t="array" ref="I45">IF(F45="","",IF(ISNUMBER(MATCH(TRUE,ISNUMBER(SEARCH($Q$2:$Q$51, $F45)),0))=TRUE,"",IF(ISNUMBER(MATCH(TRUE,ISNUMBER(SEARCH($S$2:$S$199, $F45)),0))=TRUE,"","미국 확인 필요")))</f>
        <v/>
      </c>
      <c r="Q45" s="172" t="s">
        <v>290</v>
      </c>
      <c r="S45" s="46" t="s">
        <v>302</v>
      </c>
      <c r="T45" s="149">
        <f t="shared" si="0"/>
        <v>0</v>
      </c>
      <c r="U45" s="149" t="str">
        <f>IF(T45=0,"",RANK(T45,T:T,0)+COUNTIF(T$1:T44,T45))</f>
        <v/>
      </c>
      <c r="V45" s="46">
        <v>0</v>
      </c>
      <c r="W45" s="149">
        <f t="shared" si="6"/>
        <v>217</v>
      </c>
      <c r="X45" s="149">
        <f>IF(W45=0,"",RANK(W45,W:W,0)+COUNTIF(W$1:W44,W45))</f>
        <v>27</v>
      </c>
      <c r="Y45" s="46">
        <v>215</v>
      </c>
    </row>
    <row r="46" spans="1:25">
      <c r="A46" s="2" t="s">
        <v>751</v>
      </c>
      <c r="B46" s="175">
        <v>34</v>
      </c>
      <c r="C46" s="9" t="str" cm="1">
        <f t="array" ref="C46">IFERROR(IF(A46="","",IF(ISNUMBER(MATCH(TRUE,ISNUMBER(SEARCH($Q$2:$Q$51, $A46)),0))=TRUE,"United States of America",INDEX($S$2:$S$199,MATCH(TRUE,ISNUMBER(SEARCH($S$2:$S$199, $A46)),0)))),"United States of America")</f>
        <v>Canada</v>
      </c>
      <c r="D46" s="9" t="str" cm="1">
        <f t="array" ref="D46">IF(A46="","",IF(ISNUMBER(MATCH(TRUE,ISNUMBER(SEARCH($Q$2:$Q$51, $A46)),0))=TRUE,"",IF(ISNUMBER(MATCH(TRUE,ISNUMBER(SEARCH($S$2:$S$199, $A46)),0))=TRUE,"","미국 확인 필요")))</f>
        <v/>
      </c>
      <c r="F46" s="2" t="s">
        <v>749</v>
      </c>
      <c r="G46" s="175">
        <v>357</v>
      </c>
      <c r="H46" s="9" t="str" cm="1">
        <f t="array" ref="H46">IFERROR(IF(F46="","",IF(ISNUMBER(MATCH(TRUE,ISNUMBER(SEARCH($Q$2:$Q$51, $F46)),0))=TRUE,"United States of America",INDEX($S$2:$S$199,MATCH(TRUE,ISNUMBER(SEARCH($S$2:$S$199, $F46)),0)))),"United States of America")</f>
        <v>Netherlands</v>
      </c>
      <c r="I46" s="9" t="str" cm="1">
        <f t="array" ref="I46">IF(F46="","",IF(ISNUMBER(MATCH(TRUE,ISNUMBER(SEARCH($Q$2:$Q$51, $F46)),0))=TRUE,"",IF(ISNUMBER(MATCH(TRUE,ISNUMBER(SEARCH($S$2:$S$199, $F46)),0))=TRUE,"","미국 확인 필요")))</f>
        <v/>
      </c>
      <c r="Q46" s="172" t="s">
        <v>291</v>
      </c>
      <c r="S46" s="46" t="s">
        <v>303</v>
      </c>
      <c r="T46" s="149">
        <f t="shared" si="0"/>
        <v>0</v>
      </c>
      <c r="U46" s="149" t="str">
        <f>IF(T46=0,"",RANK(T46,T:T,0)+COUNTIF(T$1:T45,T46))</f>
        <v/>
      </c>
      <c r="V46" s="46">
        <v>0</v>
      </c>
      <c r="W46" s="149">
        <f t="shared" si="6"/>
        <v>183</v>
      </c>
      <c r="X46" s="149">
        <f>IF(W46=0,"",RANK(W46,W:W,0)+COUNTIF(W$1:W45,W46))</f>
        <v>29</v>
      </c>
      <c r="Y46" s="46">
        <v>183</v>
      </c>
    </row>
    <row r="47" spans="1:25">
      <c r="A47" s="2" t="s">
        <v>1084</v>
      </c>
      <c r="B47" s="175">
        <v>20</v>
      </c>
      <c r="C47" s="9" t="str" cm="1">
        <f t="array" ref="C47">IFERROR(IF(A47="","",IF(ISNUMBER(MATCH(TRUE,ISNUMBER(SEARCH($Q$2:$Q$51, $A47)),0))=TRUE,"United States of America",INDEX($S$2:$S$199,MATCH(TRUE,ISNUMBER(SEARCH($S$2:$S$199, $A47)),0)))),"United States of America")</f>
        <v>India</v>
      </c>
      <c r="D47" s="9" t="str" cm="1">
        <f t="array" ref="D47">IF(A47="","",IF(ISNUMBER(MATCH(TRUE,ISNUMBER(SEARCH($Q$2:$Q$51, $A47)),0))=TRUE,"",IF(ISNUMBER(MATCH(TRUE,ISNUMBER(SEARCH($S$2:$S$199, $A47)),0))=TRUE,"","미국 확인 필요")))</f>
        <v/>
      </c>
      <c r="F47" s="2" t="s">
        <v>757</v>
      </c>
      <c r="G47" s="175">
        <v>356</v>
      </c>
      <c r="H47" s="9" t="str" cm="1">
        <f t="array" ref="H47">IFERROR(IF(F47="","",IF(ISNUMBER(MATCH(TRUE,ISNUMBER(SEARCH($Q$2:$Q$51, $F47)),0))=TRUE,"United States of America",INDEX($S$2:$S$199,MATCH(TRUE,ISNUMBER(SEARCH($S$2:$S$199, $F47)),0)))),"United States of America")</f>
        <v>United States of America</v>
      </c>
      <c r="I47" s="9" t="str" cm="1">
        <f t="array" ref="I47">IF(F47="","",IF(ISNUMBER(MATCH(TRUE,ISNUMBER(SEARCH($Q$2:$Q$51, $F47)),0))=TRUE,"",IF(ISNUMBER(MATCH(TRUE,ISNUMBER(SEARCH($S$2:$S$199, $F47)),0))=TRUE,"","미국 확인 필요")))</f>
        <v>미국 확인 필요</v>
      </c>
      <c r="Q47" s="172" t="s">
        <v>292</v>
      </c>
      <c r="S47" s="46" t="s">
        <v>304</v>
      </c>
      <c r="T47" s="149">
        <f t="shared" si="0"/>
        <v>16</v>
      </c>
      <c r="U47" s="149">
        <f>IF(T47=0,"",RANK(T47,T:T,0)+COUNTIF(T$1:T46,T47))</f>
        <v>24</v>
      </c>
      <c r="V47" s="46">
        <v>89</v>
      </c>
      <c r="W47" s="149">
        <f t="shared" si="6"/>
        <v>357</v>
      </c>
      <c r="X47" s="149">
        <f>IF(W47=0,"",RANK(W47,W:W,0)+COUNTIF(W$1:W46,W47))</f>
        <v>21</v>
      </c>
      <c r="Y47" s="46">
        <v>329</v>
      </c>
    </row>
    <row r="48" spans="1:25">
      <c r="A48" s="2" t="s">
        <v>748</v>
      </c>
      <c r="B48" s="175">
        <v>93</v>
      </c>
      <c r="C48" s="9" t="str" cm="1">
        <f t="array" ref="C48">IFERROR(IF(A48="","",IF(ISNUMBER(MATCH(TRUE,ISNUMBER(SEARCH($Q$2:$Q$51, $A48)),0))=TRUE,"United States of America",INDEX($S$2:$S$199,MATCH(TRUE,ISNUMBER(SEARCH($S$2:$S$199, $A48)),0)))),"United States of America")</f>
        <v>United States of America</v>
      </c>
      <c r="D48" s="9" t="str" cm="1">
        <f t="array" ref="D48">IF(A48="","",IF(ISNUMBER(MATCH(TRUE,ISNUMBER(SEARCH($Q$2:$Q$51, $A48)),0))=TRUE,"",IF(ISNUMBER(MATCH(TRUE,ISNUMBER(SEARCH($S$2:$S$199, $A48)),0))=TRUE,"","미국 확인 필요")))</f>
        <v>미국 확인 필요</v>
      </c>
      <c r="F48" s="2" t="s">
        <v>765</v>
      </c>
      <c r="G48" s="175">
        <v>350</v>
      </c>
      <c r="H48" s="9" t="str" cm="1">
        <f t="array" ref="H48">IFERROR(IF(F48="","",IF(ISNUMBER(MATCH(TRUE,ISNUMBER(SEARCH($Q$2:$Q$51, $F48)),0))=TRUE,"United States of America",INDEX($S$2:$S$199,MATCH(TRUE,ISNUMBER(SEARCH($S$2:$S$199, $F48)),0)))),"United States of America")</f>
        <v>India</v>
      </c>
      <c r="I48" s="9" t="str" cm="1">
        <f t="array" ref="I48">IF(F48="","",IF(ISNUMBER(MATCH(TRUE,ISNUMBER(SEARCH($Q$2:$Q$51, $F48)),0))=TRUE,"",IF(ISNUMBER(MATCH(TRUE,ISNUMBER(SEARCH($S$2:$S$199, $F48)),0))=TRUE,"","미국 확인 필요")))</f>
        <v/>
      </c>
      <c r="Q48" s="172" t="s">
        <v>293</v>
      </c>
      <c r="S48" s="46" t="s">
        <v>305</v>
      </c>
      <c r="T48" s="149">
        <f t="shared" si="0"/>
        <v>57</v>
      </c>
      <c r="U48" s="149">
        <f>IF(T48=0,"",RANK(T48,T:T,0)+COUNTIF(T$1:T47,T48))</f>
        <v>15</v>
      </c>
      <c r="V48" s="46">
        <v>55</v>
      </c>
      <c r="W48" s="149">
        <f t="shared" si="6"/>
        <v>239</v>
      </c>
      <c r="X48" s="149">
        <f>IF(W48=0,"",RANK(W48,W:W,0)+COUNTIF(W$1:W47,W48))</f>
        <v>25</v>
      </c>
      <c r="Y48" s="46">
        <v>171</v>
      </c>
    </row>
    <row r="49" spans="1:25">
      <c r="A49" s="2" t="s">
        <v>784</v>
      </c>
      <c r="B49" s="175">
        <v>31</v>
      </c>
      <c r="C49" s="9" t="str" cm="1">
        <f t="array" ref="C49">IFERROR(IF(A49="","",IF(ISNUMBER(MATCH(TRUE,ISNUMBER(SEARCH($Q$2:$Q$51, $A49)),0))=TRUE,"United States of America",INDEX($S$2:$S$199,MATCH(TRUE,ISNUMBER(SEARCH($S$2:$S$199, $A49)),0)))),"United States of America")</f>
        <v>United States of America</v>
      </c>
      <c r="D49" s="9" t="str" cm="1">
        <f t="array" ref="D49">IF(A49="","",IF(ISNUMBER(MATCH(TRUE,ISNUMBER(SEARCH($Q$2:$Q$51, $A49)),0))=TRUE,"",IF(ISNUMBER(MATCH(TRUE,ISNUMBER(SEARCH($S$2:$S$199, $A49)),0))=TRUE,"","미국 확인 필요")))</f>
        <v>미국 확인 필요</v>
      </c>
      <c r="F49" s="2" t="s">
        <v>762</v>
      </c>
      <c r="G49" s="175">
        <v>337</v>
      </c>
      <c r="H49" s="9" t="str" cm="1">
        <f t="array" ref="H49">IFERROR(IF(F49="","",IF(ISNUMBER(MATCH(TRUE,ISNUMBER(SEARCH($Q$2:$Q$51, $F49)),0))=TRUE,"United States of America",INDEX($S$2:$S$199,MATCH(TRUE,ISNUMBER(SEARCH($S$2:$S$199, $F49)),0)))),"United States of America")</f>
        <v>Indonesia</v>
      </c>
      <c r="I49" s="9" t="str" cm="1">
        <f t="array" ref="I49">IF(F49="","",IF(ISNUMBER(MATCH(TRUE,ISNUMBER(SEARCH($Q$2:$Q$51, $F49)),0))=TRUE,"",IF(ISNUMBER(MATCH(TRUE,ISNUMBER(SEARCH($S$2:$S$199, $F49)),0))=TRUE,"","미국 확인 필요")))</f>
        <v/>
      </c>
      <c r="Q49" s="172" t="s">
        <v>294</v>
      </c>
      <c r="S49" s="46" t="s">
        <v>306</v>
      </c>
      <c r="T49" s="149">
        <f t="shared" si="0"/>
        <v>0</v>
      </c>
      <c r="U49" s="149" t="str">
        <f>IF(T49=0,"",RANK(T49,T:T,0)+COUNTIF(T$1:T48,T49))</f>
        <v/>
      </c>
      <c r="V49" s="46">
        <v>0</v>
      </c>
      <c r="W49" s="149">
        <f t="shared" si="6"/>
        <v>0</v>
      </c>
      <c r="X49" s="149" t="str">
        <f>IF(W49=0,"",RANK(W49,W:W,0)+COUNTIF(W$1:W48,W49))</f>
        <v/>
      </c>
      <c r="Y49" s="46">
        <v>130</v>
      </c>
    </row>
    <row r="50" spans="1:25">
      <c r="A50" s="2" t="s">
        <v>1085</v>
      </c>
      <c r="B50" s="175">
        <v>15</v>
      </c>
      <c r="C50" s="9" t="str" cm="1">
        <f t="array" ref="C50">IFERROR(IF(A50="","",IF(ISNUMBER(MATCH(TRUE,ISNUMBER(SEARCH($Q$2:$Q$51, $A50)),0))=TRUE,"United States of America",INDEX($S$2:$S$199,MATCH(TRUE,ISNUMBER(SEARCH($S$2:$S$199, $A50)),0)))),"United States of America")</f>
        <v>India</v>
      </c>
      <c r="D50" s="9" t="str" cm="1">
        <f t="array" ref="D50">IF(A50="","",IF(ISNUMBER(MATCH(TRUE,ISNUMBER(SEARCH($Q$2:$Q$51, $A50)),0))=TRUE,"",IF(ISNUMBER(MATCH(TRUE,ISNUMBER(SEARCH($S$2:$S$199, $A50)),0))=TRUE,"","미국 확인 필요")))</f>
        <v/>
      </c>
      <c r="F50" s="2" t="s">
        <v>754</v>
      </c>
      <c r="G50" s="175">
        <v>336</v>
      </c>
      <c r="H50" s="9" t="str" cm="1">
        <f t="array" ref="H50">IFERROR(IF(F50="","",IF(ISNUMBER(MATCH(TRUE,ISNUMBER(SEARCH($Q$2:$Q$51, $F50)),0))=TRUE,"United States of America",INDEX($S$2:$S$199,MATCH(TRUE,ISNUMBER(SEARCH($S$2:$S$199, $F50)),0)))),"United States of America")</f>
        <v>Korea</v>
      </c>
      <c r="I50" s="9" t="str" cm="1">
        <f t="array" ref="I50">IF(F50="","",IF(ISNUMBER(MATCH(TRUE,ISNUMBER(SEARCH($Q$2:$Q$51, $F50)),0))=TRUE,"",IF(ISNUMBER(MATCH(TRUE,ISNUMBER(SEARCH($S$2:$S$199, $F50)),0))=TRUE,"","미국 확인 필요")))</f>
        <v/>
      </c>
      <c r="Q50" s="172" t="s">
        <v>295</v>
      </c>
      <c r="S50" s="46" t="s">
        <v>307</v>
      </c>
      <c r="T50" s="149">
        <f t="shared" si="0"/>
        <v>0</v>
      </c>
      <c r="U50" s="149" t="str">
        <f>IF(T50=0,"",RANK(T50,T:T,0)+COUNTIF(T$1:T49,T50))</f>
        <v/>
      </c>
      <c r="V50" s="46">
        <v>0</v>
      </c>
      <c r="W50" s="149">
        <f t="shared" si="6"/>
        <v>0</v>
      </c>
      <c r="X50" s="149" t="str">
        <f>IF(W50=0,"",RANK(W50,W:W,0)+COUNTIF(W$1:W49,W50))</f>
        <v/>
      </c>
      <c r="Y50" s="46">
        <v>0</v>
      </c>
    </row>
    <row r="51" spans="1:25" ht="17.25" thickBot="1">
      <c r="A51" s="2" t="s">
        <v>760</v>
      </c>
      <c r="B51" s="175">
        <v>26</v>
      </c>
      <c r="C51" s="9" t="str" cm="1">
        <f t="array" ref="C51">IFERROR(IF(A51="","",IF(ISNUMBER(MATCH(TRUE,ISNUMBER(SEARCH($Q$2:$Q$51, $A51)),0))=TRUE,"United States of America",INDEX($S$2:$S$199,MATCH(TRUE,ISNUMBER(SEARCH($S$2:$S$199, $A51)),0)))),"United States of America")</f>
        <v>United States of America</v>
      </c>
      <c r="D51" s="9" t="str" cm="1">
        <f t="array" ref="D51">IF(A51="","",IF(ISNUMBER(MATCH(TRUE,ISNUMBER(SEARCH($Q$2:$Q$51, $A51)),0))=TRUE,"",IF(ISNUMBER(MATCH(TRUE,ISNUMBER(SEARCH($S$2:$S$199, $A51)),0))=TRUE,"","미국 확인 필요")))</f>
        <v>미국 확인 필요</v>
      </c>
      <c r="F51" s="2" t="s">
        <v>752</v>
      </c>
      <c r="G51" s="175">
        <v>328</v>
      </c>
      <c r="H51" s="9" t="str" cm="1">
        <f t="array" ref="H51">IFERROR(IF(F51="","",IF(ISNUMBER(MATCH(TRUE,ISNUMBER(SEARCH($Q$2:$Q$51, $F51)),0))=TRUE,"United States of America",INDEX($S$2:$S$199,MATCH(TRUE,ISNUMBER(SEARCH($S$2:$S$199, $F51)),0)))),"United States of America")</f>
        <v>Ireland</v>
      </c>
      <c r="I51" s="9" t="str" cm="1">
        <f t="array" ref="I51">IF(F51="","",IF(ISNUMBER(MATCH(TRUE,ISNUMBER(SEARCH($Q$2:$Q$51, $F51)),0))=TRUE,"",IF(ISNUMBER(MATCH(TRUE,ISNUMBER(SEARCH($S$2:$S$199, $F51)),0))=TRUE,"","미국 확인 필요")))</f>
        <v/>
      </c>
      <c r="Q51" s="173" t="s">
        <v>296</v>
      </c>
      <c r="S51" s="46" t="s">
        <v>308</v>
      </c>
      <c r="T51" s="149">
        <f t="shared" si="0"/>
        <v>0</v>
      </c>
      <c r="U51" s="149" t="str">
        <f>IF(T51=0,"",RANK(T51,T:T,0)+COUNTIF(T$1:T50,T51))</f>
        <v/>
      </c>
      <c r="V51" s="46">
        <v>0</v>
      </c>
      <c r="W51" s="149">
        <f t="shared" si="6"/>
        <v>0</v>
      </c>
      <c r="X51" s="149" t="str">
        <f>IF(W51=0,"",RANK(W51,W:W,0)+COUNTIF(W$1:W50,W51))</f>
        <v/>
      </c>
      <c r="Y51" s="46">
        <v>0</v>
      </c>
    </row>
    <row r="52" spans="1:25">
      <c r="A52" s="2" t="s">
        <v>810</v>
      </c>
      <c r="B52" s="175">
        <v>32</v>
      </c>
      <c r="C52" s="9" t="str" cm="1">
        <f t="array" ref="C52">IFERROR(IF(A52="","",IF(ISNUMBER(MATCH(TRUE,ISNUMBER(SEARCH($Q$2:$Q$51, $A52)),0))=TRUE,"United States of America",INDEX($S$2:$S$199,MATCH(TRUE,ISNUMBER(SEARCH($S$2:$S$199, $A52)),0)))),"United States of America")</f>
        <v>India</v>
      </c>
      <c r="D52" s="9" t="str" cm="1">
        <f t="array" ref="D52">IF(A52="","",IF(ISNUMBER(MATCH(TRUE,ISNUMBER(SEARCH($Q$2:$Q$51, $A52)),0))=TRUE,"",IF(ISNUMBER(MATCH(TRUE,ISNUMBER(SEARCH($S$2:$S$199, $A52)),0))=TRUE,"","미국 확인 필요")))</f>
        <v/>
      </c>
      <c r="F52" s="2" t="s">
        <v>753</v>
      </c>
      <c r="G52" s="175">
        <v>316</v>
      </c>
      <c r="H52" s="9" t="str" cm="1">
        <f t="array" ref="H52">IFERROR(IF(F52="","",IF(ISNUMBER(MATCH(TRUE,ISNUMBER(SEARCH($Q$2:$Q$51, $F52)),0))=TRUE,"United States of America",INDEX($S$2:$S$199,MATCH(TRUE,ISNUMBER(SEARCH($S$2:$S$199, $F52)),0)))),"United States of America")</f>
        <v>Colombia</v>
      </c>
      <c r="I52" s="9" t="str" cm="1">
        <f t="array" ref="I52">IF(F52="","",IF(ISNUMBER(MATCH(TRUE,ISNUMBER(SEARCH($Q$2:$Q$51, $F52)),0))=TRUE,"",IF(ISNUMBER(MATCH(TRUE,ISNUMBER(SEARCH($S$2:$S$199, $F52)),0))=TRUE,"","미국 확인 필요")))</f>
        <v/>
      </c>
      <c r="S52" s="46" t="s">
        <v>309</v>
      </c>
      <c r="T52" s="149">
        <f t="shared" si="0"/>
        <v>0</v>
      </c>
      <c r="U52" s="149" t="str">
        <f>IF(T52=0,"",RANK(T52,T:T,0)+COUNTIF(T$1:T51,T52))</f>
        <v/>
      </c>
      <c r="V52" s="46">
        <v>0</v>
      </c>
      <c r="W52" s="149">
        <f t="shared" si="6"/>
        <v>0</v>
      </c>
      <c r="X52" s="149" t="str">
        <f>IF(W52=0,"",RANK(W52,W:W,0)+COUNTIF(W$1:W51,W52))</f>
        <v/>
      </c>
      <c r="Y52" s="46">
        <v>0</v>
      </c>
    </row>
    <row r="53" spans="1:25">
      <c r="A53" s="2" t="s">
        <v>1086</v>
      </c>
      <c r="B53" s="175">
        <v>55</v>
      </c>
      <c r="C53" s="9" t="str" cm="1">
        <f t="array" ref="C53">IFERROR(IF(A53="","",IF(ISNUMBER(MATCH(TRUE,ISNUMBER(SEARCH($Q$2:$Q$51, $A53)),0))=TRUE,"United States of America",INDEX($S$2:$S$199,MATCH(TRUE,ISNUMBER(SEARCH($S$2:$S$199, $A53)),0)))),"United States of America")</f>
        <v>India</v>
      </c>
      <c r="D53" s="9" t="str" cm="1">
        <f t="array" ref="D53">IF(A53="","",IF(ISNUMBER(MATCH(TRUE,ISNUMBER(SEARCH($Q$2:$Q$51, $A53)),0))=TRUE,"",IF(ISNUMBER(MATCH(TRUE,ISNUMBER(SEARCH($S$2:$S$199, $A53)),0))=TRUE,"","미국 확인 필요")))</f>
        <v/>
      </c>
      <c r="F53" s="2" t="s">
        <v>755</v>
      </c>
      <c r="G53" s="175">
        <v>312</v>
      </c>
      <c r="H53" s="9" t="str" cm="1">
        <f t="array" ref="H53">IFERROR(IF(F53="","",IF(ISNUMBER(MATCH(TRUE,ISNUMBER(SEARCH($Q$2:$Q$51, $F53)),0))=TRUE,"United States of America",INDEX($S$2:$S$199,MATCH(TRUE,ISNUMBER(SEARCH($S$2:$S$199, $F53)),0)))),"United States of America")</f>
        <v>Spain</v>
      </c>
      <c r="I53" s="9" t="str" cm="1">
        <f t="array" ref="I53">IF(F53="","",IF(ISNUMBER(MATCH(TRUE,ISNUMBER(SEARCH($Q$2:$Q$51, $F53)),0))=TRUE,"",IF(ISNUMBER(MATCH(TRUE,ISNUMBER(SEARCH($S$2:$S$199, $F53)),0))=TRUE,"","미국 확인 필요")))</f>
        <v/>
      </c>
      <c r="S53" s="46" t="s">
        <v>310</v>
      </c>
      <c r="T53" s="149">
        <f t="shared" si="0"/>
        <v>0</v>
      </c>
      <c r="U53" s="149" t="str">
        <f>IF(T53=0,"",RANK(T53,T:T,0)+COUNTIF(T$1:T52,T53))</f>
        <v/>
      </c>
      <c r="V53" s="46">
        <v>0</v>
      </c>
      <c r="W53" s="149">
        <f t="shared" si="6"/>
        <v>0</v>
      </c>
      <c r="X53" s="149" t="str">
        <f>IF(W53=0,"",RANK(W53,W:W,0)+COUNTIF(W$1:W52,W53))</f>
        <v/>
      </c>
      <c r="Y53" s="46">
        <v>0</v>
      </c>
    </row>
    <row r="54" spans="1:25">
      <c r="A54" s="2" t="s">
        <v>730</v>
      </c>
      <c r="B54" s="175">
        <v>142</v>
      </c>
      <c r="C54" s="9" t="str" cm="1">
        <f t="array" ref="C54">IFERROR(IF(A54="","",IF(ISNUMBER(MATCH(TRUE,ISNUMBER(SEARCH($Q$2:$Q$51, $A54)),0))=TRUE,"United States of America",INDEX($S$2:$S$199,MATCH(TRUE,ISNUMBER(SEARCH($S$2:$S$199, $A54)),0)))),"United States of America")</f>
        <v>India</v>
      </c>
      <c r="D54" s="9" t="str" cm="1">
        <f t="array" ref="D54">IF(A54="","",IF(ISNUMBER(MATCH(TRUE,ISNUMBER(SEARCH($Q$2:$Q$51, $A54)),0))=TRUE,"",IF(ISNUMBER(MATCH(TRUE,ISNUMBER(SEARCH($S$2:$S$199, $A54)),0))=TRUE,"","미국 확인 필요")))</f>
        <v/>
      </c>
      <c r="F54" s="2" t="s">
        <v>768</v>
      </c>
      <c r="G54" s="175">
        <v>299</v>
      </c>
      <c r="H54" s="9" t="str" cm="1">
        <f t="array" ref="H54">IFERROR(IF(F54="","",IF(ISNUMBER(MATCH(TRUE,ISNUMBER(SEARCH($Q$2:$Q$51, $F54)),0))=TRUE,"United States of America",INDEX($S$2:$S$199,MATCH(TRUE,ISNUMBER(SEARCH($S$2:$S$199, $F54)),0)))),"United States of America")</f>
        <v>India</v>
      </c>
      <c r="I54" s="9" t="str" cm="1">
        <f t="array" ref="I54">IF(F54="","",IF(ISNUMBER(MATCH(TRUE,ISNUMBER(SEARCH($Q$2:$Q$51, $F54)),0))=TRUE,"",IF(ISNUMBER(MATCH(TRUE,ISNUMBER(SEARCH($S$2:$S$199, $F54)),0))=TRUE,"","미국 확인 필요")))</f>
        <v/>
      </c>
      <c r="S54" s="46" t="s">
        <v>311</v>
      </c>
      <c r="T54" s="149">
        <f t="shared" si="0"/>
        <v>0</v>
      </c>
      <c r="U54" s="149" t="str">
        <f>IF(T54=0,"",RANK(T54,T:T,0)+COUNTIF(T$1:T53,T54))</f>
        <v/>
      </c>
      <c r="V54" s="46">
        <v>0</v>
      </c>
      <c r="W54" s="149">
        <f t="shared" si="6"/>
        <v>0</v>
      </c>
      <c r="X54" s="149" t="str">
        <f>IF(W54=0,"",RANK(W54,W:W,0)+COUNTIF(W$1:W53,W54))</f>
        <v/>
      </c>
      <c r="Y54" s="46">
        <v>0</v>
      </c>
    </row>
    <row r="55" spans="1:25">
      <c r="A55" s="2" t="s">
        <v>779</v>
      </c>
      <c r="B55" s="175">
        <v>28</v>
      </c>
      <c r="C55" s="9" t="str" cm="1">
        <f t="array" ref="C55">IFERROR(IF(A55="","",IF(ISNUMBER(MATCH(TRUE,ISNUMBER(SEARCH($Q$2:$Q$51, $A55)),0))=TRUE,"United States of America",INDEX($S$2:$S$199,MATCH(TRUE,ISNUMBER(SEARCH($S$2:$S$199, $A55)),0)))),"United States of America")</f>
        <v>India</v>
      </c>
      <c r="D55" s="9" t="str" cm="1">
        <f t="array" ref="D55">IF(A55="","",IF(ISNUMBER(MATCH(TRUE,ISNUMBER(SEARCH($Q$2:$Q$51, $A55)),0))=TRUE,"",IF(ISNUMBER(MATCH(TRUE,ISNUMBER(SEARCH($S$2:$S$199, $A55)),0))=TRUE,"","미국 확인 필요")))</f>
        <v/>
      </c>
      <c r="F55" s="2" t="s">
        <v>760</v>
      </c>
      <c r="G55" s="175">
        <v>296</v>
      </c>
      <c r="H55" s="9" t="str" cm="1">
        <f t="array" ref="H55">IFERROR(IF(F55="","",IF(ISNUMBER(MATCH(TRUE,ISNUMBER(SEARCH($Q$2:$Q$51, $F55)),0))=TRUE,"United States of America",INDEX($S$2:$S$199,MATCH(TRUE,ISNUMBER(SEARCH($S$2:$S$199, $F55)),0)))),"United States of America")</f>
        <v>United States of America</v>
      </c>
      <c r="I55" s="9" t="str" cm="1">
        <f t="array" ref="I55">IF(F55="","",IF(ISNUMBER(MATCH(TRUE,ISNUMBER(SEARCH($Q$2:$Q$51, $F55)),0))=TRUE,"",IF(ISNUMBER(MATCH(TRUE,ISNUMBER(SEARCH($S$2:$S$199, $F55)),0))=TRUE,"","미국 확인 필요")))</f>
        <v>미국 확인 필요</v>
      </c>
      <c r="S55" s="46" t="s">
        <v>312</v>
      </c>
      <c r="T55" s="149">
        <f t="shared" si="0"/>
        <v>0</v>
      </c>
      <c r="U55" s="149" t="str">
        <f>IF(T55=0,"",RANK(T55,T:T,0)+COUNTIF(T$1:T54,T55))</f>
        <v/>
      </c>
      <c r="V55" s="46">
        <v>0</v>
      </c>
      <c r="W55" s="149">
        <f t="shared" si="6"/>
        <v>0</v>
      </c>
      <c r="X55" s="149" t="str">
        <f>IF(W55=0,"",RANK(W55,W:W,0)+COUNTIF(W$1:W54,W55))</f>
        <v/>
      </c>
      <c r="Y55" s="46">
        <v>0</v>
      </c>
    </row>
    <row r="56" spans="1:25">
      <c r="A56" s="2" t="s">
        <v>1087</v>
      </c>
      <c r="B56" s="175">
        <v>20</v>
      </c>
      <c r="C56" s="9" t="str" cm="1">
        <f t="array" ref="C56">IFERROR(IF(A56="","",IF(ISNUMBER(MATCH(TRUE,ISNUMBER(SEARCH($Q$2:$Q$51, $A56)),0))=TRUE,"United States of America",INDEX($S$2:$S$199,MATCH(TRUE,ISNUMBER(SEARCH($S$2:$S$199, $A56)),0)))),"United States of America")</f>
        <v>Taiwan</v>
      </c>
      <c r="D56" s="9" t="str" cm="1">
        <f t="array" ref="D56">IF(A56="","",IF(ISNUMBER(MATCH(TRUE,ISNUMBER(SEARCH($Q$2:$Q$51, $A56)),0))=TRUE,"",IF(ISNUMBER(MATCH(TRUE,ISNUMBER(SEARCH($S$2:$S$199, $A56)),0))=TRUE,"","미국 확인 필요")))</f>
        <v/>
      </c>
      <c r="F56" s="2" t="s">
        <v>761</v>
      </c>
      <c r="G56" s="175">
        <v>288</v>
      </c>
      <c r="H56" s="9" t="str" cm="1">
        <f t="array" ref="H56">IFERROR(IF(F56="","",IF(ISNUMBER(MATCH(TRUE,ISNUMBER(SEARCH($Q$2:$Q$51, $F56)),0))=TRUE,"United States of America",INDEX($S$2:$S$199,MATCH(TRUE,ISNUMBER(SEARCH($S$2:$S$199, $F56)),0)))),"United States of America")</f>
        <v>Malaysia</v>
      </c>
      <c r="I56" s="9" t="str" cm="1">
        <f t="array" ref="I56">IF(F56="","",IF(ISNUMBER(MATCH(TRUE,ISNUMBER(SEARCH($Q$2:$Q$51, $F56)),0))=TRUE,"",IF(ISNUMBER(MATCH(TRUE,ISNUMBER(SEARCH($S$2:$S$199, $F56)),0))=TRUE,"","미국 확인 필요")))</f>
        <v/>
      </c>
      <c r="S56" s="46" t="s">
        <v>313</v>
      </c>
      <c r="T56" s="149">
        <f t="shared" si="0"/>
        <v>0</v>
      </c>
      <c r="U56" s="149" t="str">
        <f>IF(T56=0,"",RANK(T56,T:T,0)+COUNTIF(T$1:T55,T56))</f>
        <v/>
      </c>
      <c r="V56" s="46">
        <v>0</v>
      </c>
      <c r="W56" s="149">
        <f t="shared" si="6"/>
        <v>0</v>
      </c>
      <c r="X56" s="149" t="str">
        <f>IF(W56=0,"",RANK(W56,W:W,0)+COUNTIF(W$1:W55,W56))</f>
        <v/>
      </c>
      <c r="Y56" s="46">
        <v>0</v>
      </c>
    </row>
    <row r="57" spans="1:25">
      <c r="A57" s="2" t="s">
        <v>732</v>
      </c>
      <c r="B57" s="175">
        <v>23</v>
      </c>
      <c r="C57" s="9" t="str" cm="1">
        <f t="array" ref="C57">IFERROR(IF(A57="","",IF(ISNUMBER(MATCH(TRUE,ISNUMBER(SEARCH($Q$2:$Q$51, $A57)),0))=TRUE,"United States of America",INDEX($S$2:$S$199,MATCH(TRUE,ISNUMBER(SEARCH($S$2:$S$199, $A57)),0)))),"United States of America")</f>
        <v>France</v>
      </c>
      <c r="D57" s="9" t="str" cm="1">
        <f t="array" ref="D57">IF(A57="","",IF(ISNUMBER(MATCH(TRUE,ISNUMBER(SEARCH($Q$2:$Q$51, $A57)),0))=TRUE,"",IF(ISNUMBER(MATCH(TRUE,ISNUMBER(SEARCH($S$2:$S$199, $A57)),0))=TRUE,"","미국 확인 필요")))</f>
        <v/>
      </c>
      <c r="F57" s="2" t="s">
        <v>767</v>
      </c>
      <c r="G57" s="175">
        <v>271</v>
      </c>
      <c r="H57" s="9" t="str" cm="1">
        <f t="array" ref="H57">IFERROR(IF(F57="","",IF(ISNUMBER(MATCH(TRUE,ISNUMBER(SEARCH($Q$2:$Q$51, $F57)),0))=TRUE,"United States of America",INDEX($S$2:$S$199,MATCH(TRUE,ISNUMBER(SEARCH($S$2:$S$199, $F57)),0)))),"United States of America")</f>
        <v>Korea</v>
      </c>
      <c r="I57" s="9" t="str" cm="1">
        <f t="array" ref="I57">IF(F57="","",IF(ISNUMBER(MATCH(TRUE,ISNUMBER(SEARCH($Q$2:$Q$51, $F57)),0))=TRUE,"",IF(ISNUMBER(MATCH(TRUE,ISNUMBER(SEARCH($S$2:$S$199, $F57)),0))=TRUE,"","미국 확인 필요")))</f>
        <v/>
      </c>
      <c r="S57" s="46" t="s">
        <v>314</v>
      </c>
      <c r="T57" s="149">
        <f t="shared" si="0"/>
        <v>0</v>
      </c>
      <c r="U57" s="149" t="str">
        <f>IF(T57=0,"",RANK(T57,T:T,0)+COUNTIF(T$1:T56,T57))</f>
        <v/>
      </c>
      <c r="V57" s="46">
        <v>0</v>
      </c>
      <c r="W57" s="149">
        <f t="shared" si="6"/>
        <v>0</v>
      </c>
      <c r="X57" s="149" t="str">
        <f>IF(W57=0,"",RANK(W57,W:W,0)+COUNTIF(W$1:W56,W57))</f>
        <v/>
      </c>
      <c r="Y57" s="46">
        <v>0</v>
      </c>
    </row>
    <row r="58" spans="1:25">
      <c r="A58" s="2" t="s">
        <v>722</v>
      </c>
      <c r="B58" s="175">
        <v>300</v>
      </c>
      <c r="C58" s="9" t="str" cm="1">
        <f t="array" ref="C58">IFERROR(IF(A58="","",IF(ISNUMBER(MATCH(TRUE,ISNUMBER(SEARCH($Q$2:$Q$51, $A58)),0))=TRUE,"United States of America",INDEX($S$2:$S$199,MATCH(TRUE,ISNUMBER(SEARCH($S$2:$S$199, $A58)),0)))),"United States of America")</f>
        <v>United States of America</v>
      </c>
      <c r="D58" s="9" t="str" cm="1">
        <f t="array" ref="D58">IF(A58="","",IF(ISNUMBER(MATCH(TRUE,ISNUMBER(SEARCH($Q$2:$Q$51, $A58)),0))=TRUE,"",IF(ISNUMBER(MATCH(TRUE,ISNUMBER(SEARCH($S$2:$S$199, $A58)),0))=TRUE,"","미국 확인 필요")))</f>
        <v>미국 확인 필요</v>
      </c>
      <c r="F58" s="2" t="s">
        <v>759</v>
      </c>
      <c r="G58" s="175">
        <v>266</v>
      </c>
      <c r="H58" s="9" t="str" cm="1">
        <f t="array" ref="H58">IFERROR(IF(F58="","",IF(ISNUMBER(MATCH(TRUE,ISNUMBER(SEARCH($Q$2:$Q$51, $F58)),0))=TRUE,"United States of America",INDEX($S$2:$S$199,MATCH(TRUE,ISNUMBER(SEARCH($S$2:$S$199, $F58)),0)))),"United States of America")</f>
        <v>Brazil</v>
      </c>
      <c r="I58" s="9" t="str" cm="1">
        <f t="array" ref="I58">IF(F58="","",IF(ISNUMBER(MATCH(TRUE,ISNUMBER(SEARCH($Q$2:$Q$51, $F58)),0))=TRUE,"",IF(ISNUMBER(MATCH(TRUE,ISNUMBER(SEARCH($S$2:$S$199, $F58)),0))=TRUE,"","미국 확인 필요")))</f>
        <v/>
      </c>
      <c r="S58" s="46" t="s">
        <v>315</v>
      </c>
      <c r="T58" s="149">
        <f t="shared" si="0"/>
        <v>0</v>
      </c>
      <c r="U58" s="149" t="str">
        <f>IF(T58=0,"",RANK(T58,T:T,0)+COUNTIF(T$1:T57,T58))</f>
        <v/>
      </c>
      <c r="V58" s="46">
        <v>0</v>
      </c>
      <c r="W58" s="149">
        <f t="shared" si="6"/>
        <v>0</v>
      </c>
      <c r="X58" s="149" t="str">
        <f>IF(W58=0,"",RANK(W58,W:W,0)+COUNTIF(W$1:W57,W58))</f>
        <v/>
      </c>
      <c r="Y58" s="46">
        <v>0</v>
      </c>
    </row>
    <row r="59" spans="1:25">
      <c r="A59" s="2" t="s">
        <v>728</v>
      </c>
      <c r="B59" s="175">
        <v>59</v>
      </c>
      <c r="C59" s="9" t="str" cm="1">
        <f t="array" ref="C59">IFERROR(IF(A59="","",IF(ISNUMBER(MATCH(TRUE,ISNUMBER(SEARCH($Q$2:$Q$51, $A59)),0))=TRUE,"United States of America",INDEX($S$2:$S$199,MATCH(TRUE,ISNUMBER(SEARCH($S$2:$S$199, $A59)),0)))),"United States of America")</f>
        <v>Italy</v>
      </c>
      <c r="D59" s="9" t="str" cm="1">
        <f t="array" ref="D59">IF(A59="","",IF(ISNUMBER(MATCH(TRUE,ISNUMBER(SEARCH($Q$2:$Q$51, $A59)),0))=TRUE,"",IF(ISNUMBER(MATCH(TRUE,ISNUMBER(SEARCH($S$2:$S$199, $A59)),0))=TRUE,"","미국 확인 필요")))</f>
        <v/>
      </c>
      <c r="F59" s="2" t="s">
        <v>766</v>
      </c>
      <c r="G59" s="175">
        <v>265</v>
      </c>
      <c r="H59" s="9" t="str" cm="1">
        <f t="array" ref="H59">IFERROR(IF(F59="","",IF(ISNUMBER(MATCH(TRUE,ISNUMBER(SEARCH($Q$2:$Q$51, $F59)),0))=TRUE,"United States of America",INDEX($S$2:$S$199,MATCH(TRUE,ISNUMBER(SEARCH($S$2:$S$199, $F59)),0)))),"United States of America")</f>
        <v>United States of America</v>
      </c>
      <c r="I59" s="9" t="str" cm="1">
        <f t="array" ref="I59">IF(F59="","",IF(ISNUMBER(MATCH(TRUE,ISNUMBER(SEARCH($Q$2:$Q$51, $F59)),0))=TRUE,"",IF(ISNUMBER(MATCH(TRUE,ISNUMBER(SEARCH($S$2:$S$199, $F59)),0))=TRUE,"","미국 확인 필요")))</f>
        <v>미국 확인 필요</v>
      </c>
      <c r="S59" s="46" t="s">
        <v>316</v>
      </c>
      <c r="T59" s="149">
        <f t="shared" si="0"/>
        <v>0</v>
      </c>
      <c r="U59" s="149" t="str">
        <f>IF(T59=0,"",RANK(T59,T:T,0)+COUNTIF(T$1:T58,T59))</f>
        <v/>
      </c>
      <c r="V59" s="46">
        <v>0</v>
      </c>
      <c r="W59" s="149">
        <f t="shared" si="6"/>
        <v>0</v>
      </c>
      <c r="X59" s="149" t="str">
        <f>IF(W59=0,"",RANK(W59,W:W,0)+COUNTIF(W$1:W58,W59))</f>
        <v/>
      </c>
      <c r="Y59" s="46">
        <v>0</v>
      </c>
    </row>
    <row r="60" spans="1:25">
      <c r="A60" s="2" t="s">
        <v>778</v>
      </c>
      <c r="B60" s="175">
        <v>303</v>
      </c>
      <c r="C60" s="9" t="str" cm="1">
        <f t="array" ref="C60">IFERROR(IF(A60="","",IF(ISNUMBER(MATCH(TRUE,ISNUMBER(SEARCH($Q$2:$Q$51, $A60)),0))=TRUE,"United States of America",INDEX($S$2:$S$199,MATCH(TRUE,ISNUMBER(SEARCH($S$2:$S$199, $A60)),0)))),"United States of America")</f>
        <v>Romania</v>
      </c>
      <c r="D60" s="9" t="str" cm="1">
        <f t="array" ref="D60">IF(A60="","",IF(ISNUMBER(MATCH(TRUE,ISNUMBER(SEARCH($Q$2:$Q$51, $A60)),0))=TRUE,"",IF(ISNUMBER(MATCH(TRUE,ISNUMBER(SEARCH($S$2:$S$199, $A60)),0))=TRUE,"","미국 확인 필요")))</f>
        <v/>
      </c>
      <c r="F60" s="2" t="s">
        <v>775</v>
      </c>
      <c r="G60" s="175">
        <v>263</v>
      </c>
      <c r="H60" s="9" t="str" cm="1">
        <f t="array" ref="H60">IFERROR(IF(F60="","",IF(ISNUMBER(MATCH(TRUE,ISNUMBER(SEARCH($Q$2:$Q$51, $F60)),0))=TRUE,"United States of America",INDEX($S$2:$S$199,MATCH(TRUE,ISNUMBER(SEARCH($S$2:$S$199, $F60)),0)))),"United States of America")</f>
        <v>India</v>
      </c>
      <c r="I60" s="9" t="str" cm="1">
        <f t="array" ref="I60">IF(F60="","",IF(ISNUMBER(MATCH(TRUE,ISNUMBER(SEARCH($Q$2:$Q$51, $F60)),0))=TRUE,"",IF(ISNUMBER(MATCH(TRUE,ISNUMBER(SEARCH($S$2:$S$199, $F60)),0))=TRUE,"","미국 확인 필요")))</f>
        <v/>
      </c>
      <c r="S60" s="46" t="s">
        <v>317</v>
      </c>
      <c r="T60" s="149">
        <f t="shared" si="0"/>
        <v>0</v>
      </c>
      <c r="U60" s="149" t="str">
        <f>IF(T60=0,"",RANK(T60,T:T,0)+COUNTIF(T$1:T59,T60))</f>
        <v/>
      </c>
      <c r="V60" s="46">
        <v>23</v>
      </c>
      <c r="W60" s="149">
        <f t="shared" si="6"/>
        <v>0</v>
      </c>
      <c r="X60" s="149" t="str">
        <f>IF(W60=0,"",RANK(W60,W:W,0)+COUNTIF(W$1:W59,W60))</f>
        <v/>
      </c>
      <c r="Y60" s="46">
        <v>0</v>
      </c>
    </row>
    <row r="61" spans="1:25">
      <c r="A61" s="2" t="s">
        <v>811</v>
      </c>
      <c r="B61" s="175">
        <v>38</v>
      </c>
      <c r="C61" s="9" t="str" cm="1">
        <f t="array" ref="C61">IFERROR(IF(A61="","",IF(ISNUMBER(MATCH(TRUE,ISNUMBER(SEARCH($Q$2:$Q$51, $A61)),0))=TRUE,"United States of America",INDEX($S$2:$S$199,MATCH(TRUE,ISNUMBER(SEARCH($S$2:$S$199, $A61)),0)))),"United States of America")</f>
        <v>United States of America</v>
      </c>
      <c r="D61" s="9" t="str" cm="1">
        <f t="array" ref="D61">IF(A61="","",IF(ISNUMBER(MATCH(TRUE,ISNUMBER(SEARCH($Q$2:$Q$51, $A61)),0))=TRUE,"",IF(ISNUMBER(MATCH(TRUE,ISNUMBER(SEARCH($S$2:$S$199, $A61)),0))=TRUE,"","미국 확인 필요")))</f>
        <v>미국 확인 필요</v>
      </c>
      <c r="F61" s="2" t="s">
        <v>779</v>
      </c>
      <c r="G61" s="175">
        <v>259</v>
      </c>
      <c r="H61" s="9" t="str" cm="1">
        <f t="array" ref="H61">IFERROR(IF(F61="","",IF(ISNUMBER(MATCH(TRUE,ISNUMBER(SEARCH($Q$2:$Q$51, $F61)),0))=TRUE,"United States of America",INDEX($S$2:$S$199,MATCH(TRUE,ISNUMBER(SEARCH($S$2:$S$199, $F61)),0)))),"United States of America")</f>
        <v>India</v>
      </c>
      <c r="I61" s="9" t="str" cm="1">
        <f t="array" ref="I61">IF(F61="","",IF(ISNUMBER(MATCH(TRUE,ISNUMBER(SEARCH($Q$2:$Q$51, $F61)),0))=TRUE,"",IF(ISNUMBER(MATCH(TRUE,ISNUMBER(SEARCH($S$2:$S$199, $F61)),0))=TRUE,"","미국 확인 필요")))</f>
        <v/>
      </c>
      <c r="S61" s="46" t="s">
        <v>318</v>
      </c>
      <c r="T61" s="149">
        <f t="shared" si="0"/>
        <v>0</v>
      </c>
      <c r="U61" s="149" t="str">
        <f>IF(T61=0,"",RANK(T61,T:T,0)+COUNTIF(T$1:T60,T61))</f>
        <v/>
      </c>
      <c r="V61" s="46">
        <v>0</v>
      </c>
      <c r="W61" s="149">
        <f t="shared" si="6"/>
        <v>0</v>
      </c>
      <c r="X61" s="149" t="str">
        <f>IF(W61=0,"",RANK(W61,W:W,0)+COUNTIF(W$1:W60,W61))</f>
        <v/>
      </c>
      <c r="Y61" s="46">
        <v>0</v>
      </c>
    </row>
    <row r="62" spans="1:25">
      <c r="A62" s="2" t="s">
        <v>1088</v>
      </c>
      <c r="B62" s="175">
        <v>35</v>
      </c>
      <c r="C62" s="9" t="str" cm="1">
        <f t="array" ref="C62">IFERROR(IF(A62="","",IF(ISNUMBER(MATCH(TRUE,ISNUMBER(SEARCH($Q$2:$Q$51, $A62)),0))=TRUE,"United States of America",INDEX($S$2:$S$199,MATCH(TRUE,ISNUMBER(SEARCH($S$2:$S$199, $A62)),0)))),"United States of America")</f>
        <v>India</v>
      </c>
      <c r="D62" s="9" t="str" cm="1">
        <f t="array" ref="D62">IF(A62="","",IF(ISNUMBER(MATCH(TRUE,ISNUMBER(SEARCH($Q$2:$Q$51, $A62)),0))=TRUE,"",IF(ISNUMBER(MATCH(TRUE,ISNUMBER(SEARCH($S$2:$S$199, $A62)),0))=TRUE,"","미국 확인 필요")))</f>
        <v/>
      </c>
      <c r="F62" s="2" t="s">
        <v>764</v>
      </c>
      <c r="G62" s="175">
        <v>257</v>
      </c>
      <c r="H62" s="9" t="str" cm="1">
        <f t="array" ref="H62">IFERROR(IF(F62="","",IF(ISNUMBER(MATCH(TRUE,ISNUMBER(SEARCH($Q$2:$Q$51, $F62)),0))=TRUE,"United States of America",INDEX($S$2:$S$199,MATCH(TRUE,ISNUMBER(SEARCH($S$2:$S$199, $F62)),0)))),"United States of America")</f>
        <v>Korea</v>
      </c>
      <c r="I62" s="9" t="str" cm="1">
        <f t="array" ref="I62">IF(F62="","",IF(ISNUMBER(MATCH(TRUE,ISNUMBER(SEARCH($Q$2:$Q$51, $F62)),0))=TRUE,"",IF(ISNUMBER(MATCH(TRUE,ISNUMBER(SEARCH($S$2:$S$199, $F62)),0))=TRUE,"","미국 확인 필요")))</f>
        <v/>
      </c>
      <c r="S62" s="46" t="s">
        <v>319</v>
      </c>
      <c r="T62" s="149">
        <f t="shared" si="0"/>
        <v>0</v>
      </c>
      <c r="U62" s="149" t="str">
        <f>IF(T62=0,"",RANK(T62,T:T,0)+COUNTIF(T$1:T61,T62))</f>
        <v/>
      </c>
      <c r="V62" s="46">
        <v>0</v>
      </c>
      <c r="W62" s="149">
        <f t="shared" si="6"/>
        <v>0</v>
      </c>
      <c r="X62" s="149" t="str">
        <f>IF(W62=0,"",RANK(W62,W:W,0)+COUNTIF(W$1:W61,W62))</f>
        <v/>
      </c>
      <c r="Y62" s="46">
        <v>0</v>
      </c>
    </row>
    <row r="63" spans="1:25">
      <c r="A63" s="2" t="s">
        <v>1089</v>
      </c>
      <c r="B63" s="175">
        <v>14</v>
      </c>
      <c r="C63" s="9" t="str" cm="1">
        <f t="array" ref="C63">IFERROR(IF(A63="","",IF(ISNUMBER(MATCH(TRUE,ISNUMBER(SEARCH($Q$2:$Q$51, $A63)),0))=TRUE,"United States of America",INDEX($S$2:$S$199,MATCH(TRUE,ISNUMBER(SEARCH($S$2:$S$199, $A63)),0)))),"United States of America")</f>
        <v>China</v>
      </c>
      <c r="D63" s="9" t="str" cm="1">
        <f t="array" ref="D63">IF(A63="","",IF(ISNUMBER(MATCH(TRUE,ISNUMBER(SEARCH($Q$2:$Q$51, $A63)),0))=TRUE,"",IF(ISNUMBER(MATCH(TRUE,ISNUMBER(SEARCH($S$2:$S$199, $A63)),0))=TRUE,"","미국 확인 필요")))</f>
        <v/>
      </c>
      <c r="F63" s="2" t="s">
        <v>798</v>
      </c>
      <c r="G63" s="175">
        <v>239</v>
      </c>
      <c r="H63" s="9" t="str" cm="1">
        <f t="array" ref="H63">IFERROR(IF(F63="","",IF(ISNUMBER(MATCH(TRUE,ISNUMBER(SEARCH($Q$2:$Q$51, $F63)),0))=TRUE,"United States of America",INDEX($S$2:$S$199,MATCH(TRUE,ISNUMBER(SEARCH($S$2:$S$199, $F63)),0)))),"United States of America")</f>
        <v>Peru</v>
      </c>
      <c r="I63" s="9" t="str" cm="1">
        <f t="array" ref="I63">IF(F63="","",IF(ISNUMBER(MATCH(TRUE,ISNUMBER(SEARCH($Q$2:$Q$51, $F63)),0))=TRUE,"",IF(ISNUMBER(MATCH(TRUE,ISNUMBER(SEARCH($S$2:$S$199, $F63)),0))=TRUE,"","미국 확인 필요")))</f>
        <v/>
      </c>
      <c r="S63" s="46" t="s">
        <v>320</v>
      </c>
      <c r="T63" s="149">
        <f t="shared" si="0"/>
        <v>0</v>
      </c>
      <c r="U63" s="149" t="str">
        <f>IF(T63=0,"",RANK(T63,T:T,0)+COUNTIF(T$1:T62,T63))</f>
        <v/>
      </c>
      <c r="V63" s="46">
        <v>0</v>
      </c>
      <c r="W63" s="149">
        <f t="shared" si="6"/>
        <v>0</v>
      </c>
      <c r="X63" s="149" t="str">
        <f>IF(W63=0,"",RANK(W63,W:W,0)+COUNTIF(W$1:W62,W63))</f>
        <v/>
      </c>
      <c r="Y63" s="46">
        <v>0</v>
      </c>
    </row>
    <row r="64" spans="1:25">
      <c r="A64" s="2" t="s">
        <v>729</v>
      </c>
      <c r="B64" s="175">
        <v>162</v>
      </c>
      <c r="C64" s="9" t="str" cm="1">
        <f t="array" ref="C64">IFERROR(IF(A64="","",IF(ISNUMBER(MATCH(TRUE,ISNUMBER(SEARCH($Q$2:$Q$51, $A64)),0))=TRUE,"United States of America",INDEX($S$2:$S$199,MATCH(TRUE,ISNUMBER(SEARCH($S$2:$S$199, $A64)),0)))),"United States of America")</f>
        <v>India</v>
      </c>
      <c r="D64" s="9" t="str" cm="1">
        <f t="array" ref="D64">IF(A64="","",IF(ISNUMBER(MATCH(TRUE,ISNUMBER(SEARCH($Q$2:$Q$51, $A64)),0))=TRUE,"",IF(ISNUMBER(MATCH(TRUE,ISNUMBER(SEARCH($S$2:$S$199, $A64)),0))=TRUE,"","미국 확인 필요")))</f>
        <v/>
      </c>
      <c r="F64" s="2" t="s">
        <v>772</v>
      </c>
      <c r="G64" s="175">
        <v>236</v>
      </c>
      <c r="H64" s="9" t="str" cm="1">
        <f t="array" ref="H64">IFERROR(IF(F64="","",IF(ISNUMBER(MATCH(TRUE,ISNUMBER(SEARCH($Q$2:$Q$51, $F64)),0))=TRUE,"United States of America",INDEX($S$2:$S$199,MATCH(TRUE,ISNUMBER(SEARCH($S$2:$S$199, $F64)),0)))),"United States of America")</f>
        <v>Canada</v>
      </c>
      <c r="I64" s="9" t="str" cm="1">
        <f t="array" ref="I64">IF(F64="","",IF(ISNUMBER(MATCH(TRUE,ISNUMBER(SEARCH($Q$2:$Q$51, $F64)),0))=TRUE,"",IF(ISNUMBER(MATCH(TRUE,ISNUMBER(SEARCH($S$2:$S$199, $F64)),0))=TRUE,"","미국 확인 필요")))</f>
        <v/>
      </c>
      <c r="S64" s="46" t="s">
        <v>321</v>
      </c>
      <c r="T64" s="149">
        <f t="shared" si="0"/>
        <v>0</v>
      </c>
      <c r="U64" s="149" t="str">
        <f>IF(T64=0,"",RANK(T64,T:T,0)+COUNTIF(T$1:T63,T64))</f>
        <v/>
      </c>
      <c r="V64" s="46">
        <v>0</v>
      </c>
      <c r="W64" s="149">
        <f t="shared" si="6"/>
        <v>0</v>
      </c>
      <c r="X64" s="149" t="str">
        <f>IF(W64=0,"",RANK(W64,W:W,0)+COUNTIF(W$1:W63,W64))</f>
        <v/>
      </c>
      <c r="Y64" s="46">
        <v>0</v>
      </c>
    </row>
    <row r="65" spans="1:25">
      <c r="A65" s="2" t="s">
        <v>812</v>
      </c>
      <c r="B65" s="175">
        <v>230</v>
      </c>
      <c r="C65" s="9" t="str" cm="1">
        <f t="array" ref="C65">IFERROR(IF(A65="","",IF(ISNUMBER(MATCH(TRUE,ISNUMBER(SEARCH($Q$2:$Q$51, $A65)),0))=TRUE,"United States of America",INDEX($S$2:$S$199,MATCH(TRUE,ISNUMBER(SEARCH($S$2:$S$199, $A65)),0)))),"United States of America")</f>
        <v>Singapore</v>
      </c>
      <c r="D65" s="9" t="str" cm="1">
        <f t="array" ref="D65">IF(A65="","",IF(ISNUMBER(MATCH(TRUE,ISNUMBER(SEARCH($Q$2:$Q$51, $A65)),0))=TRUE,"",IF(ISNUMBER(MATCH(TRUE,ISNUMBER(SEARCH($S$2:$S$199, $A65)),0))=TRUE,"","미국 확인 필요")))</f>
        <v/>
      </c>
      <c r="F65" s="2" t="s">
        <v>776</v>
      </c>
      <c r="G65" s="175">
        <v>233</v>
      </c>
      <c r="H65" s="9" t="str" cm="1">
        <f t="array" ref="H65">IFERROR(IF(F65="","",IF(ISNUMBER(MATCH(TRUE,ISNUMBER(SEARCH($Q$2:$Q$51, $F65)),0))=TRUE,"United States of America",INDEX($S$2:$S$199,MATCH(TRUE,ISNUMBER(SEARCH($S$2:$S$199, $F65)),0)))),"United States of America")</f>
        <v>United States of America</v>
      </c>
      <c r="I65" s="9" t="str" cm="1">
        <f t="array" ref="I65">IF(F65="","",IF(ISNUMBER(MATCH(TRUE,ISNUMBER(SEARCH($Q$2:$Q$51, $F65)),0))=TRUE,"",IF(ISNUMBER(MATCH(TRUE,ISNUMBER(SEARCH($S$2:$S$199, $F65)),0))=TRUE,"","미국 확인 필요")))</f>
        <v>미국 확인 필요</v>
      </c>
      <c r="S65" s="46" t="s">
        <v>322</v>
      </c>
      <c r="T65" s="149">
        <f t="shared" si="0"/>
        <v>0</v>
      </c>
      <c r="U65" s="149" t="str">
        <f>IF(T65=0,"",RANK(T65,T:T,0)+COUNTIF(T$1:T64,T65))</f>
        <v/>
      </c>
      <c r="V65" s="46">
        <v>0</v>
      </c>
      <c r="W65" s="149">
        <f t="shared" si="6"/>
        <v>0</v>
      </c>
      <c r="X65" s="149" t="str">
        <f>IF(W65=0,"",RANK(W65,W:W,0)+COUNTIF(W$1:W64,W65))</f>
        <v/>
      </c>
      <c r="Y65" s="46">
        <v>0</v>
      </c>
    </row>
    <row r="66" spans="1:25">
      <c r="A66" s="2" t="s">
        <v>724</v>
      </c>
      <c r="B66" s="175">
        <v>74</v>
      </c>
      <c r="C66" s="9" t="str" cm="1">
        <f t="array" ref="C66">IFERROR(IF(A66="","",IF(ISNUMBER(MATCH(TRUE,ISNUMBER(SEARCH($Q$2:$Q$51, $A66)),0))=TRUE,"United States of America",INDEX($S$2:$S$199,MATCH(TRUE,ISNUMBER(SEARCH($S$2:$S$199, $A66)),0)))),"United States of America")</f>
        <v>United Kingdom</v>
      </c>
      <c r="D66" s="9" t="str" cm="1">
        <f t="array" ref="D66">IF(A66="","",IF(ISNUMBER(MATCH(TRUE,ISNUMBER(SEARCH($Q$2:$Q$51, $A66)),0))=TRUE,"",IF(ISNUMBER(MATCH(TRUE,ISNUMBER(SEARCH($S$2:$S$199, $A66)),0))=TRUE,"","미국 확인 필요")))</f>
        <v/>
      </c>
      <c r="F66" s="2" t="s">
        <v>786</v>
      </c>
      <c r="G66" s="175">
        <v>232</v>
      </c>
      <c r="H66" s="9" t="str" cm="1">
        <f t="array" ref="H66">IFERROR(IF(F66="","",IF(ISNUMBER(MATCH(TRUE,ISNUMBER(SEARCH($Q$2:$Q$51, $F66)),0))=TRUE,"United States of America",INDEX($S$2:$S$199,MATCH(TRUE,ISNUMBER(SEARCH($S$2:$S$199, $F66)),0)))),"United States of America")</f>
        <v>Korea</v>
      </c>
      <c r="I66" s="9" t="str" cm="1">
        <f t="array" ref="I66">IF(F66="","",IF(ISNUMBER(MATCH(TRUE,ISNUMBER(SEARCH($Q$2:$Q$51, $F66)),0))=TRUE,"",IF(ISNUMBER(MATCH(TRUE,ISNUMBER(SEARCH($S$2:$S$199, $F66)),0))=TRUE,"","미국 확인 필요")))</f>
        <v/>
      </c>
      <c r="S66" s="46" t="s">
        <v>323</v>
      </c>
      <c r="T66" s="149">
        <f t="shared" ref="T66:T129" si="7">SUMIF(C:C,S66,B:B)</f>
        <v>0</v>
      </c>
      <c r="U66" s="149" t="str">
        <f>IF(T66=0,"",RANK(T66,T:T,0)+COUNTIF(T$1:T65,T66))</f>
        <v/>
      </c>
      <c r="V66" s="46">
        <v>0</v>
      </c>
      <c r="W66" s="149">
        <f t="shared" ref="W66:W129" si="8">SUMIF(H:H,S66,G:G)</f>
        <v>0</v>
      </c>
      <c r="X66" s="149" t="str">
        <f>IF(W66=0,"",RANK(W66,W:W,0)+COUNTIF(W$1:W65,W66))</f>
        <v/>
      </c>
      <c r="Y66" s="46">
        <v>0</v>
      </c>
    </row>
    <row r="67" spans="1:25">
      <c r="A67" s="2" t="s">
        <v>714</v>
      </c>
      <c r="B67" s="175">
        <v>496</v>
      </c>
      <c r="C67" s="9" t="str" cm="1">
        <f t="array" ref="C67">IFERROR(IF(A67="","",IF(ISNUMBER(MATCH(TRUE,ISNUMBER(SEARCH($Q$2:$Q$51, $A67)),0))=TRUE,"United States of America",INDEX($S$2:$S$199,MATCH(TRUE,ISNUMBER(SEARCH($S$2:$S$199, $A67)),0)))),"United States of America")</f>
        <v>India</v>
      </c>
      <c r="D67" s="9" t="str" cm="1">
        <f t="array" ref="D67">IF(A67="","",IF(ISNUMBER(MATCH(TRUE,ISNUMBER(SEARCH($Q$2:$Q$51, $A67)),0))=TRUE,"",IF(ISNUMBER(MATCH(TRUE,ISNUMBER(SEARCH($S$2:$S$199, $A67)),0))=TRUE,"","미국 확인 필요")))</f>
        <v/>
      </c>
      <c r="F67" s="2" t="s">
        <v>769</v>
      </c>
      <c r="G67" s="175">
        <v>231</v>
      </c>
      <c r="H67" s="9" t="str" cm="1">
        <f t="array" ref="H67">IFERROR(IF(F67="","",IF(ISNUMBER(MATCH(TRUE,ISNUMBER(SEARCH($Q$2:$Q$51, $F67)),0))=TRUE,"United States of America",INDEX($S$2:$S$199,MATCH(TRUE,ISNUMBER(SEARCH($S$2:$S$199, $F67)),0)))),"United States of America")</f>
        <v>United States of America</v>
      </c>
      <c r="I67" s="9" t="str" cm="1">
        <f t="array" ref="I67">IF(F67="","",IF(ISNUMBER(MATCH(TRUE,ISNUMBER(SEARCH($Q$2:$Q$51, $F67)),0))=TRUE,"",IF(ISNUMBER(MATCH(TRUE,ISNUMBER(SEARCH($S$2:$S$199, $F67)),0))=TRUE,"","미국 확인 필요")))</f>
        <v>미국 확인 필요</v>
      </c>
      <c r="S67" s="46" t="s">
        <v>324</v>
      </c>
      <c r="T67" s="149">
        <f t="shared" si="7"/>
        <v>0</v>
      </c>
      <c r="U67" s="149" t="str">
        <f>IF(T67=0,"",RANK(T67,T:T,0)+COUNTIF(T$1:T66,T67))</f>
        <v/>
      </c>
      <c r="V67" s="46">
        <v>0</v>
      </c>
      <c r="W67" s="149">
        <f t="shared" si="8"/>
        <v>0</v>
      </c>
      <c r="X67" s="149" t="str">
        <f>IF(W67=0,"",RANK(W67,W:W,0)+COUNTIF(W$1:W66,W67))</f>
        <v/>
      </c>
      <c r="Y67" s="46">
        <v>0</v>
      </c>
    </row>
    <row r="68" spans="1:25">
      <c r="A68" s="2" t="s">
        <v>754</v>
      </c>
      <c r="B68" s="175">
        <v>28</v>
      </c>
      <c r="C68" s="9" t="str" cm="1">
        <f t="array" ref="C68">IFERROR(IF(A68="","",IF(ISNUMBER(MATCH(TRUE,ISNUMBER(SEARCH($Q$2:$Q$51, $A68)),0))=TRUE,"United States of America",INDEX($S$2:$S$199,MATCH(TRUE,ISNUMBER(SEARCH($S$2:$S$199, $A68)),0)))),"United States of America")</f>
        <v>Korea</v>
      </c>
      <c r="D68" s="9" t="str" cm="1">
        <f t="array" ref="D68">IF(A68="","",IF(ISNUMBER(MATCH(TRUE,ISNUMBER(SEARCH($Q$2:$Q$51, $A68)),0))=TRUE,"",IF(ISNUMBER(MATCH(TRUE,ISNUMBER(SEARCH($S$2:$S$199, $A68)),0))=TRUE,"","미국 확인 필요")))</f>
        <v/>
      </c>
      <c r="F68" s="2" t="s">
        <v>763</v>
      </c>
      <c r="G68" s="175">
        <v>227</v>
      </c>
      <c r="H68" s="9" t="str" cm="1">
        <f t="array" ref="H68">IFERROR(IF(F68="","",IF(ISNUMBER(MATCH(TRUE,ISNUMBER(SEARCH($Q$2:$Q$51, $F68)),0))=TRUE,"United States of America",INDEX($S$2:$S$199,MATCH(TRUE,ISNUMBER(SEARCH($S$2:$S$199, $F68)),0)))),"United States of America")</f>
        <v>Portugal</v>
      </c>
      <c r="I68" s="9" t="str" cm="1">
        <f t="array" ref="I68">IF(F68="","",IF(ISNUMBER(MATCH(TRUE,ISNUMBER(SEARCH($Q$2:$Q$51, $F68)),0))=TRUE,"",IF(ISNUMBER(MATCH(TRUE,ISNUMBER(SEARCH($S$2:$S$199, $F68)),0))=TRUE,"","미국 확인 필요")))</f>
        <v/>
      </c>
      <c r="S68" s="46" t="s">
        <v>325</v>
      </c>
      <c r="T68" s="149">
        <f t="shared" si="7"/>
        <v>0</v>
      </c>
      <c r="U68" s="149" t="str">
        <f>IF(T68=0,"",RANK(T68,T:T,0)+COUNTIF(T$1:T67,T68))</f>
        <v/>
      </c>
      <c r="V68" s="46">
        <v>0</v>
      </c>
      <c r="W68" s="149">
        <f t="shared" si="8"/>
        <v>0</v>
      </c>
      <c r="X68" s="149" t="str">
        <f>IF(W68=0,"",RANK(W68,W:W,0)+COUNTIF(W$1:W67,W68))</f>
        <v/>
      </c>
      <c r="Y68" s="46">
        <v>0</v>
      </c>
    </row>
    <row r="69" spans="1:25">
      <c r="A69" s="2" t="s">
        <v>744</v>
      </c>
      <c r="B69" s="175">
        <v>42</v>
      </c>
      <c r="C69" s="9" t="str" cm="1">
        <f t="array" ref="C69">IFERROR(IF(A69="","",IF(ISNUMBER(MATCH(TRUE,ISNUMBER(SEARCH($Q$2:$Q$51, $A69)),0))=TRUE,"United States of America",INDEX($S$2:$S$199,MATCH(TRUE,ISNUMBER(SEARCH($S$2:$S$199, $A69)),0)))),"United States of America")</f>
        <v>Korea</v>
      </c>
      <c r="D69" s="9" t="str" cm="1">
        <f t="array" ref="D69">IF(A69="","",IF(ISNUMBER(MATCH(TRUE,ISNUMBER(SEARCH($Q$2:$Q$51, $A69)),0))=TRUE,"",IF(ISNUMBER(MATCH(TRUE,ISNUMBER(SEARCH($S$2:$S$199, $A69)),0))=TRUE,"","미국 확인 필요")))</f>
        <v/>
      </c>
      <c r="F69" s="2" t="s">
        <v>771</v>
      </c>
      <c r="G69" s="175">
        <v>222</v>
      </c>
      <c r="H69" s="9" t="str" cm="1">
        <f t="array" ref="H69">IFERROR(IF(F69="","",IF(ISNUMBER(MATCH(TRUE,ISNUMBER(SEARCH($Q$2:$Q$51, $F69)),0))=TRUE,"United States of America",INDEX($S$2:$S$199,MATCH(TRUE,ISNUMBER(SEARCH($S$2:$S$199, $F69)),0)))),"United States of America")</f>
        <v>Malaysia</v>
      </c>
      <c r="I69" s="9" t="str" cm="1">
        <f t="array" ref="I69">IF(F69="","",IF(ISNUMBER(MATCH(TRUE,ISNUMBER(SEARCH($Q$2:$Q$51, $F69)),0))=TRUE,"",IF(ISNUMBER(MATCH(TRUE,ISNUMBER(SEARCH($S$2:$S$199, $F69)),0))=TRUE,"","미국 확인 필요")))</f>
        <v/>
      </c>
      <c r="S69" s="46" t="s">
        <v>326</v>
      </c>
      <c r="T69" s="149">
        <f t="shared" si="7"/>
        <v>0</v>
      </c>
      <c r="U69" s="149" t="str">
        <f>IF(T69=0,"",RANK(T69,T:T,0)+COUNTIF(T$1:T68,T69))</f>
        <v/>
      </c>
      <c r="V69" s="46">
        <v>0</v>
      </c>
      <c r="W69" s="149">
        <f t="shared" si="8"/>
        <v>0</v>
      </c>
      <c r="X69" s="149" t="str">
        <f>IF(W69=0,"",RANK(W69,W:W,0)+COUNTIF(W$1:W68,W69))</f>
        <v/>
      </c>
      <c r="Y69" s="46">
        <v>0</v>
      </c>
    </row>
    <row r="70" spans="1:25">
      <c r="A70" s="2" t="s">
        <v>797</v>
      </c>
      <c r="B70" s="175">
        <v>20</v>
      </c>
      <c r="C70" s="9" t="str" cm="1">
        <f t="array" ref="C70">IFERROR(IF(A70="","",IF(ISNUMBER(MATCH(TRUE,ISNUMBER(SEARCH($Q$2:$Q$51, $A70)),0))=TRUE,"United States of America",INDEX($S$2:$S$199,MATCH(TRUE,ISNUMBER(SEARCH($S$2:$S$199, $A70)),0)))),"United States of America")</f>
        <v>Australia</v>
      </c>
      <c r="D70" s="9" t="str" cm="1">
        <f t="array" ref="D70">IF(A70="","",IF(ISNUMBER(MATCH(TRUE,ISNUMBER(SEARCH($Q$2:$Q$51, $A70)),0))=TRUE,"",IF(ISNUMBER(MATCH(TRUE,ISNUMBER(SEARCH($S$2:$S$199, $A70)),0))=TRUE,"","미국 확인 필요")))</f>
        <v/>
      </c>
      <c r="F70" s="2" t="s">
        <v>770</v>
      </c>
      <c r="G70" s="175">
        <v>217</v>
      </c>
      <c r="H70" s="9" t="str" cm="1">
        <f t="array" ref="H70">IFERROR(IF(F70="","",IF(ISNUMBER(MATCH(TRUE,ISNUMBER(SEARCH($Q$2:$Q$51, $F70)),0))=TRUE,"United States of America",INDEX($S$2:$S$199,MATCH(TRUE,ISNUMBER(SEARCH($S$2:$S$199, $F70)),0)))),"United States of America")</f>
        <v>Kenya</v>
      </c>
      <c r="I70" s="9" t="str" cm="1">
        <f t="array" ref="I70">IF(F70="","",IF(ISNUMBER(MATCH(TRUE,ISNUMBER(SEARCH($Q$2:$Q$51, $F70)),0))=TRUE,"",IF(ISNUMBER(MATCH(TRUE,ISNUMBER(SEARCH($S$2:$S$199, $F70)),0))=TRUE,"","미국 확인 필요")))</f>
        <v/>
      </c>
      <c r="S70" s="46" t="s">
        <v>327</v>
      </c>
      <c r="T70" s="149">
        <f t="shared" si="7"/>
        <v>0</v>
      </c>
      <c r="U70" s="149" t="str">
        <f>IF(T70=0,"",RANK(T70,T:T,0)+COUNTIF(T$1:T69,T70))</f>
        <v/>
      </c>
      <c r="V70" s="46">
        <v>0</v>
      </c>
      <c r="W70" s="149">
        <f t="shared" si="8"/>
        <v>0</v>
      </c>
      <c r="X70" s="149" t="str">
        <f>IF(W70=0,"",RANK(W70,W:W,0)+COUNTIF(W$1:W69,W70))</f>
        <v/>
      </c>
      <c r="Y70" s="46">
        <v>0</v>
      </c>
    </row>
    <row r="71" spans="1:25">
      <c r="A71" s="2" t="s">
        <v>726</v>
      </c>
      <c r="B71" s="175">
        <v>39</v>
      </c>
      <c r="C71" s="9" t="str" cm="1">
        <f t="array" ref="C71">IFERROR(IF(A71="","",IF(ISNUMBER(MATCH(TRUE,ISNUMBER(SEARCH($Q$2:$Q$51, $A71)),0))=TRUE,"United States of America",INDEX($S$2:$S$199,MATCH(TRUE,ISNUMBER(SEARCH($S$2:$S$199, $A71)),0)))),"United States of America")</f>
        <v>Korea</v>
      </c>
      <c r="D71" s="9" t="str" cm="1">
        <f t="array" ref="D71">IF(A71="","",IF(ISNUMBER(MATCH(TRUE,ISNUMBER(SEARCH($Q$2:$Q$51, $A71)),0))=TRUE,"",IF(ISNUMBER(MATCH(TRUE,ISNUMBER(SEARCH($S$2:$S$199, $A71)),0))=TRUE,"","미국 확인 필요")))</f>
        <v/>
      </c>
      <c r="F71" s="2" t="s">
        <v>784</v>
      </c>
      <c r="G71" s="175">
        <v>213</v>
      </c>
      <c r="H71" s="9" t="str" cm="1">
        <f t="array" ref="H71">IFERROR(IF(F71="","",IF(ISNUMBER(MATCH(TRUE,ISNUMBER(SEARCH($Q$2:$Q$51, $F71)),0))=TRUE,"United States of America",INDEX($S$2:$S$199,MATCH(TRUE,ISNUMBER(SEARCH($S$2:$S$199, $F71)),0)))),"United States of America")</f>
        <v>United States of America</v>
      </c>
      <c r="I71" s="9" t="str" cm="1">
        <f t="array" ref="I71">IF(F71="","",IF(ISNUMBER(MATCH(TRUE,ISNUMBER(SEARCH($Q$2:$Q$51, $F71)),0))=TRUE,"",IF(ISNUMBER(MATCH(TRUE,ISNUMBER(SEARCH($S$2:$S$199, $F71)),0))=TRUE,"","미국 확인 필요")))</f>
        <v>미국 확인 필요</v>
      </c>
      <c r="S71" s="46" t="s">
        <v>328</v>
      </c>
      <c r="T71" s="149">
        <f t="shared" si="7"/>
        <v>0</v>
      </c>
      <c r="U71" s="149" t="str">
        <f>IF(T71=0,"",RANK(T71,T:T,0)+COUNTIF(T$1:T70,T71))</f>
        <v/>
      </c>
      <c r="V71" s="46">
        <v>0</v>
      </c>
      <c r="W71" s="149">
        <f t="shared" si="8"/>
        <v>0</v>
      </c>
      <c r="X71" s="149" t="str">
        <f>IF(W71=0,"",RANK(W71,W:W,0)+COUNTIF(W$1:W70,W71))</f>
        <v/>
      </c>
      <c r="Y71" s="46">
        <v>0</v>
      </c>
    </row>
    <row r="72" spans="1:25">
      <c r="A72" s="2" t="s">
        <v>767</v>
      </c>
      <c r="B72" s="175">
        <v>18</v>
      </c>
      <c r="C72" s="9" t="str" cm="1">
        <f t="array" ref="C72">IFERROR(IF(A72="","",IF(ISNUMBER(MATCH(TRUE,ISNUMBER(SEARCH($Q$2:$Q$51, $A72)),0))=TRUE,"United States of America",INDEX($S$2:$S$199,MATCH(TRUE,ISNUMBER(SEARCH($S$2:$S$199, $A72)),0)))),"United States of America")</f>
        <v>Korea</v>
      </c>
      <c r="D72" s="9" t="str" cm="1">
        <f t="array" ref="D72">IF(A72="","",IF(ISNUMBER(MATCH(TRUE,ISNUMBER(SEARCH($Q$2:$Q$51, $A72)),0))=TRUE,"",IF(ISNUMBER(MATCH(TRUE,ISNUMBER(SEARCH($S$2:$S$199, $A72)),0))=TRUE,"","미국 확인 필요")))</f>
        <v/>
      </c>
      <c r="F72" s="2" t="s">
        <v>773</v>
      </c>
      <c r="G72" s="175">
        <v>212</v>
      </c>
      <c r="H72" s="9" t="str" cm="1">
        <f t="array" ref="H72">IFERROR(IF(F72="","",IF(ISNUMBER(MATCH(TRUE,ISNUMBER(SEARCH($Q$2:$Q$51, $F72)),0))=TRUE,"United States of America",INDEX($S$2:$S$199,MATCH(TRUE,ISNUMBER(SEARCH($S$2:$S$199, $F72)),0)))),"United States of America")</f>
        <v>United States of America</v>
      </c>
      <c r="I72" s="9" t="str" cm="1">
        <f t="array" ref="I72">IF(F72="","",IF(ISNUMBER(MATCH(TRUE,ISNUMBER(SEARCH($Q$2:$Q$51, $F72)),0))=TRUE,"",IF(ISNUMBER(MATCH(TRUE,ISNUMBER(SEARCH($S$2:$S$199, $F72)),0))=TRUE,"","미국 확인 필요")))</f>
        <v>미국 확인 필요</v>
      </c>
      <c r="S72" s="46" t="s">
        <v>329</v>
      </c>
      <c r="T72" s="149">
        <f t="shared" si="7"/>
        <v>0</v>
      </c>
      <c r="U72" s="149" t="str">
        <f>IF(T72=0,"",RANK(T72,T:T,0)+COUNTIF(T$1:T71,T72))</f>
        <v/>
      </c>
      <c r="V72" s="46">
        <v>0</v>
      </c>
      <c r="W72" s="149">
        <f t="shared" si="8"/>
        <v>0</v>
      </c>
      <c r="X72" s="149" t="str">
        <f>IF(W72=0,"",RANK(W72,W:W,0)+COUNTIF(W$1:W71,W72))</f>
        <v/>
      </c>
      <c r="Y72" s="46">
        <v>0</v>
      </c>
    </row>
    <row r="73" spans="1:25">
      <c r="A73" s="2" t="s">
        <v>775</v>
      </c>
      <c r="B73" s="175">
        <v>54</v>
      </c>
      <c r="C73" s="9" t="str" cm="1">
        <f t="array" ref="C73">IFERROR(IF(A73="","",IF(ISNUMBER(MATCH(TRUE,ISNUMBER(SEARCH($Q$2:$Q$51, $A73)),0))=TRUE,"United States of America",INDEX($S$2:$S$199,MATCH(TRUE,ISNUMBER(SEARCH($S$2:$S$199, $A73)),0)))),"United States of America")</f>
        <v>India</v>
      </c>
      <c r="D73" s="9" t="str" cm="1">
        <f t="array" ref="D73">IF(A73="","",IF(ISNUMBER(MATCH(TRUE,ISNUMBER(SEARCH($Q$2:$Q$51, $A73)),0))=TRUE,"",IF(ISNUMBER(MATCH(TRUE,ISNUMBER(SEARCH($S$2:$S$199, $A73)),0))=TRUE,"","미국 확인 필요")))</f>
        <v/>
      </c>
      <c r="F73" s="2" t="s">
        <v>774</v>
      </c>
      <c r="G73" s="175">
        <v>207</v>
      </c>
      <c r="H73" s="9" t="str" cm="1">
        <f t="array" ref="H73">IFERROR(IF(F73="","",IF(ISNUMBER(MATCH(TRUE,ISNUMBER(SEARCH($Q$2:$Q$51, $F73)),0))=TRUE,"United States of America",INDEX($S$2:$S$199,MATCH(TRUE,ISNUMBER(SEARCH($S$2:$S$199, $F73)),0)))),"United States of America")</f>
        <v>Poland</v>
      </c>
      <c r="I73" s="9" t="str" cm="1">
        <f t="array" ref="I73">IF(F73="","",IF(ISNUMBER(MATCH(TRUE,ISNUMBER(SEARCH($Q$2:$Q$51, $F73)),0))=TRUE,"",IF(ISNUMBER(MATCH(TRUE,ISNUMBER(SEARCH($S$2:$S$199, $F73)),0))=TRUE,"","미국 확인 필요")))</f>
        <v/>
      </c>
      <c r="S73" s="46" t="s">
        <v>330</v>
      </c>
      <c r="T73" s="149">
        <f t="shared" si="7"/>
        <v>0</v>
      </c>
      <c r="U73" s="149" t="str">
        <f>IF(T73=0,"",RANK(T73,T:T,0)+COUNTIF(T$1:T72,T73))</f>
        <v/>
      </c>
      <c r="V73" s="46">
        <v>0</v>
      </c>
      <c r="W73" s="149">
        <f t="shared" si="8"/>
        <v>0</v>
      </c>
      <c r="X73" s="149" t="str">
        <f>IF(W73=0,"",RANK(W73,W:W,0)+COUNTIF(W$1:W72,W73))</f>
        <v/>
      </c>
      <c r="Y73" s="46">
        <v>0</v>
      </c>
    </row>
    <row r="74" spans="1:25">
      <c r="A74" s="2" t="s">
        <v>804</v>
      </c>
      <c r="B74" s="175">
        <v>66</v>
      </c>
      <c r="C74" s="9" t="str" cm="1">
        <f t="array" ref="C74">IFERROR(IF(A74="","",IF(ISNUMBER(MATCH(TRUE,ISNUMBER(SEARCH($Q$2:$Q$51, $A74)),0))=TRUE,"United States of America",INDEX($S$2:$S$199,MATCH(TRUE,ISNUMBER(SEARCH($S$2:$S$199, $A74)),0)))),"United States of America")</f>
        <v>United States of America</v>
      </c>
      <c r="D74" s="9" t="str" cm="1">
        <f t="array" ref="D74">IF(A74="","",IF(ISNUMBER(MATCH(TRUE,ISNUMBER(SEARCH($Q$2:$Q$51, $A74)),0))=TRUE,"",IF(ISNUMBER(MATCH(TRUE,ISNUMBER(SEARCH($S$2:$S$199, $A74)),0))=TRUE,"","미국 확인 필요")))</f>
        <v/>
      </c>
      <c r="F74" s="2" t="s">
        <v>783</v>
      </c>
      <c r="G74" s="175">
        <v>199</v>
      </c>
      <c r="H74" s="9" t="str" cm="1">
        <f t="array" ref="H74">IFERROR(IF(F74="","",IF(ISNUMBER(MATCH(TRUE,ISNUMBER(SEARCH($Q$2:$Q$51, $F74)),0))=TRUE,"United States of America",INDEX($S$2:$S$199,MATCH(TRUE,ISNUMBER(SEARCH($S$2:$S$199, $F74)),0)))),"United States of America")</f>
        <v>Vietnam</v>
      </c>
      <c r="I74" s="9" t="str" cm="1">
        <f t="array" ref="I74">IF(F74="","",IF(ISNUMBER(MATCH(TRUE,ISNUMBER(SEARCH($Q$2:$Q$51, $F74)),0))=TRUE,"",IF(ISNUMBER(MATCH(TRUE,ISNUMBER(SEARCH($S$2:$S$199, $F74)),0))=TRUE,"","미국 확인 필요")))</f>
        <v/>
      </c>
      <c r="S74" s="46" t="s">
        <v>331</v>
      </c>
      <c r="T74" s="149">
        <f t="shared" si="7"/>
        <v>0</v>
      </c>
      <c r="U74" s="149" t="str">
        <f>IF(T74=0,"",RANK(T74,T:T,0)+COUNTIF(T$1:T73,T74))</f>
        <v/>
      </c>
      <c r="V74" s="46">
        <v>0</v>
      </c>
      <c r="W74" s="149">
        <f t="shared" si="8"/>
        <v>0</v>
      </c>
      <c r="X74" s="149" t="str">
        <f>IF(W74=0,"",RANK(W74,W:W,0)+COUNTIF(W$1:W73,W74))</f>
        <v/>
      </c>
      <c r="Y74" s="46">
        <v>0</v>
      </c>
    </row>
    <row r="75" spans="1:25">
      <c r="A75" s="2" t="s">
        <v>718</v>
      </c>
      <c r="B75" s="175">
        <v>292</v>
      </c>
      <c r="C75" s="9" t="str" cm="1">
        <f t="array" ref="C75">IFERROR(IF(A75="","",IF(ISNUMBER(MATCH(TRUE,ISNUMBER(SEARCH($Q$2:$Q$51, $A75)),0))=TRUE,"United States of America",INDEX($S$2:$S$199,MATCH(TRUE,ISNUMBER(SEARCH($S$2:$S$199, $A75)),0)))),"United States of America")</f>
        <v>India</v>
      </c>
      <c r="D75" s="9" t="str" cm="1">
        <f t="array" ref="D75">IF(A75="","",IF(ISNUMBER(MATCH(TRUE,ISNUMBER(SEARCH($Q$2:$Q$51, $A75)),0))=TRUE,"",IF(ISNUMBER(MATCH(TRUE,ISNUMBER(SEARCH($S$2:$S$199, $A75)),0))=TRUE,"","미국 확인 필요")))</f>
        <v/>
      </c>
      <c r="F75" s="2" t="s">
        <v>788</v>
      </c>
      <c r="G75" s="175">
        <v>199</v>
      </c>
      <c r="H75" s="9" t="str" cm="1">
        <f t="array" ref="H75">IFERROR(IF(F75="","",IF(ISNUMBER(MATCH(TRUE,ISNUMBER(SEARCH($Q$2:$Q$51, $F75)),0))=TRUE,"United States of America",INDEX($S$2:$S$199,MATCH(TRUE,ISNUMBER(SEARCH($S$2:$S$199, $F75)),0)))),"United States of America")</f>
        <v>United States of America</v>
      </c>
      <c r="I75" s="9" t="str" cm="1">
        <f t="array" ref="I75">IF(F75="","",IF(ISNUMBER(MATCH(TRUE,ISNUMBER(SEARCH($Q$2:$Q$51, $F75)),0))=TRUE,"",IF(ISNUMBER(MATCH(TRUE,ISNUMBER(SEARCH($S$2:$S$199, $F75)),0))=TRUE,"","미국 확인 필요")))</f>
        <v>미국 확인 필요</v>
      </c>
      <c r="S75" s="46" t="s">
        <v>332</v>
      </c>
      <c r="T75" s="149">
        <f t="shared" si="7"/>
        <v>0</v>
      </c>
      <c r="U75" s="149" t="str">
        <f>IF(T75=0,"",RANK(T75,T:T,0)+COUNTIF(T$1:T74,T75))</f>
        <v/>
      </c>
      <c r="V75" s="46">
        <v>0</v>
      </c>
      <c r="W75" s="149">
        <f t="shared" si="8"/>
        <v>0</v>
      </c>
      <c r="X75" s="149" t="str">
        <f>IF(W75=0,"",RANK(W75,W:W,0)+COUNTIF(W$1:W74,W75))</f>
        <v/>
      </c>
      <c r="Y75" s="46">
        <v>0</v>
      </c>
    </row>
    <row r="76" spans="1:25">
      <c r="A76" s="2" t="s">
        <v>709</v>
      </c>
      <c r="B76" s="175">
        <v>2450</v>
      </c>
      <c r="C76" s="9" t="str" cm="1">
        <f t="array" ref="C76">IFERROR(IF(A76="","",IF(ISNUMBER(MATCH(TRUE,ISNUMBER(SEARCH($Q$2:$Q$51, $A76)),0))=TRUE,"United States of America",INDEX($S$2:$S$199,MATCH(TRUE,ISNUMBER(SEARCH($S$2:$S$199, $A76)),0)))),"United States of America")</f>
        <v>Korea</v>
      </c>
      <c r="D76" s="9" t="str" cm="1">
        <f t="array" ref="D76">IF(A76="","",IF(ISNUMBER(MATCH(TRUE,ISNUMBER(SEARCH($Q$2:$Q$51, $A76)),0))=TRUE,"",IF(ISNUMBER(MATCH(TRUE,ISNUMBER(SEARCH($S$2:$S$199, $A76)),0))=TRUE,"","미국 확인 필요")))</f>
        <v/>
      </c>
      <c r="F76" s="2" t="s">
        <v>777</v>
      </c>
      <c r="G76" s="175">
        <v>197</v>
      </c>
      <c r="H76" s="9" t="str" cm="1">
        <f t="array" ref="H76">IFERROR(IF(F76="","",IF(ISNUMBER(MATCH(TRUE,ISNUMBER(SEARCH($Q$2:$Q$51, $F76)),0))=TRUE,"United States of America",INDEX($S$2:$S$199,MATCH(TRUE,ISNUMBER(SEARCH($S$2:$S$199, $F76)),0)))),"United States of America")</f>
        <v>Brazil</v>
      </c>
      <c r="I76" s="9" t="str" cm="1">
        <f t="array" ref="I76">IF(F76="","",IF(ISNUMBER(MATCH(TRUE,ISNUMBER(SEARCH($Q$2:$Q$51, $F76)),0))=TRUE,"",IF(ISNUMBER(MATCH(TRUE,ISNUMBER(SEARCH($S$2:$S$199, $F76)),0))=TRUE,"","미국 확인 필요")))</f>
        <v/>
      </c>
      <c r="S76" s="46" t="s">
        <v>333</v>
      </c>
      <c r="T76" s="149">
        <f t="shared" si="7"/>
        <v>0</v>
      </c>
      <c r="U76" s="149" t="str">
        <f>IF(T76=0,"",RANK(T76,T:T,0)+COUNTIF(T$1:T75,T76))</f>
        <v/>
      </c>
      <c r="V76" s="46">
        <v>0</v>
      </c>
      <c r="W76" s="149">
        <f t="shared" si="8"/>
        <v>0</v>
      </c>
      <c r="X76" s="149" t="str">
        <f>IF(W76=0,"",RANK(W76,W:W,0)+COUNTIF(W$1:W75,W76))</f>
        <v/>
      </c>
      <c r="Y76" s="46">
        <v>0</v>
      </c>
    </row>
    <row r="77" spans="1:25">
      <c r="A77" s="2" t="s">
        <v>813</v>
      </c>
      <c r="B77" s="175">
        <v>20</v>
      </c>
      <c r="C77" s="9" t="str" cm="1">
        <f t="array" ref="C77">IFERROR(IF(A77="","",IF(ISNUMBER(MATCH(TRUE,ISNUMBER(SEARCH($Q$2:$Q$51, $A77)),0))=TRUE,"United States of America",INDEX($S$2:$S$199,MATCH(TRUE,ISNUMBER(SEARCH($S$2:$S$199, $A77)),0)))),"United States of America")</f>
        <v>United States of America</v>
      </c>
      <c r="D77" s="9" t="str" cm="1">
        <f t="array" ref="D77">IF(A77="","",IF(ISNUMBER(MATCH(TRUE,ISNUMBER(SEARCH($Q$2:$Q$51, $A77)),0))=TRUE,"",IF(ISNUMBER(MATCH(TRUE,ISNUMBER(SEARCH($S$2:$S$199, $A77)),0))=TRUE,"","미국 확인 필요")))</f>
        <v>미국 확인 필요</v>
      </c>
      <c r="F77" s="2" t="s">
        <v>792</v>
      </c>
      <c r="G77" s="175">
        <v>193</v>
      </c>
      <c r="H77" s="9" t="str" cm="1">
        <f t="array" ref="H77">IFERROR(IF(F77="","",IF(ISNUMBER(MATCH(TRUE,ISNUMBER(SEARCH($Q$2:$Q$51, $F77)),0))=TRUE,"United States of America",INDEX($S$2:$S$199,MATCH(TRUE,ISNUMBER(SEARCH($S$2:$S$199, $F77)),0)))),"United States of America")</f>
        <v>United States of America</v>
      </c>
      <c r="I77" s="9" t="str" cm="1">
        <f t="array" ref="I77">IF(F77="","",IF(ISNUMBER(MATCH(TRUE,ISNUMBER(SEARCH($Q$2:$Q$51, $F77)),0))=TRUE,"",IF(ISNUMBER(MATCH(TRUE,ISNUMBER(SEARCH($S$2:$S$199, $F77)),0))=TRUE,"","미국 확인 필요")))</f>
        <v>미국 확인 필요</v>
      </c>
      <c r="S77" s="46" t="s">
        <v>334</v>
      </c>
      <c r="T77" s="149">
        <f t="shared" si="7"/>
        <v>0</v>
      </c>
      <c r="U77" s="149" t="str">
        <f>IF(T77=0,"",RANK(T77,T:T,0)+COUNTIF(T$1:T76,T77))</f>
        <v/>
      </c>
      <c r="V77" s="46">
        <v>0</v>
      </c>
      <c r="W77" s="149">
        <f t="shared" si="8"/>
        <v>0</v>
      </c>
      <c r="X77" s="149" t="str">
        <f>IF(W77=0,"",RANK(W77,W:W,0)+COUNTIF(W$1:W76,W77))</f>
        <v/>
      </c>
      <c r="Y77" s="46">
        <v>0</v>
      </c>
    </row>
    <row r="78" spans="1:25">
      <c r="A78" s="2" t="s">
        <v>1090</v>
      </c>
      <c r="B78" s="175">
        <v>38</v>
      </c>
      <c r="C78" s="9" t="str" cm="1">
        <f t="array" ref="C78">IFERROR(IF(A78="","",IF(ISNUMBER(MATCH(TRUE,ISNUMBER(SEARCH($Q$2:$Q$51, $A78)),0))=TRUE,"United States of America",INDEX($S$2:$S$199,MATCH(TRUE,ISNUMBER(SEARCH($S$2:$S$199, $A78)),0)))),"United States of America")</f>
        <v>India</v>
      </c>
      <c r="D78" s="9" t="str" cm="1">
        <f t="array" ref="D78">IF(A78="","",IF(ISNUMBER(MATCH(TRUE,ISNUMBER(SEARCH($Q$2:$Q$51, $A78)),0))=TRUE,"",IF(ISNUMBER(MATCH(TRUE,ISNUMBER(SEARCH($S$2:$S$199, $A78)),0))=TRUE,"","미국 확인 필요")))</f>
        <v/>
      </c>
      <c r="F78" s="2" t="s">
        <v>782</v>
      </c>
      <c r="G78" s="175">
        <v>192</v>
      </c>
      <c r="H78" s="9" t="str" cm="1">
        <f t="array" ref="H78">IFERROR(IF(F78="","",IF(ISNUMBER(MATCH(TRUE,ISNUMBER(SEARCH($Q$2:$Q$51, $F78)),0))=TRUE,"United States of America",INDEX($S$2:$S$199,MATCH(TRUE,ISNUMBER(SEARCH($S$2:$S$199, $F78)),0)))),"United States of America")</f>
        <v>Poland</v>
      </c>
      <c r="I78" s="9" t="str" cm="1">
        <f t="array" ref="I78">IF(F78="","",IF(ISNUMBER(MATCH(TRUE,ISNUMBER(SEARCH($Q$2:$Q$51, $F78)),0))=TRUE,"",IF(ISNUMBER(MATCH(TRUE,ISNUMBER(SEARCH($S$2:$S$199, $F78)),0))=TRUE,"","미국 확인 필요")))</f>
        <v/>
      </c>
      <c r="S78" s="46" t="s">
        <v>335</v>
      </c>
      <c r="T78" s="149">
        <f t="shared" si="7"/>
        <v>0</v>
      </c>
      <c r="U78" s="149" t="str">
        <f>IF(T78=0,"",RANK(T78,T:T,0)+COUNTIF(T$1:T77,T78))</f>
        <v/>
      </c>
      <c r="V78" s="46">
        <v>0</v>
      </c>
      <c r="W78" s="149">
        <f t="shared" si="8"/>
        <v>0</v>
      </c>
      <c r="X78" s="149" t="str">
        <f>IF(W78=0,"",RANK(W78,W:W,0)+COUNTIF(W$1:W77,W78))</f>
        <v/>
      </c>
      <c r="Y78" s="46">
        <v>0</v>
      </c>
    </row>
    <row r="79" spans="1:25">
      <c r="A79" s="2" t="s">
        <v>736</v>
      </c>
      <c r="B79" s="175">
        <v>77</v>
      </c>
      <c r="C79" s="9" t="str" cm="1">
        <f t="array" ref="C79">IFERROR(IF(A79="","",IF(ISNUMBER(MATCH(TRUE,ISNUMBER(SEARCH($Q$2:$Q$51, $A79)),0))=TRUE,"United States of America",INDEX($S$2:$S$199,MATCH(TRUE,ISNUMBER(SEARCH($S$2:$S$199, $A79)),0)))),"United States of America")</f>
        <v>United States of America</v>
      </c>
      <c r="D79" s="9" t="str" cm="1">
        <f t="array" ref="D79">IF(A79="","",IF(ISNUMBER(MATCH(TRUE,ISNUMBER(SEARCH($Q$2:$Q$51, $A79)),0))=TRUE,"",IF(ISNUMBER(MATCH(TRUE,ISNUMBER(SEARCH($S$2:$S$199, $A79)),0))=TRUE,"","미국 확인 필요")))</f>
        <v>미국 확인 필요</v>
      </c>
      <c r="F79" s="2" t="s">
        <v>787</v>
      </c>
      <c r="G79" s="175">
        <v>190</v>
      </c>
      <c r="H79" s="9" t="str" cm="1">
        <f t="array" ref="H79">IFERROR(IF(F79="","",IF(ISNUMBER(MATCH(TRUE,ISNUMBER(SEARCH($Q$2:$Q$51, $F79)),0))=TRUE,"United States of America",INDEX($S$2:$S$199,MATCH(TRUE,ISNUMBER(SEARCH($S$2:$S$199, $F79)),0)))),"United States of America")</f>
        <v>Mexico</v>
      </c>
      <c r="I79" s="9" t="str" cm="1">
        <f t="array" ref="I79">IF(F79="","",IF(ISNUMBER(MATCH(TRUE,ISNUMBER(SEARCH($Q$2:$Q$51, $F79)),0))=TRUE,"",IF(ISNUMBER(MATCH(TRUE,ISNUMBER(SEARCH($S$2:$S$199, $F79)),0))=TRUE,"","미국 확인 필요")))</f>
        <v/>
      </c>
      <c r="S79" s="46" t="s">
        <v>336</v>
      </c>
      <c r="T79" s="149">
        <f t="shared" si="7"/>
        <v>0</v>
      </c>
      <c r="U79" s="149" t="str">
        <f>IF(T79=0,"",RANK(T79,T:T,0)+COUNTIF(T$1:T78,T79))</f>
        <v/>
      </c>
      <c r="V79" s="46">
        <v>0</v>
      </c>
      <c r="W79" s="149">
        <f t="shared" si="8"/>
        <v>0</v>
      </c>
      <c r="X79" s="149" t="str">
        <f>IF(W79=0,"",RANK(W79,W:W,0)+COUNTIF(W$1:W78,W79))</f>
        <v/>
      </c>
      <c r="Y79" s="46">
        <v>0</v>
      </c>
    </row>
    <row r="80" spans="1:25">
      <c r="A80" s="2" t="s">
        <v>801</v>
      </c>
      <c r="B80" s="175">
        <v>37</v>
      </c>
      <c r="C80" s="9" t="str" cm="1">
        <f t="array" ref="C80">IFERROR(IF(A80="","",IF(ISNUMBER(MATCH(TRUE,ISNUMBER(SEARCH($Q$2:$Q$51, $A80)),0))=TRUE,"United States of America",INDEX($S$2:$S$199,MATCH(TRUE,ISNUMBER(SEARCH($S$2:$S$199, $A80)),0)))),"United States of America")</f>
        <v>India</v>
      </c>
      <c r="D80" s="9" t="str" cm="1">
        <f t="array" ref="D80">IF(A80="","",IF(ISNUMBER(MATCH(TRUE,ISNUMBER(SEARCH($Q$2:$Q$51, $A80)),0))=TRUE,"",IF(ISNUMBER(MATCH(TRUE,ISNUMBER(SEARCH($S$2:$S$199, $A80)),0))=TRUE,"","미국 확인 필요")))</f>
        <v/>
      </c>
      <c r="F80" s="2" t="s">
        <v>778</v>
      </c>
      <c r="G80" s="175">
        <v>189</v>
      </c>
      <c r="H80" s="9" t="str" cm="1">
        <f t="array" ref="H80">IFERROR(IF(F80="","",IF(ISNUMBER(MATCH(TRUE,ISNUMBER(SEARCH($Q$2:$Q$51, $F80)),0))=TRUE,"United States of America",INDEX($S$2:$S$199,MATCH(TRUE,ISNUMBER(SEARCH($S$2:$S$199, $F80)),0)))),"United States of America")</f>
        <v>Romania</v>
      </c>
      <c r="I80" s="9" t="str" cm="1">
        <f t="array" ref="I80">IF(F80="","",IF(ISNUMBER(MATCH(TRUE,ISNUMBER(SEARCH($Q$2:$Q$51, $F80)),0))=TRUE,"",IF(ISNUMBER(MATCH(TRUE,ISNUMBER(SEARCH($S$2:$S$199, $F80)),0))=TRUE,"","미국 확인 필요")))</f>
        <v/>
      </c>
      <c r="S80" s="46" t="s">
        <v>337</v>
      </c>
      <c r="T80" s="149">
        <f t="shared" si="7"/>
        <v>0</v>
      </c>
      <c r="U80" s="149" t="str">
        <f>IF(T80=0,"",RANK(T80,T:T,0)+COUNTIF(T$1:T79,T80))</f>
        <v/>
      </c>
      <c r="V80" s="46">
        <v>0</v>
      </c>
      <c r="W80" s="149">
        <f t="shared" si="8"/>
        <v>0</v>
      </c>
      <c r="X80" s="149" t="str">
        <f>IF(W80=0,"",RANK(W80,W:W,0)+COUNTIF(W$1:W79,W80))</f>
        <v/>
      </c>
      <c r="Y80" s="46">
        <v>0</v>
      </c>
    </row>
    <row r="81" spans="1:25">
      <c r="A81" s="2" t="s">
        <v>940</v>
      </c>
      <c r="B81" s="175">
        <v>41</v>
      </c>
      <c r="C81" s="9" t="str" cm="1">
        <f t="array" ref="C81">IFERROR(IF(A81="","",IF(ISNUMBER(MATCH(TRUE,ISNUMBER(SEARCH($Q$2:$Q$51, $A81)),0))=TRUE,"United States of America",INDEX($S$2:$S$199,MATCH(TRUE,ISNUMBER(SEARCH($S$2:$S$199, $A81)),0)))),"United States of America")</f>
        <v>India</v>
      </c>
      <c r="D81" s="9" t="str" cm="1">
        <f t="array" ref="D81">IF(A81="","",IF(ISNUMBER(MATCH(TRUE,ISNUMBER(SEARCH($Q$2:$Q$51, $A81)),0))=TRUE,"",IF(ISNUMBER(MATCH(TRUE,ISNUMBER(SEARCH($S$2:$S$199, $A81)),0))=TRUE,"","미국 확인 필요")))</f>
        <v/>
      </c>
      <c r="F81" s="2" t="s">
        <v>780</v>
      </c>
      <c r="G81" s="175">
        <v>188</v>
      </c>
      <c r="H81" s="9" t="str" cm="1">
        <f t="array" ref="H81">IFERROR(IF(F81="","",IF(ISNUMBER(MATCH(TRUE,ISNUMBER(SEARCH($Q$2:$Q$51, $F81)),0))=TRUE,"United States of America",INDEX($S$2:$S$199,MATCH(TRUE,ISNUMBER(SEARCH($S$2:$S$199, $F81)),0)))),"United States of America")</f>
        <v>China</v>
      </c>
      <c r="I81" s="9" t="str" cm="1">
        <f t="array" ref="I81">IF(F81="","",IF(ISNUMBER(MATCH(TRUE,ISNUMBER(SEARCH($Q$2:$Q$51, $F81)),0))=TRUE,"",IF(ISNUMBER(MATCH(TRUE,ISNUMBER(SEARCH($S$2:$S$199, $F81)),0))=TRUE,"","미국 확인 필요")))</f>
        <v/>
      </c>
      <c r="S81" s="46" t="s">
        <v>338</v>
      </c>
      <c r="T81" s="149">
        <f t="shared" si="7"/>
        <v>0</v>
      </c>
      <c r="U81" s="149" t="str">
        <f>IF(T81=0,"",RANK(T81,T:T,0)+COUNTIF(T$1:T80,T81))</f>
        <v/>
      </c>
      <c r="V81" s="46">
        <v>0</v>
      </c>
      <c r="W81" s="149">
        <f t="shared" si="8"/>
        <v>0</v>
      </c>
      <c r="X81" s="149" t="str">
        <f>IF(W81=0,"",RANK(W81,W:W,0)+COUNTIF(W$1:W80,W81))</f>
        <v/>
      </c>
      <c r="Y81" s="46">
        <v>0</v>
      </c>
    </row>
    <row r="82" spans="1:25">
      <c r="A82" s="2" t="s">
        <v>1091</v>
      </c>
      <c r="B82" s="175">
        <v>34</v>
      </c>
      <c r="C82" s="9" t="str" cm="1">
        <f t="array" ref="C82">IFERROR(IF(A82="","",IF(ISNUMBER(MATCH(TRUE,ISNUMBER(SEARCH($Q$2:$Q$51, $A82)),0))=TRUE,"United States of America",INDEX($S$2:$S$199,MATCH(TRUE,ISNUMBER(SEARCH($S$2:$S$199, $A82)),0)))),"United States of America")</f>
        <v>Austria</v>
      </c>
      <c r="D82" s="9" t="str" cm="1">
        <f t="array" ref="D82">IF(A82="","",IF(ISNUMBER(MATCH(TRUE,ISNUMBER(SEARCH($Q$2:$Q$51, $A82)),0))=TRUE,"",IF(ISNUMBER(MATCH(TRUE,ISNUMBER(SEARCH($S$2:$S$199, $A82)),0))=TRUE,"","미국 확인 필요")))</f>
        <v/>
      </c>
      <c r="F82" s="2" t="s">
        <v>785</v>
      </c>
      <c r="G82" s="175">
        <v>187</v>
      </c>
      <c r="H82" s="9" t="str" cm="1">
        <f t="array" ref="H82">IFERROR(IF(F82="","",IF(ISNUMBER(MATCH(TRUE,ISNUMBER(SEARCH($Q$2:$Q$51, $F82)),0))=TRUE,"United States of America",INDEX($S$2:$S$199,MATCH(TRUE,ISNUMBER(SEARCH($S$2:$S$199, $F82)),0)))),"United States of America")</f>
        <v>Spain</v>
      </c>
      <c r="I82" s="9" t="str" cm="1">
        <f t="array" ref="I82">IF(F82="","",IF(ISNUMBER(MATCH(TRUE,ISNUMBER(SEARCH($Q$2:$Q$51, $F82)),0))=TRUE,"",IF(ISNUMBER(MATCH(TRUE,ISNUMBER(SEARCH($S$2:$S$199, $F82)),0))=TRUE,"","미국 확인 필요")))</f>
        <v/>
      </c>
      <c r="S82" s="46" t="s">
        <v>339</v>
      </c>
      <c r="T82" s="149">
        <f t="shared" si="7"/>
        <v>0</v>
      </c>
      <c r="U82" s="149" t="str">
        <f>IF(T82=0,"",RANK(T82,T:T,0)+COUNTIF(T$1:T81,T82))</f>
        <v/>
      </c>
      <c r="V82" s="46">
        <v>0</v>
      </c>
      <c r="W82" s="149">
        <f t="shared" si="8"/>
        <v>0</v>
      </c>
      <c r="X82" s="149" t="str">
        <f>IF(W82=0,"",RANK(W82,W:W,0)+COUNTIF(W$1:W81,W82))</f>
        <v/>
      </c>
      <c r="Y82" s="46">
        <v>0</v>
      </c>
    </row>
    <row r="83" spans="1:25">
      <c r="A83" s="2" t="s">
        <v>723</v>
      </c>
      <c r="B83" s="175">
        <v>390</v>
      </c>
      <c r="C83" s="9" t="str" cm="1">
        <f t="array" ref="C83">IFERROR(IF(A83="","",IF(ISNUMBER(MATCH(TRUE,ISNUMBER(SEARCH($Q$2:$Q$51, $A83)),0))=TRUE,"United States of America",INDEX($S$2:$S$199,MATCH(TRUE,ISNUMBER(SEARCH($S$2:$S$199, $A83)),0)))),"United States of America")</f>
        <v>India</v>
      </c>
      <c r="D83" s="9" t="str" cm="1">
        <f t="array" ref="D83">IF(A83="","",IF(ISNUMBER(MATCH(TRUE,ISNUMBER(SEARCH($Q$2:$Q$51, $A83)),0))=TRUE,"",IF(ISNUMBER(MATCH(TRUE,ISNUMBER(SEARCH($S$2:$S$199, $A83)),0))=TRUE,"","미국 확인 필요")))</f>
        <v/>
      </c>
      <c r="F83" s="2" t="s">
        <v>781</v>
      </c>
      <c r="G83" s="175">
        <v>183</v>
      </c>
      <c r="H83" s="9" t="str" cm="1">
        <f t="array" ref="H83">IFERROR(IF(F83="","",IF(ISNUMBER(MATCH(TRUE,ISNUMBER(SEARCH($Q$2:$Q$51, $F83)),0))=TRUE,"United States of America",INDEX($S$2:$S$199,MATCH(TRUE,ISNUMBER(SEARCH($S$2:$S$199, $F83)),0)))),"United States of America")</f>
        <v>Chile</v>
      </c>
      <c r="I83" s="9" t="str" cm="1">
        <f t="array" ref="I83">IF(F83="","",IF(ISNUMBER(MATCH(TRUE,ISNUMBER(SEARCH($Q$2:$Q$51, $F83)),0))=TRUE,"",IF(ISNUMBER(MATCH(TRUE,ISNUMBER(SEARCH($S$2:$S$199, $F83)),0))=TRUE,"","미국 확인 필요")))</f>
        <v/>
      </c>
      <c r="S83" s="46" t="s">
        <v>340</v>
      </c>
      <c r="T83" s="149">
        <f t="shared" si="7"/>
        <v>0</v>
      </c>
      <c r="U83" s="149" t="str">
        <f>IF(T83=0,"",RANK(T83,T:T,0)+COUNTIF(T$1:T82,T83))</f>
        <v/>
      </c>
      <c r="V83" s="46">
        <v>0</v>
      </c>
      <c r="W83" s="149">
        <f t="shared" si="8"/>
        <v>0</v>
      </c>
      <c r="X83" s="149" t="str">
        <f>IF(W83=0,"",RANK(W83,W:W,0)+COUNTIF(W$1:W82,W83))</f>
        <v/>
      </c>
      <c r="Y83" s="46">
        <v>0</v>
      </c>
    </row>
    <row r="84" spans="1:25">
      <c r="A84" s="2" t="s">
        <v>776</v>
      </c>
      <c r="B84" s="175">
        <v>22</v>
      </c>
      <c r="C84" s="9" t="str" cm="1">
        <f t="array" ref="C84">IFERROR(IF(A84="","",IF(ISNUMBER(MATCH(TRUE,ISNUMBER(SEARCH($Q$2:$Q$51, $A84)),0))=TRUE,"United States of America",INDEX($S$2:$S$199,MATCH(TRUE,ISNUMBER(SEARCH($S$2:$S$199, $A84)),0)))),"United States of America")</f>
        <v>United States of America</v>
      </c>
      <c r="D84" s="9" t="str" cm="1">
        <f t="array" ref="D84">IF(A84="","",IF(ISNUMBER(MATCH(TRUE,ISNUMBER(SEARCH($Q$2:$Q$51, $A84)),0))=TRUE,"",IF(ISNUMBER(MATCH(TRUE,ISNUMBER(SEARCH($S$2:$S$199, $A84)),0))=TRUE,"","미국 확인 필요")))</f>
        <v>미국 확인 필요</v>
      </c>
      <c r="F84" s="2" t="s">
        <v>801</v>
      </c>
      <c r="G84" s="175">
        <v>175</v>
      </c>
      <c r="H84" s="9" t="str" cm="1">
        <f t="array" ref="H84">IFERROR(IF(F84="","",IF(ISNUMBER(MATCH(TRUE,ISNUMBER(SEARCH($Q$2:$Q$51, $F84)),0))=TRUE,"United States of America",INDEX($S$2:$S$199,MATCH(TRUE,ISNUMBER(SEARCH($S$2:$S$199, $F84)),0)))),"United States of America")</f>
        <v>India</v>
      </c>
      <c r="I84" s="9" t="str" cm="1">
        <f t="array" ref="I84">IF(F84="","",IF(ISNUMBER(MATCH(TRUE,ISNUMBER(SEARCH($Q$2:$Q$51, $F84)),0))=TRUE,"",IF(ISNUMBER(MATCH(TRUE,ISNUMBER(SEARCH($S$2:$S$199, $F84)),0))=TRUE,"","미국 확인 필요")))</f>
        <v/>
      </c>
      <c r="S84" s="46" t="s">
        <v>341</v>
      </c>
      <c r="T84" s="149">
        <f t="shared" si="7"/>
        <v>0</v>
      </c>
      <c r="U84" s="149" t="str">
        <f>IF(T84=0,"",RANK(T84,T:T,0)+COUNTIF(T$1:T83,T84))</f>
        <v/>
      </c>
      <c r="V84" s="46">
        <v>0</v>
      </c>
      <c r="W84" s="149">
        <f t="shared" si="8"/>
        <v>0</v>
      </c>
      <c r="X84" s="149" t="str">
        <f>IF(W84=0,"",RANK(W84,W:W,0)+COUNTIF(W$1:W83,W84))</f>
        <v/>
      </c>
      <c r="Y84" s="46">
        <v>0</v>
      </c>
    </row>
    <row r="85" spans="1:25">
      <c r="A85" s="2" t="s">
        <v>1092</v>
      </c>
      <c r="B85" s="175">
        <v>23</v>
      </c>
      <c r="C85" s="9" t="str" cm="1">
        <f t="array" ref="C85">IFERROR(IF(A85="","",IF(ISNUMBER(MATCH(TRUE,ISNUMBER(SEARCH($Q$2:$Q$51, $A85)),0))=TRUE,"United States of America",INDEX($S$2:$S$199,MATCH(TRUE,ISNUMBER(SEARCH($S$2:$S$199, $A85)),0)))),"United States of America")</f>
        <v>Philippines</v>
      </c>
      <c r="D85" s="9" t="str" cm="1">
        <f t="array" ref="D85">IF(A85="","",IF(ISNUMBER(MATCH(TRUE,ISNUMBER(SEARCH($Q$2:$Q$51, $A85)),0))=TRUE,"",IF(ISNUMBER(MATCH(TRUE,ISNUMBER(SEARCH($S$2:$S$199, $A85)),0))=TRUE,"","미국 확인 필요")))</f>
        <v/>
      </c>
      <c r="F85" s="2" t="s">
        <v>804</v>
      </c>
      <c r="G85" s="175">
        <v>173</v>
      </c>
      <c r="H85" s="9" t="str" cm="1">
        <f t="array" ref="H85">IFERROR(IF(F85="","",IF(ISNUMBER(MATCH(TRUE,ISNUMBER(SEARCH($Q$2:$Q$51, $F85)),0))=TRUE,"United States of America",INDEX($S$2:$S$199,MATCH(TRUE,ISNUMBER(SEARCH($S$2:$S$199, $F85)),0)))),"United States of America")</f>
        <v>United States of America</v>
      </c>
      <c r="I85" s="9" t="str" cm="1">
        <f t="array" ref="I85">IF(F85="","",IF(ISNUMBER(MATCH(TRUE,ISNUMBER(SEARCH($Q$2:$Q$51, $F85)),0))=TRUE,"",IF(ISNUMBER(MATCH(TRUE,ISNUMBER(SEARCH($S$2:$S$199, $F85)),0))=TRUE,"","미국 확인 필요")))</f>
        <v/>
      </c>
      <c r="S85" s="46" t="s">
        <v>342</v>
      </c>
      <c r="T85" s="149">
        <f t="shared" si="7"/>
        <v>0</v>
      </c>
      <c r="U85" s="149" t="str">
        <f>IF(T85=0,"",RANK(T85,T:T,0)+COUNTIF(T$1:T84,T85))</f>
        <v/>
      </c>
      <c r="V85" s="46">
        <v>0</v>
      </c>
      <c r="W85" s="149">
        <f t="shared" si="8"/>
        <v>0</v>
      </c>
      <c r="X85" s="149" t="str">
        <f>IF(W85=0,"",RANK(W85,W:W,0)+COUNTIF(W$1:W84,W85))</f>
        <v/>
      </c>
      <c r="Y85" s="46">
        <v>0</v>
      </c>
    </row>
    <row r="86" spans="1:25">
      <c r="A86" s="2" t="s">
        <v>747</v>
      </c>
      <c r="B86" s="175">
        <v>87</v>
      </c>
      <c r="C86" s="9" t="str" cm="1">
        <f t="array" ref="C86">IFERROR(IF(A86="","",IF(ISNUMBER(MATCH(TRUE,ISNUMBER(SEARCH($Q$2:$Q$51, $A86)),0))=TRUE,"United States of America",INDEX($S$2:$S$199,MATCH(TRUE,ISNUMBER(SEARCH($S$2:$S$199, $A86)),0)))),"United States of America")</f>
        <v>United States of America</v>
      </c>
      <c r="D86" s="9" t="str" cm="1">
        <f t="array" ref="D86">IF(A86="","",IF(ISNUMBER(MATCH(TRUE,ISNUMBER(SEARCH($Q$2:$Q$51, $A86)),0))=TRUE,"",IF(ISNUMBER(MATCH(TRUE,ISNUMBER(SEARCH($S$2:$S$199, $A86)),0))=TRUE,"","미국 확인 필요")))</f>
        <v>미국 확인 필요</v>
      </c>
      <c r="F86" s="2" t="s">
        <v>799</v>
      </c>
      <c r="G86" s="175">
        <v>171</v>
      </c>
      <c r="H86" s="9" t="str" cm="1">
        <f t="array" ref="H86">IFERROR(IF(F86="","",IF(ISNUMBER(MATCH(TRUE,ISNUMBER(SEARCH($Q$2:$Q$51, $F86)),0))=TRUE,"United States of America",INDEX($S$2:$S$199,MATCH(TRUE,ISNUMBER(SEARCH($S$2:$S$199, $F86)),0)))),"United States of America")</f>
        <v>India</v>
      </c>
      <c r="I86" s="9" t="str" cm="1">
        <f t="array" ref="I86">IF(F86="","",IF(ISNUMBER(MATCH(TRUE,ISNUMBER(SEARCH($Q$2:$Q$51, $F86)),0))=TRUE,"",IF(ISNUMBER(MATCH(TRUE,ISNUMBER(SEARCH($S$2:$S$199, $F86)),0))=TRUE,"","미국 확인 필요")))</f>
        <v/>
      </c>
      <c r="S86" s="46" t="s">
        <v>343</v>
      </c>
      <c r="T86" s="149">
        <f t="shared" si="7"/>
        <v>0</v>
      </c>
      <c r="U86" s="149" t="str">
        <f>IF(T86=0,"",RANK(T86,T:T,0)+COUNTIF(T$1:T85,T86))</f>
        <v/>
      </c>
      <c r="V86" s="46">
        <v>0</v>
      </c>
      <c r="W86" s="149">
        <f t="shared" si="8"/>
        <v>0</v>
      </c>
      <c r="X86" s="149" t="str">
        <f>IF(W86=0,"",RANK(W86,W:W,0)+COUNTIF(W$1:W85,W86))</f>
        <v/>
      </c>
      <c r="Y86" s="46">
        <v>0</v>
      </c>
    </row>
    <row r="87" spans="1:25">
      <c r="A87" s="2" t="s">
        <v>769</v>
      </c>
      <c r="B87" s="175">
        <v>73</v>
      </c>
      <c r="C87" s="9" t="str" cm="1">
        <f t="array" ref="C87">IFERROR(IF(A87="","",IF(ISNUMBER(MATCH(TRUE,ISNUMBER(SEARCH($Q$2:$Q$51, $A87)),0))=TRUE,"United States of America",INDEX($S$2:$S$199,MATCH(TRUE,ISNUMBER(SEARCH($S$2:$S$199, $A87)),0)))),"United States of America")</f>
        <v>United States of America</v>
      </c>
      <c r="D87" s="9" t="str" cm="1">
        <f t="array" ref="D87">IF(A87="","",IF(ISNUMBER(MATCH(TRUE,ISNUMBER(SEARCH($Q$2:$Q$51, $A87)),0))=TRUE,"",IF(ISNUMBER(MATCH(TRUE,ISNUMBER(SEARCH($S$2:$S$199, $A87)),0))=TRUE,"","미국 확인 필요")))</f>
        <v>미국 확인 필요</v>
      </c>
      <c r="F87" s="2" t="s">
        <v>791</v>
      </c>
      <c r="G87" s="175">
        <v>169</v>
      </c>
      <c r="H87" s="9" t="str" cm="1">
        <f t="array" ref="H87">IFERROR(IF(F87="","",IF(ISNUMBER(MATCH(TRUE,ISNUMBER(SEARCH($Q$2:$Q$51, $F87)),0))=TRUE,"United States of America",INDEX($S$2:$S$199,MATCH(TRUE,ISNUMBER(SEARCH($S$2:$S$199, $F87)),0)))),"United States of America")</f>
        <v>Germany</v>
      </c>
      <c r="I87" s="9" t="str" cm="1">
        <f t="array" ref="I87">IF(F87="","",IF(ISNUMBER(MATCH(TRUE,ISNUMBER(SEARCH($Q$2:$Q$51, $F87)),0))=TRUE,"",IF(ISNUMBER(MATCH(TRUE,ISNUMBER(SEARCH($S$2:$S$199, $F87)),0))=TRUE,"","미국 확인 필요")))</f>
        <v/>
      </c>
      <c r="S87" s="46" t="s">
        <v>344</v>
      </c>
      <c r="T87" s="149">
        <f t="shared" si="7"/>
        <v>0</v>
      </c>
      <c r="U87" s="149" t="str">
        <f>IF(T87=0,"",RANK(T87,T:T,0)+COUNTIF(T$1:T86,T87))</f>
        <v/>
      </c>
      <c r="V87" s="46">
        <v>0</v>
      </c>
      <c r="W87" s="149">
        <f t="shared" si="8"/>
        <v>0</v>
      </c>
      <c r="X87" s="149" t="str">
        <f>IF(W87=0,"",RANK(W87,W:W,0)+COUNTIF(W$1:W86,W87))</f>
        <v/>
      </c>
      <c r="Y87" s="46">
        <v>0</v>
      </c>
    </row>
    <row r="88" spans="1:25">
      <c r="A88" s="2" t="s">
        <v>941</v>
      </c>
      <c r="B88" s="175">
        <v>21</v>
      </c>
      <c r="C88" s="9" t="str" cm="1">
        <f t="array" ref="C88">IFERROR(IF(A88="","",IF(ISNUMBER(MATCH(TRUE,ISNUMBER(SEARCH($Q$2:$Q$51, $A88)),0))=TRUE,"United States of America",INDEX($S$2:$S$199,MATCH(TRUE,ISNUMBER(SEARCH($S$2:$S$199, $A88)),0)))),"United States of America")</f>
        <v>India</v>
      </c>
      <c r="D88" s="9" t="str" cm="1">
        <f t="array" ref="D88">IF(A88="","",IF(ISNUMBER(MATCH(TRUE,ISNUMBER(SEARCH($Q$2:$Q$51, $A88)),0))=TRUE,"",IF(ISNUMBER(MATCH(TRUE,ISNUMBER(SEARCH($S$2:$S$199, $A88)),0))=TRUE,"","미국 확인 필요")))</f>
        <v/>
      </c>
      <c r="F88" s="2" t="s">
        <v>794</v>
      </c>
      <c r="G88" s="175">
        <v>168</v>
      </c>
      <c r="H88" s="9" t="str" cm="1">
        <f t="array" ref="H88">IFERROR(IF(F88="","",IF(ISNUMBER(MATCH(TRUE,ISNUMBER(SEARCH($Q$2:$Q$51, $F88)),0))=TRUE,"United States of America",INDEX($S$2:$S$199,MATCH(TRUE,ISNUMBER(SEARCH($S$2:$S$199, $F88)),0)))),"United States of America")</f>
        <v>Taiwan</v>
      </c>
      <c r="I88" s="9" t="str" cm="1">
        <f t="array" ref="I88">IF(F88="","",IF(ISNUMBER(MATCH(TRUE,ISNUMBER(SEARCH($Q$2:$Q$51, $F88)),0))=TRUE,"",IF(ISNUMBER(MATCH(TRUE,ISNUMBER(SEARCH($S$2:$S$199, $F88)),0))=TRUE,"","미국 확인 필요")))</f>
        <v/>
      </c>
      <c r="S88" s="46" t="s">
        <v>345</v>
      </c>
      <c r="T88" s="149">
        <f t="shared" si="7"/>
        <v>0</v>
      </c>
      <c r="U88" s="149" t="str">
        <f>IF(T88=0,"",RANK(T88,T:T,0)+COUNTIF(T$1:T87,T88))</f>
        <v/>
      </c>
      <c r="V88" s="46">
        <v>0</v>
      </c>
      <c r="W88" s="149">
        <f t="shared" si="8"/>
        <v>0</v>
      </c>
      <c r="X88" s="149" t="str">
        <f>IF(W88=0,"",RANK(W88,W:W,0)+COUNTIF(W$1:W87,W88))</f>
        <v/>
      </c>
      <c r="Y88" s="46">
        <v>0</v>
      </c>
    </row>
    <row r="89" spans="1:25">
      <c r="A89" s="2" t="s">
        <v>765</v>
      </c>
      <c r="B89" s="175">
        <v>109</v>
      </c>
      <c r="C89" s="9" t="str" cm="1">
        <f t="array" ref="C89">IFERROR(IF(A89="","",IF(ISNUMBER(MATCH(TRUE,ISNUMBER(SEARCH($Q$2:$Q$51, $A89)),0))=TRUE,"United States of America",INDEX($S$2:$S$199,MATCH(TRUE,ISNUMBER(SEARCH($S$2:$S$199, $A89)),0)))),"United States of America")</f>
        <v>India</v>
      </c>
      <c r="D89" s="9" t="str" cm="1">
        <f t="array" ref="D89">IF(A89="","",IF(ISNUMBER(MATCH(TRUE,ISNUMBER(SEARCH($Q$2:$Q$51, $A89)),0))=TRUE,"",IF(ISNUMBER(MATCH(TRUE,ISNUMBER(SEARCH($S$2:$S$199, $A89)),0))=TRUE,"","미국 확인 필요")))</f>
        <v/>
      </c>
      <c r="F89" s="2" t="s">
        <v>790</v>
      </c>
      <c r="G89" s="175">
        <v>166</v>
      </c>
      <c r="H89" s="9" t="str" cm="1">
        <f t="array" ref="H89">IFERROR(IF(F89="","",IF(ISNUMBER(MATCH(TRUE,ISNUMBER(SEARCH($Q$2:$Q$51, $F89)),0))=TRUE,"United States of America",INDEX($S$2:$S$199,MATCH(TRUE,ISNUMBER(SEARCH($S$2:$S$199, $F89)),0)))),"United States of America")</f>
        <v>Brazil</v>
      </c>
      <c r="I89" s="9" t="str" cm="1">
        <f t="array" ref="I89">IF(F89="","",IF(ISNUMBER(MATCH(TRUE,ISNUMBER(SEARCH($Q$2:$Q$51, $F89)),0))=TRUE,"",IF(ISNUMBER(MATCH(TRUE,ISNUMBER(SEARCH($S$2:$S$199, $F89)),0))=TRUE,"","미국 확인 필요")))</f>
        <v/>
      </c>
      <c r="S89" s="46" t="s">
        <v>346</v>
      </c>
      <c r="T89" s="149">
        <f t="shared" si="7"/>
        <v>0</v>
      </c>
      <c r="U89" s="149" t="str">
        <f>IF(T89=0,"",RANK(T89,T:T,0)+COUNTIF(T$1:T88,T89))</f>
        <v/>
      </c>
      <c r="V89" s="46">
        <v>0</v>
      </c>
      <c r="W89" s="149">
        <f t="shared" si="8"/>
        <v>0</v>
      </c>
      <c r="X89" s="149" t="str">
        <f>IF(W89=0,"",RANK(W89,W:W,0)+COUNTIF(W$1:W88,W89))</f>
        <v/>
      </c>
      <c r="Y89" s="46">
        <v>0</v>
      </c>
    </row>
    <row r="90" spans="1:25">
      <c r="A90" s="2" t="s">
        <v>985</v>
      </c>
      <c r="B90" s="175">
        <v>19</v>
      </c>
      <c r="C90" s="9" t="str" cm="1">
        <f t="array" ref="C90">IFERROR(IF(A90="","",IF(ISNUMBER(MATCH(TRUE,ISNUMBER(SEARCH($Q$2:$Q$51, $A90)),0))=TRUE,"United States of America",INDEX($S$2:$S$199,MATCH(TRUE,ISNUMBER(SEARCH($S$2:$S$199, $A90)),0)))),"United States of America")</f>
        <v>United States of America</v>
      </c>
      <c r="D90" s="9" t="str" cm="1">
        <f t="array" ref="D90">IF(A90="","",IF(ISNUMBER(MATCH(TRUE,ISNUMBER(SEARCH($Q$2:$Q$51, $A90)),0))=TRUE,"",IF(ISNUMBER(MATCH(TRUE,ISNUMBER(SEARCH($S$2:$S$199, $A90)),0))=TRUE,"","미국 확인 필요")))</f>
        <v>미국 확인 필요</v>
      </c>
      <c r="F90" s="2" t="s">
        <v>789</v>
      </c>
      <c r="G90" s="175">
        <v>165</v>
      </c>
      <c r="H90" s="9" t="str" cm="1">
        <f t="array" ref="H90">IFERROR(IF(F90="","",IF(ISNUMBER(MATCH(TRUE,ISNUMBER(SEARCH($Q$2:$Q$51, $F90)),0))=TRUE,"United States of America",INDEX($S$2:$S$199,MATCH(TRUE,ISNUMBER(SEARCH($S$2:$S$199, $F90)),0)))),"United States of America")</f>
        <v>Brazil</v>
      </c>
      <c r="I90" s="9" t="str" cm="1">
        <f t="array" ref="I90">IF(F90="","",IF(ISNUMBER(MATCH(TRUE,ISNUMBER(SEARCH($Q$2:$Q$51, $F90)),0))=TRUE,"",IF(ISNUMBER(MATCH(TRUE,ISNUMBER(SEARCH($S$2:$S$199, $F90)),0))=TRUE,"","미국 확인 필요")))</f>
        <v/>
      </c>
      <c r="S90" s="46" t="s">
        <v>347</v>
      </c>
      <c r="T90" s="149">
        <f t="shared" si="7"/>
        <v>0</v>
      </c>
      <c r="U90" s="149" t="str">
        <f>IF(T90=0,"",RANK(T90,T:T,0)+COUNTIF(T$1:T89,T90))</f>
        <v/>
      </c>
      <c r="V90" s="46">
        <v>0</v>
      </c>
      <c r="W90" s="149">
        <f t="shared" si="8"/>
        <v>0</v>
      </c>
      <c r="X90" s="149" t="str">
        <f>IF(W90=0,"",RANK(W90,W:W,0)+COUNTIF(W$1:W89,W90))</f>
        <v/>
      </c>
      <c r="Y90" s="46">
        <v>0</v>
      </c>
    </row>
    <row r="91" spans="1:25">
      <c r="A91" s="2" t="s">
        <v>942</v>
      </c>
      <c r="B91" s="175">
        <v>17</v>
      </c>
      <c r="C91" s="9" t="str" cm="1">
        <f t="array" ref="C91">IFERROR(IF(A91="","",IF(ISNUMBER(MATCH(TRUE,ISNUMBER(SEARCH($Q$2:$Q$51, $A91)),0))=TRUE,"United States of America",INDEX($S$2:$S$199,MATCH(TRUE,ISNUMBER(SEARCH($S$2:$S$199, $A91)),0)))),"United States of America")</f>
        <v>India</v>
      </c>
      <c r="D91" s="9" t="str" cm="1">
        <f t="array" ref="D91">IF(A91="","",IF(ISNUMBER(MATCH(TRUE,ISNUMBER(SEARCH($Q$2:$Q$51, $A91)),0))=TRUE,"",IF(ISNUMBER(MATCH(TRUE,ISNUMBER(SEARCH($S$2:$S$199, $A91)),0))=TRUE,"","미국 확인 필요")))</f>
        <v/>
      </c>
      <c r="F91" s="2" t="s">
        <v>796</v>
      </c>
      <c r="G91" s="175">
        <v>161</v>
      </c>
      <c r="H91" s="9" t="str" cm="1">
        <f t="array" ref="H91">IFERROR(IF(F91="","",IF(ISNUMBER(MATCH(TRUE,ISNUMBER(SEARCH($Q$2:$Q$51, $F91)),0))=TRUE,"United States of America",INDEX($S$2:$S$199,MATCH(TRUE,ISNUMBER(SEARCH($S$2:$S$199, $F91)),0)))),"United States of America")</f>
        <v>Germany</v>
      </c>
      <c r="I91" s="9" t="str" cm="1">
        <f t="array" ref="I91">IF(F91="","",IF(ISNUMBER(MATCH(TRUE,ISNUMBER(SEARCH($Q$2:$Q$51, $F91)),0))=TRUE,"",IF(ISNUMBER(MATCH(TRUE,ISNUMBER(SEARCH($S$2:$S$199, $F91)),0))=TRUE,"","미국 확인 필요")))</f>
        <v/>
      </c>
      <c r="S91" s="46" t="s">
        <v>348</v>
      </c>
      <c r="T91" s="149">
        <f t="shared" si="7"/>
        <v>0</v>
      </c>
      <c r="U91" s="149" t="str">
        <f>IF(T91=0,"",RANK(T91,T:T,0)+COUNTIF(T$1:T90,T91))</f>
        <v/>
      </c>
      <c r="V91" s="46">
        <v>0</v>
      </c>
      <c r="W91" s="149">
        <f t="shared" si="8"/>
        <v>0</v>
      </c>
      <c r="X91" s="149" t="str">
        <f>IF(W91=0,"",RANK(W91,W:W,0)+COUNTIF(W$1:W90,W91))</f>
        <v/>
      </c>
      <c r="Y91" s="46">
        <v>0</v>
      </c>
    </row>
    <row r="92" spans="1:25">
      <c r="A92" s="2" t="s">
        <v>711</v>
      </c>
      <c r="B92" s="175">
        <v>924</v>
      </c>
      <c r="C92" s="9" t="str" cm="1">
        <f t="array" ref="C92">IFERROR(IF(A92="","",IF(ISNUMBER(MATCH(TRUE,ISNUMBER(SEARCH($Q$2:$Q$51, $A92)),0))=TRUE,"United States of America",INDEX($S$2:$S$199,MATCH(TRUE,ISNUMBER(SEARCH($S$2:$S$199, $A92)),0)))),"United States of America")</f>
        <v>India</v>
      </c>
      <c r="D92" s="9" t="str" cm="1">
        <f t="array" ref="D92">IF(A92="","",IF(ISNUMBER(MATCH(TRUE,ISNUMBER(SEARCH($Q$2:$Q$51, $A92)),0))=TRUE,"",IF(ISNUMBER(MATCH(TRUE,ISNUMBER(SEARCH($S$2:$S$199, $A92)),0))=TRUE,"","미국 확인 필요")))</f>
        <v/>
      </c>
      <c r="F92" s="2" t="s">
        <v>795</v>
      </c>
      <c r="G92" s="175">
        <v>159</v>
      </c>
      <c r="H92" s="9" t="str" cm="1">
        <f t="array" ref="H92">IFERROR(IF(F92="","",IF(ISNUMBER(MATCH(TRUE,ISNUMBER(SEARCH($Q$2:$Q$51, $F92)),0))=TRUE,"United States of America",INDEX($S$2:$S$199,MATCH(TRUE,ISNUMBER(SEARCH($S$2:$S$199, $F92)),0)))),"United States of America")</f>
        <v>Italy</v>
      </c>
      <c r="I92" s="9" t="str" cm="1">
        <f t="array" ref="I92">IF(F92="","",IF(ISNUMBER(MATCH(TRUE,ISNUMBER(SEARCH($Q$2:$Q$51, $F92)),0))=TRUE,"",IF(ISNUMBER(MATCH(TRUE,ISNUMBER(SEARCH($S$2:$S$199, $F92)),0))=TRUE,"","미국 확인 필요")))</f>
        <v/>
      </c>
      <c r="S92" s="46" t="s">
        <v>349</v>
      </c>
      <c r="T92" s="149">
        <f t="shared" si="7"/>
        <v>0</v>
      </c>
      <c r="U92" s="149" t="str">
        <f>IF(T92=0,"",RANK(T92,T:T,0)+COUNTIF(T$1:T91,T92))</f>
        <v/>
      </c>
      <c r="V92" s="46">
        <v>0</v>
      </c>
      <c r="W92" s="149">
        <f t="shared" si="8"/>
        <v>0</v>
      </c>
      <c r="X92" s="149" t="str">
        <f>IF(W92=0,"",RANK(W92,W:W,0)+COUNTIF(W$1:W91,W92))</f>
        <v/>
      </c>
      <c r="Y92" s="46">
        <v>0</v>
      </c>
    </row>
    <row r="93" spans="1:25">
      <c r="A93" s="2" t="s">
        <v>768</v>
      </c>
      <c r="B93" s="175">
        <v>86</v>
      </c>
      <c r="C93" s="9" t="str" cm="1">
        <f t="array" ref="C93">IFERROR(IF(A93="","",IF(ISNUMBER(MATCH(TRUE,ISNUMBER(SEARCH($Q$2:$Q$51, $A93)),0))=TRUE,"United States of America",INDEX($S$2:$S$199,MATCH(TRUE,ISNUMBER(SEARCH($S$2:$S$199, $A93)),0)))),"United States of America")</f>
        <v>India</v>
      </c>
      <c r="D93" s="9" t="str" cm="1">
        <f t="array" ref="D93">IF(A93="","",IF(ISNUMBER(MATCH(TRUE,ISNUMBER(SEARCH($Q$2:$Q$51, $A93)),0))=TRUE,"",IF(ISNUMBER(MATCH(TRUE,ISNUMBER(SEARCH($S$2:$S$199, $A93)),0))=TRUE,"","미국 확인 필요")))</f>
        <v/>
      </c>
      <c r="F93" s="2" t="s">
        <v>802</v>
      </c>
      <c r="G93" s="175">
        <v>158</v>
      </c>
      <c r="H93" s="9" t="str" cm="1">
        <f t="array" ref="H93">IFERROR(IF(F93="","",IF(ISNUMBER(MATCH(TRUE,ISNUMBER(SEARCH($Q$2:$Q$51, $F93)),0))=TRUE,"United States of America",INDEX($S$2:$S$199,MATCH(TRUE,ISNUMBER(SEARCH($S$2:$S$199, $F93)),0)))),"United States of America")</f>
        <v>Vietnam</v>
      </c>
      <c r="I93" s="9" t="str" cm="1">
        <f t="array" ref="I93">IF(F93="","",IF(ISNUMBER(MATCH(TRUE,ISNUMBER(SEARCH($Q$2:$Q$51, $F93)),0))=TRUE,"",IF(ISNUMBER(MATCH(TRUE,ISNUMBER(SEARCH($S$2:$S$199, $F93)),0))=TRUE,"","미국 확인 필요")))</f>
        <v/>
      </c>
      <c r="S93" s="46" t="s">
        <v>350</v>
      </c>
      <c r="T93" s="149">
        <f t="shared" si="7"/>
        <v>0</v>
      </c>
      <c r="U93" s="149" t="str">
        <f>IF(T93=0,"",RANK(T93,T:T,0)+COUNTIF(T$1:T92,T93))</f>
        <v/>
      </c>
      <c r="V93" s="46">
        <v>0</v>
      </c>
      <c r="W93" s="149">
        <f t="shared" si="8"/>
        <v>0</v>
      </c>
      <c r="X93" s="149" t="str">
        <f>IF(W93=0,"",RANK(W93,W:W,0)+COUNTIF(W$1:W92,W93))</f>
        <v/>
      </c>
      <c r="Y93" s="46">
        <v>0</v>
      </c>
    </row>
    <row r="94" spans="1:25">
      <c r="A94" s="2" t="s">
        <v>799</v>
      </c>
      <c r="B94" s="175">
        <v>22</v>
      </c>
      <c r="C94" s="9" t="str" cm="1">
        <f t="array" ref="C94">IFERROR(IF(A94="","",IF(ISNUMBER(MATCH(TRUE,ISNUMBER(SEARCH($Q$2:$Q$51, $A94)),0))=TRUE,"United States of America",INDEX($S$2:$S$199,MATCH(TRUE,ISNUMBER(SEARCH($S$2:$S$199, $A94)),0)))),"United States of America")</f>
        <v>India</v>
      </c>
      <c r="D94" s="9" t="str" cm="1">
        <f t="array" ref="D94">IF(A94="","",IF(ISNUMBER(MATCH(TRUE,ISNUMBER(SEARCH($Q$2:$Q$51, $A94)),0))=TRUE,"",IF(ISNUMBER(MATCH(TRUE,ISNUMBER(SEARCH($S$2:$S$199, $A94)),0))=TRUE,"","미국 확인 필요")))</f>
        <v/>
      </c>
      <c r="F94" s="2" t="s">
        <v>793</v>
      </c>
      <c r="G94" s="175">
        <v>156</v>
      </c>
      <c r="H94" s="9" t="str" cm="1">
        <f t="array" ref="H94">IFERROR(IF(F94="","",IF(ISNUMBER(MATCH(TRUE,ISNUMBER(SEARCH($Q$2:$Q$51, $F94)),0))=TRUE,"United States of America",INDEX($S$2:$S$199,MATCH(TRUE,ISNUMBER(SEARCH($S$2:$S$199, $F94)),0)))),"United States of America")</f>
        <v>Brazil</v>
      </c>
      <c r="I94" s="9" t="str" cm="1">
        <f t="array" ref="I94">IF(F94="","",IF(ISNUMBER(MATCH(TRUE,ISNUMBER(SEARCH($Q$2:$Q$51, $F94)),0))=TRUE,"",IF(ISNUMBER(MATCH(TRUE,ISNUMBER(SEARCH($S$2:$S$199, $F94)),0))=TRUE,"","미국 확인 필요")))</f>
        <v/>
      </c>
      <c r="S94" s="46" t="s">
        <v>351</v>
      </c>
      <c r="T94" s="149">
        <f t="shared" si="7"/>
        <v>0</v>
      </c>
      <c r="U94" s="149" t="str">
        <f>IF(T94=0,"",RANK(T94,T:T,0)+COUNTIF(T$1:T93,T94))</f>
        <v/>
      </c>
      <c r="V94" s="46">
        <v>0</v>
      </c>
      <c r="W94" s="149">
        <f t="shared" si="8"/>
        <v>0</v>
      </c>
      <c r="X94" s="149" t="str">
        <f>IF(W94=0,"",RANK(W94,W:W,0)+COUNTIF(W$1:W93,W94))</f>
        <v/>
      </c>
      <c r="Y94" s="46">
        <v>0</v>
      </c>
    </row>
    <row r="95" spans="1:25">
      <c r="A95" s="2" t="s">
        <v>1093</v>
      </c>
      <c r="B95" s="175">
        <v>28</v>
      </c>
      <c r="C95" s="9" t="str" cm="1">
        <f t="array" ref="C95">IFERROR(IF(A95="","",IF(ISNUMBER(MATCH(TRUE,ISNUMBER(SEARCH($Q$2:$Q$51, $A95)),0))=TRUE,"United States of America",INDEX($S$2:$S$199,MATCH(TRUE,ISNUMBER(SEARCH($S$2:$S$199, $A95)),0)))),"United States of America")</f>
        <v>Germany</v>
      </c>
      <c r="D95" s="9" t="str" cm="1">
        <f t="array" ref="D95">IF(A95="","",IF(ISNUMBER(MATCH(TRUE,ISNUMBER(SEARCH($Q$2:$Q$51, $A95)),0))=TRUE,"",IF(ISNUMBER(MATCH(TRUE,ISNUMBER(SEARCH($S$2:$S$199, $A95)),0))=TRUE,"","미국 확인 필요")))</f>
        <v/>
      </c>
      <c r="F95" s="2" t="s">
        <v>800</v>
      </c>
      <c r="G95" s="175">
        <v>155</v>
      </c>
      <c r="H95" s="9" t="str" cm="1">
        <f t="array" ref="H95">IFERROR(IF(F95="","",IF(ISNUMBER(MATCH(TRUE,ISNUMBER(SEARCH($Q$2:$Q$51, $F95)),0))=TRUE,"United States of America",INDEX($S$2:$S$199,MATCH(TRUE,ISNUMBER(SEARCH($S$2:$S$199, $F95)),0)))),"United States of America")</f>
        <v>United States of America</v>
      </c>
      <c r="I95" s="9" t="str" cm="1">
        <f t="array" ref="I95">IF(F95="","",IF(ISNUMBER(MATCH(TRUE,ISNUMBER(SEARCH($Q$2:$Q$51, $F95)),0))=TRUE,"",IF(ISNUMBER(MATCH(TRUE,ISNUMBER(SEARCH($S$2:$S$199, $F95)),0))=TRUE,"","미국 확인 필요")))</f>
        <v>미국 확인 필요</v>
      </c>
      <c r="S95" s="46" t="s">
        <v>352</v>
      </c>
      <c r="T95" s="149">
        <f t="shared" si="7"/>
        <v>0</v>
      </c>
      <c r="U95" s="149" t="str">
        <f>IF(T95=0,"",RANK(T95,T:T,0)+COUNTIF(T$1:T94,T95))</f>
        <v/>
      </c>
      <c r="V95" s="46">
        <v>0</v>
      </c>
      <c r="W95" s="149">
        <f t="shared" si="8"/>
        <v>0</v>
      </c>
      <c r="X95" s="149" t="str">
        <f>IF(W95=0,"",RANK(W95,W:W,0)+COUNTIF(W$1:W94,W95))</f>
        <v/>
      </c>
      <c r="Y95" s="46">
        <v>0</v>
      </c>
    </row>
    <row r="96" spans="1:25">
      <c r="A96" s="2" t="s">
        <v>762</v>
      </c>
      <c r="B96" s="175">
        <v>152</v>
      </c>
      <c r="C96" s="9" t="str" cm="1">
        <f t="array" ref="C96">IFERROR(IF(A96="","",IF(ISNUMBER(MATCH(TRUE,ISNUMBER(SEARCH($Q$2:$Q$51, $A96)),0))=TRUE,"United States of America",INDEX($S$2:$S$199,MATCH(TRUE,ISNUMBER(SEARCH($S$2:$S$199, $A96)),0)))),"United States of America")</f>
        <v>Indonesia</v>
      </c>
      <c r="D96" s="9" t="str" cm="1">
        <f t="array" ref="D96">IF(A96="","",IF(ISNUMBER(MATCH(TRUE,ISNUMBER(SEARCH($Q$2:$Q$51, $A96)),0))=TRUE,"",IF(ISNUMBER(MATCH(TRUE,ISNUMBER(SEARCH($S$2:$S$199, $A96)),0))=TRUE,"","미국 확인 필요")))</f>
        <v/>
      </c>
      <c r="F96" s="2" t="s">
        <v>934</v>
      </c>
      <c r="G96" s="175">
        <v>153</v>
      </c>
      <c r="H96" s="9" t="str" cm="1">
        <f t="array" ref="H96">IFERROR(IF(F96="","",IF(ISNUMBER(MATCH(TRUE,ISNUMBER(SEARCH($Q$2:$Q$51, $F96)),0))=TRUE,"United States of America",INDEX($S$2:$S$199,MATCH(TRUE,ISNUMBER(SEARCH($S$2:$S$199, $F96)),0)))),"United States of America")</f>
        <v>India</v>
      </c>
      <c r="I96" s="9" t="str" cm="1">
        <f t="array" ref="I96">IF(F96="","",IF(ISNUMBER(MATCH(TRUE,ISNUMBER(SEARCH($Q$2:$Q$51, $F96)),0))=TRUE,"",IF(ISNUMBER(MATCH(TRUE,ISNUMBER(SEARCH($S$2:$S$199, $F96)),0))=TRUE,"","미국 확인 필요")))</f>
        <v/>
      </c>
      <c r="S96" s="46" t="s">
        <v>353</v>
      </c>
      <c r="T96" s="149">
        <f t="shared" si="7"/>
        <v>0</v>
      </c>
      <c r="U96" s="149" t="str">
        <f>IF(T96=0,"",RANK(T96,T:T,0)+COUNTIF(T$1:T95,T96))</f>
        <v/>
      </c>
      <c r="V96" s="46">
        <v>0</v>
      </c>
      <c r="W96" s="149">
        <f t="shared" si="8"/>
        <v>0</v>
      </c>
      <c r="X96" s="149" t="str">
        <f>IF(W96=0,"",RANK(W96,W:W,0)+COUNTIF(W$1:W95,W96))</f>
        <v/>
      </c>
      <c r="Y96" s="46">
        <v>0</v>
      </c>
    </row>
    <row r="97" spans="1:25">
      <c r="A97" s="2" t="s">
        <v>1094</v>
      </c>
      <c r="B97" s="175">
        <v>17</v>
      </c>
      <c r="C97" s="9" t="str" cm="1">
        <f t="array" ref="C97">IFERROR(IF(A97="","",IF(ISNUMBER(MATCH(TRUE,ISNUMBER(SEARCH($Q$2:$Q$51, $A97)),0))=TRUE,"United States of America",INDEX($S$2:$S$199,MATCH(TRUE,ISNUMBER(SEARCH($S$2:$S$199, $A97)),0)))),"United States of America")</f>
        <v>Argentina</v>
      </c>
      <c r="D97" s="9" t="str" cm="1">
        <f t="array" ref="D97">IF(A97="","",IF(ISNUMBER(MATCH(TRUE,ISNUMBER(SEARCH($Q$2:$Q$51, $A97)),0))=TRUE,"",IF(ISNUMBER(MATCH(TRUE,ISNUMBER(SEARCH($S$2:$S$199, $A97)),0))=TRUE,"","미국 확인 필요")))</f>
        <v/>
      </c>
      <c r="F97" s="2" t="s">
        <v>807</v>
      </c>
      <c r="G97" s="175">
        <v>151</v>
      </c>
      <c r="H97" s="9" t="str" cm="1">
        <f t="array" ref="H97">IFERROR(IF(F97="","",IF(ISNUMBER(MATCH(TRUE,ISNUMBER(SEARCH($Q$2:$Q$51, $F97)),0))=TRUE,"United States of America",INDEX($S$2:$S$199,MATCH(TRUE,ISNUMBER(SEARCH($S$2:$S$199, $F97)),0)))),"United States of America")</f>
        <v>India</v>
      </c>
      <c r="I97" s="9" t="str" cm="1">
        <f t="array" ref="I97">IF(F97="","",IF(ISNUMBER(MATCH(TRUE,ISNUMBER(SEARCH($Q$2:$Q$51, $F97)),0))=TRUE,"",IF(ISNUMBER(MATCH(TRUE,ISNUMBER(SEARCH($S$2:$S$199, $F97)),0))=TRUE,"","미국 확인 필요")))</f>
        <v/>
      </c>
      <c r="S97" s="46" t="s">
        <v>354</v>
      </c>
      <c r="T97" s="149">
        <f t="shared" si="7"/>
        <v>0</v>
      </c>
      <c r="U97" s="149" t="str">
        <f>IF(T97=0,"",RANK(T97,T:T,0)+COUNTIF(T$1:T96,T97))</f>
        <v/>
      </c>
      <c r="V97" s="46">
        <v>0</v>
      </c>
      <c r="W97" s="149">
        <f t="shared" si="8"/>
        <v>0</v>
      </c>
      <c r="X97" s="149" t="str">
        <f>IF(W97=0,"",RANK(W97,W:W,0)+COUNTIF(W$1:W96,W97))</f>
        <v/>
      </c>
      <c r="Y97" s="46">
        <v>0</v>
      </c>
    </row>
    <row r="98" spans="1:25">
      <c r="A98" s="2" t="s">
        <v>1095</v>
      </c>
      <c r="B98" s="175">
        <v>20</v>
      </c>
      <c r="C98" s="9" t="str" cm="1">
        <f t="array" ref="C98">IFERROR(IF(A98="","",IF(ISNUMBER(MATCH(TRUE,ISNUMBER(SEARCH($Q$2:$Q$51, $A98)),0))=TRUE,"United States of America",INDEX($S$2:$S$199,MATCH(TRUE,ISNUMBER(SEARCH($S$2:$S$199, $A98)),0)))),"United States of America")</f>
        <v>India</v>
      </c>
      <c r="D98" s="9" t="str" cm="1">
        <f t="array" ref="D98">IF(A98="","",IF(ISNUMBER(MATCH(TRUE,ISNUMBER(SEARCH($Q$2:$Q$51, $A98)),0))=TRUE,"",IF(ISNUMBER(MATCH(TRUE,ISNUMBER(SEARCH($S$2:$S$199, $A98)),0))=TRUE,"","미국 확인 필요")))</f>
        <v/>
      </c>
      <c r="F98" s="2" t="s">
        <v>982</v>
      </c>
      <c r="G98" s="175">
        <v>145</v>
      </c>
      <c r="H98" s="9" t="str" cm="1">
        <f t="array" ref="H98">IFERROR(IF(F98="","",IF(ISNUMBER(MATCH(TRUE,ISNUMBER(SEARCH($Q$2:$Q$51, $F98)),0))=TRUE,"United States of America",INDEX($S$2:$S$199,MATCH(TRUE,ISNUMBER(SEARCH($S$2:$S$199, $F98)),0)))),"United States of America")</f>
        <v>Korea</v>
      </c>
      <c r="I98" s="9" t="str" cm="1">
        <f t="array" ref="I98">IF(F98="","",IF(ISNUMBER(MATCH(TRUE,ISNUMBER(SEARCH($Q$2:$Q$51, $F98)),0))=TRUE,"",IF(ISNUMBER(MATCH(TRUE,ISNUMBER(SEARCH($S$2:$S$199, $F98)),0))=TRUE,"","미국 확인 필요")))</f>
        <v/>
      </c>
      <c r="S98" s="46" t="s">
        <v>257</v>
      </c>
      <c r="T98" s="149">
        <f t="shared" si="7"/>
        <v>0</v>
      </c>
      <c r="U98" s="149" t="str">
        <f>IF(T98=0,"",RANK(T98,T:T,0)+COUNTIF(T$1:T97,T98))</f>
        <v/>
      </c>
      <c r="V98" s="46">
        <v>0</v>
      </c>
      <c r="W98" s="149">
        <f t="shared" si="8"/>
        <v>0</v>
      </c>
      <c r="X98" s="149" t="str">
        <f>IF(W98=0,"",RANK(W98,W:W,0)+COUNTIF(W$1:W97,W98))</f>
        <v/>
      </c>
      <c r="Y98" s="46">
        <v>0</v>
      </c>
    </row>
    <row r="99" spans="1:25">
      <c r="A99" s="2" t="s">
        <v>802</v>
      </c>
      <c r="B99" s="175">
        <v>16</v>
      </c>
      <c r="C99" s="9" t="str" cm="1">
        <f t="array" ref="C99">IFERROR(IF(A99="","",IF(ISNUMBER(MATCH(TRUE,ISNUMBER(SEARCH($Q$2:$Q$51, $A99)),0))=TRUE,"United States of America",INDEX($S$2:$S$199,MATCH(TRUE,ISNUMBER(SEARCH($S$2:$S$199, $A99)),0)))),"United States of America")</f>
        <v>Vietnam</v>
      </c>
      <c r="D99" s="9" t="str" cm="1">
        <f t="array" ref="D99">IF(A99="","",IF(ISNUMBER(MATCH(TRUE,ISNUMBER(SEARCH($Q$2:$Q$51, $A99)),0))=TRUE,"",IF(ISNUMBER(MATCH(TRUE,ISNUMBER(SEARCH($S$2:$S$199, $A99)),0))=TRUE,"","미국 확인 필요")))</f>
        <v/>
      </c>
      <c r="F99" s="2" t="s">
        <v>803</v>
      </c>
      <c r="G99" s="175">
        <v>142</v>
      </c>
      <c r="H99" s="9" t="str" cm="1">
        <f t="array" ref="H99">IFERROR(IF(F99="","",IF(ISNUMBER(MATCH(TRUE,ISNUMBER(SEARCH($Q$2:$Q$51, $F99)),0))=TRUE,"United States of America",INDEX($S$2:$S$199,MATCH(TRUE,ISNUMBER(SEARCH($S$2:$S$199, $F99)),0)))),"United States of America")</f>
        <v>United States of America</v>
      </c>
      <c r="I99" s="9" t="str" cm="1">
        <f t="array" ref="I99">IF(F99="","",IF(ISNUMBER(MATCH(TRUE,ISNUMBER(SEARCH($Q$2:$Q$51, $F99)),0))=TRUE,"",IF(ISNUMBER(MATCH(TRUE,ISNUMBER(SEARCH($S$2:$S$199, $F99)),0))=TRUE,"","미국 확인 필요")))</f>
        <v/>
      </c>
      <c r="S99" s="46" t="s">
        <v>355</v>
      </c>
      <c r="T99" s="149">
        <f t="shared" si="7"/>
        <v>0</v>
      </c>
      <c r="U99" s="149" t="str">
        <f>IF(T99=0,"",RANK(T99,T:T,0)+COUNTIF(T$1:T98,T99))</f>
        <v/>
      </c>
      <c r="V99" s="46">
        <v>0</v>
      </c>
      <c r="W99" s="149">
        <f t="shared" si="8"/>
        <v>0</v>
      </c>
      <c r="X99" s="149" t="str">
        <f>IF(W99=0,"",RANK(W99,W:W,0)+COUNTIF(W$1:W98,W99))</f>
        <v/>
      </c>
      <c r="Y99" s="46">
        <v>0</v>
      </c>
    </row>
    <row r="100" spans="1:25">
      <c r="A100" s="2" t="s">
        <v>771</v>
      </c>
      <c r="B100" s="175">
        <v>18</v>
      </c>
      <c r="C100" s="9" t="str" cm="1">
        <f t="array" ref="C100">IFERROR(IF(A100="","",IF(ISNUMBER(MATCH(TRUE,ISNUMBER(SEARCH($Q$2:$Q$51, $A100)),0))=TRUE,"United States of America",INDEX($S$2:$S$199,MATCH(TRUE,ISNUMBER(SEARCH($S$2:$S$199, $A100)),0)))),"United States of America")</f>
        <v>Malaysia</v>
      </c>
      <c r="D100" s="9" t="str" cm="1">
        <f t="array" ref="D100">IF(A100="","",IF(ISNUMBER(MATCH(TRUE,ISNUMBER(SEARCH($Q$2:$Q$51, $A100)),0))=TRUE,"",IF(ISNUMBER(MATCH(TRUE,ISNUMBER(SEARCH($S$2:$S$199, $A100)),0))=TRUE,"","미국 확인 필요")))</f>
        <v/>
      </c>
      <c r="F100" s="2" t="s">
        <v>797</v>
      </c>
      <c r="G100" s="175">
        <v>142</v>
      </c>
      <c r="H100" s="9" t="str" cm="1">
        <f t="array" ref="H100">IFERROR(IF(F100="","",IF(ISNUMBER(MATCH(TRUE,ISNUMBER(SEARCH($Q$2:$Q$51, $F100)),0))=TRUE,"United States of America",INDEX($S$2:$S$199,MATCH(TRUE,ISNUMBER(SEARCH($S$2:$S$199, $F100)),0)))),"United States of America")</f>
        <v>Australia</v>
      </c>
      <c r="I100" s="9" t="str" cm="1">
        <f t="array" ref="I100">IF(F100="","",IF(ISNUMBER(MATCH(TRUE,ISNUMBER(SEARCH($Q$2:$Q$51, $F100)),0))=TRUE,"",IF(ISNUMBER(MATCH(TRUE,ISNUMBER(SEARCH($S$2:$S$199, $F100)),0))=TRUE,"","미국 확인 필요")))</f>
        <v/>
      </c>
      <c r="S100" s="46" t="s">
        <v>356</v>
      </c>
      <c r="T100" s="149">
        <f t="shared" si="7"/>
        <v>0</v>
      </c>
      <c r="U100" s="149" t="str">
        <f>IF(T100=0,"",RANK(T100,T:T,0)+COUNTIF(T$1:T99,T100))</f>
        <v/>
      </c>
      <c r="V100" s="46">
        <v>0</v>
      </c>
      <c r="W100" s="149">
        <f t="shared" si="8"/>
        <v>0</v>
      </c>
      <c r="X100" s="149" t="str">
        <f>IF(W100=0,"",RANK(W100,W:W,0)+COUNTIF(W$1:W99,W100))</f>
        <v/>
      </c>
      <c r="Y100" s="46">
        <v>0</v>
      </c>
    </row>
    <row r="101" spans="1:25">
      <c r="A101" s="2" t="s">
        <v>788</v>
      </c>
      <c r="B101" s="175">
        <v>66</v>
      </c>
      <c r="C101" s="9" t="str" cm="1">
        <f t="array" ref="C101">IFERROR(IF(A101="","",IF(ISNUMBER(MATCH(TRUE,ISNUMBER(SEARCH($Q$2:$Q$51, $A101)),0))=TRUE,"United States of America",INDEX($S$2:$S$199,MATCH(TRUE,ISNUMBER(SEARCH($S$2:$S$199, $A101)),0)))),"United States of America")</f>
        <v>United States of America</v>
      </c>
      <c r="D101" s="9" t="str" cm="1">
        <f t="array" ref="D101">IF(A101="","",IF(ISNUMBER(MATCH(TRUE,ISNUMBER(SEARCH($Q$2:$Q$51, $A101)),0))=TRUE,"",IF(ISNUMBER(MATCH(TRUE,ISNUMBER(SEARCH($S$2:$S$199, $A101)),0))=TRUE,"","미국 확인 필요")))</f>
        <v>미국 확인 필요</v>
      </c>
      <c r="F101" s="2" t="s">
        <v>942</v>
      </c>
      <c r="G101" s="175">
        <v>140</v>
      </c>
      <c r="H101" s="9" t="str" cm="1">
        <f t="array" ref="H101">IFERROR(IF(F101="","",IF(ISNUMBER(MATCH(TRUE,ISNUMBER(SEARCH($Q$2:$Q$51, $F101)),0))=TRUE,"United States of America",INDEX($S$2:$S$199,MATCH(TRUE,ISNUMBER(SEARCH($S$2:$S$199, $F101)),0)))),"United States of America")</f>
        <v>India</v>
      </c>
      <c r="I101" s="9" t="str" cm="1">
        <f t="array" ref="I101">IF(F101="","",IF(ISNUMBER(MATCH(TRUE,ISNUMBER(SEARCH($Q$2:$Q$51, $F101)),0))=TRUE,"",IF(ISNUMBER(MATCH(TRUE,ISNUMBER(SEARCH($S$2:$S$199, $F101)),0))=TRUE,"","미국 확인 필요")))</f>
        <v/>
      </c>
      <c r="S101" s="46" t="s">
        <v>357</v>
      </c>
      <c r="T101" s="149">
        <f t="shared" si="7"/>
        <v>0</v>
      </c>
      <c r="U101" s="149" t="str">
        <f>IF(T101=0,"",RANK(T101,T:T,0)+COUNTIF(T$1:T100,T101))</f>
        <v/>
      </c>
      <c r="V101" s="46">
        <v>0</v>
      </c>
      <c r="W101" s="149">
        <f t="shared" si="8"/>
        <v>0</v>
      </c>
      <c r="X101" s="149" t="str">
        <f>IF(W101=0,"",RANK(W101,W:W,0)+COUNTIF(W$1:W100,W101))</f>
        <v/>
      </c>
      <c r="Y101" s="46">
        <v>0</v>
      </c>
    </row>
    <row r="102" spans="1:25">
      <c r="A102" s="2" t="s">
        <v>1096</v>
      </c>
      <c r="B102" s="175">
        <v>14</v>
      </c>
      <c r="C102" s="9" t="str" cm="1">
        <f t="array" ref="C102">IFERROR(IF(A102="","",IF(ISNUMBER(MATCH(TRUE,ISNUMBER(SEARCH($Q$2:$Q$51, $A102)),0))=TRUE,"United States of America",INDEX($S$2:$S$199,MATCH(TRUE,ISNUMBER(SEARCH($S$2:$S$199, $A102)),0)))),"United States of America")</f>
        <v>United States of America</v>
      </c>
      <c r="D102" s="9" t="str" cm="1">
        <f t="array" ref="D102">IF(A102="","",IF(ISNUMBER(MATCH(TRUE,ISNUMBER(SEARCH($Q$2:$Q$51, $A102)),0))=TRUE,"",IF(ISNUMBER(MATCH(TRUE,ISNUMBER(SEARCH($S$2:$S$199, $A102)),0))=TRUE,"","미국 확인 필요")))</f>
        <v>미국 확인 필요</v>
      </c>
      <c r="H102" s="9" t="str" cm="1">
        <f t="array" ref="H102">IFERROR(IF(F102="","",IF(ISNUMBER(MATCH(TRUE,ISNUMBER(SEARCH($Q$2:$Q$51, $F102)),0))=TRUE,"United States of America",INDEX($S$2:$S$199,MATCH(TRUE,ISNUMBER(SEARCH($S$2:$S$199, $F102)),0)))),"United States of America")</f>
        <v/>
      </c>
      <c r="I102" s="9" t="str" cm="1">
        <f t="array" ref="I102">IF(F102="","",IF(ISNUMBER(MATCH(TRUE,ISNUMBER(SEARCH($Q$2:$Q$51, $F102)),0))=TRUE,"",IF(ISNUMBER(MATCH(TRUE,ISNUMBER(SEARCH($S$2:$S$199, $F102)),0))=TRUE,"","미국 확인 필요")))</f>
        <v/>
      </c>
      <c r="S102" s="46" t="s">
        <v>358</v>
      </c>
      <c r="T102" s="149">
        <f t="shared" si="7"/>
        <v>0</v>
      </c>
      <c r="U102" s="149" t="str">
        <f>IF(T102=0,"",RANK(T102,T:T,0)+COUNTIF(T$1:T101,T102))</f>
        <v/>
      </c>
      <c r="V102" s="46">
        <v>0</v>
      </c>
      <c r="W102" s="149">
        <f t="shared" si="8"/>
        <v>0</v>
      </c>
      <c r="X102" s="149" t="str">
        <f>IF(W102=0,"",RANK(W102,W:W,0)+COUNTIF(W$1:W101,W102))</f>
        <v/>
      </c>
      <c r="Y102" s="46">
        <v>0</v>
      </c>
    </row>
    <row r="103" spans="1:25">
      <c r="A103" s="2" t="s">
        <v>715</v>
      </c>
      <c r="B103" s="175">
        <v>78</v>
      </c>
      <c r="C103" s="9" t="str" cm="1">
        <f t="array" ref="C103">IFERROR(IF(A103="","",IF(ISNUMBER(MATCH(TRUE,ISNUMBER(SEARCH($Q$2:$Q$51, $A103)),0))=TRUE,"United States of America",INDEX($S$2:$S$199,MATCH(TRUE,ISNUMBER(SEARCH($S$2:$S$199, $A103)),0)))),"United States of America")</f>
        <v>China</v>
      </c>
      <c r="D103" s="9" t="str" cm="1">
        <f t="array" ref="D103">IF(A103="","",IF(ISNUMBER(MATCH(TRUE,ISNUMBER(SEARCH($Q$2:$Q$51, $A103)),0))=TRUE,"",IF(ISNUMBER(MATCH(TRUE,ISNUMBER(SEARCH($S$2:$S$199, $A103)),0))=TRUE,"","미국 확인 필요")))</f>
        <v/>
      </c>
      <c r="H103" s="9" t="str" cm="1">
        <f t="array" ref="H103">IFERROR(IF(F103="","",IF(ISNUMBER(MATCH(TRUE,ISNUMBER(SEARCH($Q$2:$Q$51, $F103)),0))=TRUE,"United States of America",INDEX($S$2:$S$199,MATCH(TRUE,ISNUMBER(SEARCH($S$2:$S$199, $F103)),0)))),"United States of America")</f>
        <v/>
      </c>
      <c r="I103" s="9" t="str" cm="1">
        <f t="array" ref="I103">IF(F103="","",IF(ISNUMBER(MATCH(TRUE,ISNUMBER(SEARCH($Q$2:$Q$51, $F103)),0))=TRUE,"",IF(ISNUMBER(MATCH(TRUE,ISNUMBER(SEARCH($S$2:$S$199, $F103)),0))=TRUE,"","미국 확인 필요")))</f>
        <v/>
      </c>
      <c r="S103" s="46" t="s">
        <v>359</v>
      </c>
      <c r="T103" s="149">
        <f t="shared" si="7"/>
        <v>0</v>
      </c>
      <c r="U103" s="149" t="str">
        <f>IF(T103=0,"",RANK(T103,T:T,0)+COUNTIF(T$1:T102,T103))</f>
        <v/>
      </c>
      <c r="V103" s="46">
        <v>0</v>
      </c>
      <c r="W103" s="149">
        <f t="shared" si="8"/>
        <v>0</v>
      </c>
      <c r="X103" s="149" t="str">
        <f>IF(W103=0,"",RANK(W103,W:W,0)+COUNTIF(W$1:W102,W103))</f>
        <v/>
      </c>
      <c r="Y103" s="46">
        <v>0</v>
      </c>
    </row>
    <row r="104" spans="1:25">
      <c r="A104" s="2" t="s">
        <v>717</v>
      </c>
      <c r="B104" s="175">
        <v>311</v>
      </c>
      <c r="C104" s="9" t="str" cm="1">
        <f t="array" ref="C104">IFERROR(IF(A104="","",IF(ISNUMBER(MATCH(TRUE,ISNUMBER(SEARCH($Q$2:$Q$51, $A104)),0))=TRUE,"United States of America",INDEX($S$2:$S$199,MATCH(TRUE,ISNUMBER(SEARCH($S$2:$S$199, $A104)),0)))),"United States of America")</f>
        <v>India</v>
      </c>
      <c r="D104" s="9" t="str" cm="1">
        <f t="array" ref="D104">IF(A104="","",IF(ISNUMBER(MATCH(TRUE,ISNUMBER(SEARCH($Q$2:$Q$51, $A104)),0))=TRUE,"",IF(ISNUMBER(MATCH(TRUE,ISNUMBER(SEARCH($S$2:$S$199, $A104)),0))=TRUE,"","미국 확인 필요")))</f>
        <v/>
      </c>
      <c r="H104" s="9" t="str" cm="1">
        <f t="array" ref="H104">IFERROR(IF(F104="","",IF(ISNUMBER(MATCH(TRUE,ISNUMBER(SEARCH($Q$2:$Q$51, $F104)),0))=TRUE,"United States of America",INDEX($S$2:$S$199,MATCH(TRUE,ISNUMBER(SEARCH($S$2:$S$199, $F104)),0)))),"United States of America")</f>
        <v/>
      </c>
      <c r="I104" s="9" t="str" cm="1">
        <f t="array" ref="I104">IF(F104="","",IF(ISNUMBER(MATCH(TRUE,ISNUMBER(SEARCH($Q$2:$Q$51, $F104)),0))=TRUE,"",IF(ISNUMBER(MATCH(TRUE,ISNUMBER(SEARCH($S$2:$S$199, $F104)),0))=TRUE,"","미국 확인 필요")))</f>
        <v/>
      </c>
      <c r="S104" s="46" t="s">
        <v>360</v>
      </c>
      <c r="T104" s="149">
        <f t="shared" si="7"/>
        <v>0</v>
      </c>
      <c r="U104" s="149" t="str">
        <f>IF(T104=0,"",RANK(T104,T:T,0)+COUNTIF(T$1:T103,T104))</f>
        <v/>
      </c>
      <c r="V104" s="46">
        <v>0</v>
      </c>
      <c r="W104" s="149">
        <f t="shared" si="8"/>
        <v>0</v>
      </c>
      <c r="X104" s="149" t="str">
        <f>IF(W104=0,"",RANK(W104,W:W,0)+COUNTIF(W$1:W103,W104))</f>
        <v/>
      </c>
      <c r="Y104" s="46">
        <v>0</v>
      </c>
    </row>
    <row r="105" spans="1:25">
      <c r="A105" s="2" t="s">
        <v>756</v>
      </c>
      <c r="B105" s="175">
        <v>173</v>
      </c>
      <c r="C105" s="9" t="str" cm="1">
        <f t="array" ref="C105">IFERROR(IF(A105="","",IF(ISNUMBER(MATCH(TRUE,ISNUMBER(SEARCH($Q$2:$Q$51, $A105)),0))=TRUE,"United States of America",INDEX($S$2:$S$199,MATCH(TRUE,ISNUMBER(SEARCH($S$2:$S$199, $A105)),0)))),"United States of America")</f>
        <v>Argentina</v>
      </c>
      <c r="D105" s="9" t="str" cm="1">
        <f t="array" ref="D105">IF(A105="","",IF(ISNUMBER(MATCH(TRUE,ISNUMBER(SEARCH($Q$2:$Q$51, $A105)),0))=TRUE,"",IF(ISNUMBER(MATCH(TRUE,ISNUMBER(SEARCH($S$2:$S$199, $A105)),0))=TRUE,"","미국 확인 필요")))</f>
        <v/>
      </c>
      <c r="H105" s="9" t="str" cm="1">
        <f t="array" ref="H105">IFERROR(IF(F105="","",IF(ISNUMBER(MATCH(TRUE,ISNUMBER(SEARCH($Q$2:$Q$51, $F105)),0))=TRUE,"United States of America",INDEX($S$2:$S$199,MATCH(TRUE,ISNUMBER(SEARCH($S$2:$S$199, $F105)),0)))),"United States of America")</f>
        <v/>
      </c>
      <c r="I105" s="9" t="str" cm="1">
        <f t="array" ref="I105">IF(F105="","",IF(ISNUMBER(MATCH(TRUE,ISNUMBER(SEARCH($Q$2:$Q$51, $F105)),0))=TRUE,"",IF(ISNUMBER(MATCH(TRUE,ISNUMBER(SEARCH($S$2:$S$199, $F105)),0))=TRUE,"","미국 확인 필요")))</f>
        <v/>
      </c>
      <c r="S105" s="46" t="s">
        <v>361</v>
      </c>
      <c r="T105" s="149">
        <f t="shared" si="7"/>
        <v>0</v>
      </c>
      <c r="U105" s="149" t="str">
        <f>IF(T105=0,"",RANK(T105,T:T,0)+COUNTIF(T$1:T104,T105))</f>
        <v/>
      </c>
      <c r="V105" s="46">
        <v>0</v>
      </c>
      <c r="W105" s="149">
        <f t="shared" si="8"/>
        <v>0</v>
      </c>
      <c r="X105" s="149" t="str">
        <f>IF(W105=0,"",RANK(W105,W:W,0)+COUNTIF(W$1:W104,W105))</f>
        <v/>
      </c>
      <c r="Y105" s="46">
        <v>0</v>
      </c>
    </row>
    <row r="106" spans="1:25">
      <c r="C106" s="9" t="str" cm="1">
        <f t="array" ref="C106">IFERROR(IF(A106="","",IF(ISNUMBER(MATCH(TRUE,ISNUMBER(SEARCH($Q$2:$Q$51, $A106)),0))=TRUE,"United States of America",INDEX($S$2:$S$199,MATCH(TRUE,ISNUMBER(SEARCH($S$2:$S$199, $A106)),0)))),"United States of America")</f>
        <v/>
      </c>
      <c r="D106" s="9" t="str" cm="1">
        <f t="array" ref="D106">IF(A106="","",IF(ISNUMBER(MATCH(TRUE,ISNUMBER(SEARCH($Q$2:$Q$51, $A106)),0))=TRUE,"",IF(ISNUMBER(MATCH(TRUE,ISNUMBER(SEARCH($S$2:$S$199, $A106)),0))=TRUE,"","미국 확인 필요")))</f>
        <v/>
      </c>
      <c r="H106" s="9" t="str" cm="1">
        <f t="array" ref="H106">IFERROR(IF(F106="","",IF(ISNUMBER(MATCH(TRUE,ISNUMBER(SEARCH($Q$2:$Q$51, $F106)),0))=TRUE,"United States of America",INDEX($S$2:$S$199,MATCH(TRUE,ISNUMBER(SEARCH($S$2:$S$199, $F106)),0)))),"United States of America")</f>
        <v/>
      </c>
      <c r="I106" s="9" t="str" cm="1">
        <f t="array" ref="I106">IF(F106="","",IF(ISNUMBER(MATCH(TRUE,ISNUMBER(SEARCH($Q$2:$Q$51, $F106)),0))=TRUE,"",IF(ISNUMBER(MATCH(TRUE,ISNUMBER(SEARCH($S$2:$S$199, $F106)),0))=TRUE,"","미국 확인 필요")))</f>
        <v/>
      </c>
      <c r="S106" s="46" t="s">
        <v>362</v>
      </c>
      <c r="T106" s="149">
        <f t="shared" si="7"/>
        <v>0</v>
      </c>
      <c r="U106" s="149" t="str">
        <f>IF(T106=0,"",RANK(T106,T:T,0)+COUNTIF(T$1:T105,T106))</f>
        <v/>
      </c>
      <c r="V106" s="46">
        <v>0</v>
      </c>
      <c r="W106" s="149">
        <f t="shared" si="8"/>
        <v>0</v>
      </c>
      <c r="X106" s="149" t="str">
        <f>IF(W106=0,"",RANK(W106,W:W,0)+COUNTIF(W$1:W105,W106))</f>
        <v/>
      </c>
      <c r="Y106" s="46">
        <v>0</v>
      </c>
    </row>
    <row r="107" spans="1:25">
      <c r="C107" s="9" t="str" cm="1">
        <f t="array" ref="C107">IFERROR(IF(A107="","",IF(ISNUMBER(MATCH(TRUE,ISNUMBER(SEARCH($Q$2:$Q$51, $A107)),0))=TRUE,"United States of America",INDEX($S$2:$S$199,MATCH(TRUE,ISNUMBER(SEARCH($S$2:$S$199, $A107)),0)))),"United States of America")</f>
        <v/>
      </c>
      <c r="D107" s="9" t="str" cm="1">
        <f t="array" ref="D107">IF(A107="","",IF(ISNUMBER(MATCH(TRUE,ISNUMBER(SEARCH($Q$2:$Q$51, $A107)),0))=TRUE,"",IF(ISNUMBER(MATCH(TRUE,ISNUMBER(SEARCH($S$2:$S$199, $A107)),0))=TRUE,"","미국 확인 필요")))</f>
        <v/>
      </c>
      <c r="H107" s="9" t="str" cm="1">
        <f t="array" ref="H107">IFERROR(IF(F107="","",IF(ISNUMBER(MATCH(TRUE,ISNUMBER(SEARCH($Q$2:$Q$51, $F107)),0))=TRUE,"United States of America",INDEX($S$2:$S$199,MATCH(TRUE,ISNUMBER(SEARCH($S$2:$S$199, $F107)),0)))),"United States of America")</f>
        <v/>
      </c>
      <c r="I107" s="9" t="str" cm="1">
        <f t="array" ref="I107">IF(F107="","",IF(ISNUMBER(MATCH(TRUE,ISNUMBER(SEARCH($Q$2:$Q$51, $F107)),0))=TRUE,"",IF(ISNUMBER(MATCH(TRUE,ISNUMBER(SEARCH($S$2:$S$199, $F107)),0))=TRUE,"","미국 확인 필요")))</f>
        <v/>
      </c>
      <c r="S107" s="46" t="s">
        <v>363</v>
      </c>
      <c r="T107" s="149">
        <f t="shared" si="7"/>
        <v>0</v>
      </c>
      <c r="U107" s="149" t="str">
        <f>IF(T107=0,"",RANK(T107,T:T,0)+COUNTIF(T$1:T106,T107))</f>
        <v/>
      </c>
      <c r="V107" s="46">
        <v>0</v>
      </c>
      <c r="W107" s="149">
        <f t="shared" si="8"/>
        <v>0</v>
      </c>
      <c r="X107" s="149" t="str">
        <f>IF(W107=0,"",RANK(W107,W:W,0)+COUNTIF(W$1:W106,W107))</f>
        <v/>
      </c>
      <c r="Y107" s="46">
        <v>0</v>
      </c>
    </row>
    <row r="108" spans="1:25">
      <c r="C108" s="9" t="str" cm="1">
        <f t="array" ref="C108">IFERROR(IF(A108="","",IF(ISNUMBER(MATCH(TRUE,ISNUMBER(SEARCH($Q$2:$Q$51, $A108)),0))=TRUE,"United States of America",INDEX($S$2:$S$199,MATCH(TRUE,ISNUMBER(SEARCH($S$2:$S$199, $A108)),0)))),"United States of America")</f>
        <v/>
      </c>
      <c r="D108" s="9" t="str" cm="1">
        <f t="array" ref="D108">IF(A108="","",IF(ISNUMBER(MATCH(TRUE,ISNUMBER(SEARCH($Q$2:$Q$51, $A108)),0))=TRUE,"",IF(ISNUMBER(MATCH(TRUE,ISNUMBER(SEARCH($S$2:$S$199, $A108)),0))=TRUE,"","미국 확인 필요")))</f>
        <v/>
      </c>
      <c r="H108" s="9" t="str" cm="1">
        <f t="array" ref="H108">IFERROR(IF(F108="","",IF(ISNUMBER(MATCH(TRUE,ISNUMBER(SEARCH($Q$2:$Q$51, $F108)),0))=TRUE,"United States of America",INDEX($S$2:$S$199,MATCH(TRUE,ISNUMBER(SEARCH($S$2:$S$199, $F108)),0)))),"United States of America")</f>
        <v/>
      </c>
      <c r="I108" s="9" t="str" cm="1">
        <f t="array" ref="I108">IF(F108="","",IF(ISNUMBER(MATCH(TRUE,ISNUMBER(SEARCH($Q$2:$Q$51, $F108)),0))=TRUE,"",IF(ISNUMBER(MATCH(TRUE,ISNUMBER(SEARCH($S$2:$S$199, $F108)),0))=TRUE,"","미국 확인 필요")))</f>
        <v/>
      </c>
      <c r="S108" s="46" t="s">
        <v>364</v>
      </c>
      <c r="T108" s="149">
        <f t="shared" si="7"/>
        <v>0</v>
      </c>
      <c r="U108" s="149" t="str">
        <f>IF(T108=0,"",RANK(T108,T:T,0)+COUNTIF(T$1:T107,T108))</f>
        <v/>
      </c>
      <c r="V108" s="46">
        <v>0</v>
      </c>
      <c r="W108" s="149">
        <f t="shared" si="8"/>
        <v>0</v>
      </c>
      <c r="X108" s="149" t="str">
        <f>IF(W108=0,"",RANK(W108,W:W,0)+COUNTIF(W$1:W107,W108))</f>
        <v/>
      </c>
      <c r="Y108" s="46">
        <v>0</v>
      </c>
    </row>
    <row r="109" spans="1:25">
      <c r="C109" s="9" t="str" cm="1">
        <f t="array" ref="C109">IFERROR(IF(A109="","",IF(ISNUMBER(MATCH(TRUE,ISNUMBER(SEARCH($Q$2:$Q$51, $A109)),0))=TRUE,"United States of America",INDEX($S$2:$S$199,MATCH(TRUE,ISNUMBER(SEARCH($S$2:$S$199, $A109)),0)))),"United States of America")</f>
        <v/>
      </c>
      <c r="D109" s="9" t="str" cm="1">
        <f t="array" ref="D109">IF(A109="","",IF(ISNUMBER(MATCH(TRUE,ISNUMBER(SEARCH($Q$2:$Q$51, $A109)),0))=TRUE,"",IF(ISNUMBER(MATCH(TRUE,ISNUMBER(SEARCH($S$2:$S$199, $A109)),0))=TRUE,"","미국 확인 필요")))</f>
        <v/>
      </c>
      <c r="H109" s="9" t="str" cm="1">
        <f t="array" ref="H109">IFERROR(IF(F109="","",IF(ISNUMBER(MATCH(TRUE,ISNUMBER(SEARCH($Q$2:$Q$51, $F109)),0))=TRUE,"United States of America",INDEX($S$2:$S$199,MATCH(TRUE,ISNUMBER(SEARCH($S$2:$S$199, $F109)),0)))),"United States of America")</f>
        <v/>
      </c>
      <c r="I109" s="9" t="str" cm="1">
        <f t="array" ref="I109">IF(F109="","",IF(ISNUMBER(MATCH(TRUE,ISNUMBER(SEARCH($Q$2:$Q$51, $F109)),0))=TRUE,"",IF(ISNUMBER(MATCH(TRUE,ISNUMBER(SEARCH($S$2:$S$199, $F109)),0))=TRUE,"","미국 확인 필요")))</f>
        <v/>
      </c>
      <c r="S109" s="46" t="s">
        <v>365</v>
      </c>
      <c r="T109" s="149">
        <f t="shared" si="7"/>
        <v>0</v>
      </c>
      <c r="U109" s="149" t="str">
        <f>IF(T109=0,"",RANK(T109,T:T,0)+COUNTIF(T$1:T108,T109))</f>
        <v/>
      </c>
      <c r="V109" s="46">
        <v>0</v>
      </c>
      <c r="W109" s="149">
        <f t="shared" si="8"/>
        <v>0</v>
      </c>
      <c r="X109" s="149" t="str">
        <f>IF(W109=0,"",RANK(W109,W:W,0)+COUNTIF(W$1:W108,W109))</f>
        <v/>
      </c>
      <c r="Y109" s="46">
        <v>0</v>
      </c>
    </row>
    <row r="110" spans="1:25">
      <c r="C110" s="9" t="str" cm="1">
        <f t="array" ref="C110">IFERROR(IF(A110="","",IF(ISNUMBER(MATCH(TRUE,ISNUMBER(SEARCH($Q$2:$Q$51, $A110)),0))=TRUE,"United States of America",INDEX($S$2:$S$199,MATCH(TRUE,ISNUMBER(SEARCH($S$2:$S$199, $A110)),0)))),"United States of America")</f>
        <v/>
      </c>
      <c r="D110" s="9" t="str" cm="1">
        <f t="array" ref="D110">IF(A110="","",IF(ISNUMBER(MATCH(TRUE,ISNUMBER(SEARCH($Q$2:$Q$51, $A110)),0))=TRUE,"",IF(ISNUMBER(MATCH(TRUE,ISNUMBER(SEARCH($S$2:$S$199, $A110)),0))=TRUE,"","미국 확인 필요")))</f>
        <v/>
      </c>
      <c r="H110" s="9" t="str" cm="1">
        <f t="array" ref="H110">IFERROR(IF(F110="","",IF(ISNUMBER(MATCH(TRUE,ISNUMBER(SEARCH($Q$2:$Q$51, $F110)),0))=TRUE,"United States of America",INDEX($S$2:$S$199,MATCH(TRUE,ISNUMBER(SEARCH($S$2:$S$199, $F110)),0)))),"United States of America")</f>
        <v/>
      </c>
      <c r="I110" s="9" t="str" cm="1">
        <f t="array" ref="I110">IF(F110="","",IF(ISNUMBER(MATCH(TRUE,ISNUMBER(SEARCH($Q$2:$Q$51, $F110)),0))=TRUE,"",IF(ISNUMBER(MATCH(TRUE,ISNUMBER(SEARCH($S$2:$S$199, $F110)),0))=TRUE,"","미국 확인 필요")))</f>
        <v/>
      </c>
      <c r="S110" s="46" t="s">
        <v>366</v>
      </c>
      <c r="T110" s="149">
        <f t="shared" si="7"/>
        <v>0</v>
      </c>
      <c r="U110" s="149" t="str">
        <f>IF(T110=0,"",RANK(T110,T:T,0)+COUNTIF(T$1:T109,T110))</f>
        <v/>
      </c>
      <c r="V110" s="46">
        <v>0</v>
      </c>
      <c r="W110" s="149">
        <f t="shared" si="8"/>
        <v>0</v>
      </c>
      <c r="X110" s="149" t="str">
        <f>IF(W110=0,"",RANK(W110,W:W,0)+COUNTIF(W$1:W109,W110))</f>
        <v/>
      </c>
      <c r="Y110" s="46">
        <v>0</v>
      </c>
    </row>
    <row r="111" spans="1:25">
      <c r="C111" s="9" t="str" cm="1">
        <f t="array" ref="C111">IFERROR(IF(A111="","",IF(ISNUMBER(MATCH(TRUE,ISNUMBER(SEARCH($Q$2:$Q$51, $A111)),0))=TRUE,"United States of America",INDEX($S$2:$S$199,MATCH(TRUE,ISNUMBER(SEARCH($S$2:$S$199, $A111)),0)))),"United States of America")</f>
        <v/>
      </c>
      <c r="D111" s="9" t="str" cm="1">
        <f t="array" ref="D111">IF(A111="","",IF(ISNUMBER(MATCH(TRUE,ISNUMBER(SEARCH($Q$2:$Q$51, $A111)),0))=TRUE,"",IF(ISNUMBER(MATCH(TRUE,ISNUMBER(SEARCH($S$2:$S$199, $A111)),0))=TRUE,"","미국 확인 필요")))</f>
        <v/>
      </c>
      <c r="H111" s="9" t="str" cm="1">
        <f t="array" ref="H111">IFERROR(IF(F111="","",IF(ISNUMBER(MATCH(TRUE,ISNUMBER(SEARCH($Q$2:$Q$51, $F111)),0))=TRUE,"United States of America",INDEX($S$2:$S$199,MATCH(TRUE,ISNUMBER(SEARCH($S$2:$S$199, $F111)),0)))),"United States of America")</f>
        <v/>
      </c>
      <c r="I111" s="9" t="str" cm="1">
        <f t="array" ref="I111">IF(F111="","",IF(ISNUMBER(MATCH(TRUE,ISNUMBER(SEARCH($Q$2:$Q$51, $F111)),0))=TRUE,"",IF(ISNUMBER(MATCH(TRUE,ISNUMBER(SEARCH($S$2:$S$199, $F111)),0))=TRUE,"","미국 확인 필요")))</f>
        <v/>
      </c>
      <c r="S111" s="46" t="s">
        <v>367</v>
      </c>
      <c r="T111" s="149">
        <f t="shared" si="7"/>
        <v>0</v>
      </c>
      <c r="U111" s="149" t="str">
        <f>IF(T111=0,"",RANK(T111,T:T,0)+COUNTIF(T$1:T110,T111))</f>
        <v/>
      </c>
      <c r="V111" s="46">
        <v>0</v>
      </c>
      <c r="W111" s="149">
        <f t="shared" si="8"/>
        <v>0</v>
      </c>
      <c r="X111" s="149" t="str">
        <f>IF(W111=0,"",RANK(W111,W:W,0)+COUNTIF(W$1:W110,W111))</f>
        <v/>
      </c>
      <c r="Y111" s="46">
        <v>0</v>
      </c>
    </row>
    <row r="112" spans="1:25">
      <c r="C112" s="9" t="str" cm="1">
        <f t="array" ref="C112">IFERROR(IF(A112="","",IF(ISNUMBER(MATCH(TRUE,ISNUMBER(SEARCH($Q$2:$Q$51, $A112)),0))=TRUE,"United States of America",INDEX($S$2:$S$199,MATCH(TRUE,ISNUMBER(SEARCH($S$2:$S$199, $A112)),0)))),"United States of America")</f>
        <v/>
      </c>
      <c r="D112" s="9" t="str" cm="1">
        <f t="array" ref="D112">IF(A112="","",IF(ISNUMBER(MATCH(TRUE,ISNUMBER(SEARCH($Q$2:$Q$51, $A112)),0))=TRUE,"",IF(ISNUMBER(MATCH(TRUE,ISNUMBER(SEARCH($S$2:$S$199, $A112)),0))=TRUE,"","미국 확인 필요")))</f>
        <v/>
      </c>
      <c r="H112" s="9" t="str" cm="1">
        <f t="array" ref="H112">IFERROR(IF(F112="","",IF(ISNUMBER(MATCH(TRUE,ISNUMBER(SEARCH($Q$2:$Q$51, $F112)),0))=TRUE,"United States of America",INDEX($S$2:$S$199,MATCH(TRUE,ISNUMBER(SEARCH($S$2:$S$199, $F112)),0)))),"United States of America")</f>
        <v/>
      </c>
      <c r="I112" s="9" t="str" cm="1">
        <f t="array" ref="I112">IF(F112="","",IF(ISNUMBER(MATCH(TRUE,ISNUMBER(SEARCH($Q$2:$Q$51, $F112)),0))=TRUE,"",IF(ISNUMBER(MATCH(TRUE,ISNUMBER(SEARCH($S$2:$S$199, $F112)),0))=TRUE,"","미국 확인 필요")))</f>
        <v/>
      </c>
      <c r="S112" s="46" t="s">
        <v>368</v>
      </c>
      <c r="T112" s="149">
        <f t="shared" si="7"/>
        <v>0</v>
      </c>
      <c r="U112" s="149" t="str">
        <f>IF(T112=0,"",RANK(T112,T:T,0)+COUNTIF(T$1:T111,T112))</f>
        <v/>
      </c>
      <c r="V112" s="46">
        <v>0</v>
      </c>
      <c r="W112" s="149">
        <f t="shared" si="8"/>
        <v>0</v>
      </c>
      <c r="X112" s="149" t="str">
        <f>IF(W112=0,"",RANK(W112,W:W,0)+COUNTIF(W$1:W111,W112))</f>
        <v/>
      </c>
      <c r="Y112" s="46">
        <v>0</v>
      </c>
    </row>
    <row r="113" spans="3:25">
      <c r="C113" s="9" t="str" cm="1">
        <f t="array" ref="C113">IFERROR(IF(A113="","",IF(ISNUMBER(MATCH(TRUE,ISNUMBER(SEARCH($Q$2:$Q$51, $A113)),0))=TRUE,"United States of America",INDEX($S$2:$S$199,MATCH(TRUE,ISNUMBER(SEARCH($S$2:$S$199, $A113)),0)))),"United States of America")</f>
        <v/>
      </c>
      <c r="D113" s="9" t="str" cm="1">
        <f t="array" ref="D113">IF(A113="","",IF(ISNUMBER(MATCH(TRUE,ISNUMBER(SEARCH($Q$2:$Q$51, $A113)),0))=TRUE,"",IF(ISNUMBER(MATCH(TRUE,ISNUMBER(SEARCH($S$2:$S$199, $A113)),0))=TRUE,"","미국 확인 필요")))</f>
        <v/>
      </c>
      <c r="H113" s="9" t="str" cm="1">
        <f t="array" ref="H113">IFERROR(IF(F113="","",IF(ISNUMBER(MATCH(TRUE,ISNUMBER(SEARCH($Q$2:$Q$51, $F113)),0))=TRUE,"United States of America",INDEX($S$2:$S$199,MATCH(TRUE,ISNUMBER(SEARCH($S$2:$S$199, $F113)),0)))),"United States of America")</f>
        <v/>
      </c>
      <c r="I113" s="9" t="str" cm="1">
        <f t="array" ref="I113">IF(F113="","",IF(ISNUMBER(MATCH(TRUE,ISNUMBER(SEARCH($Q$2:$Q$51, $F113)),0))=TRUE,"",IF(ISNUMBER(MATCH(TRUE,ISNUMBER(SEARCH($S$2:$S$199, $F113)),0))=TRUE,"","미국 확인 필요")))</f>
        <v/>
      </c>
      <c r="S113" s="46" t="s">
        <v>369</v>
      </c>
      <c r="T113" s="149">
        <f t="shared" si="7"/>
        <v>0</v>
      </c>
      <c r="U113" s="149" t="str">
        <f>IF(T113=0,"",RANK(T113,T:T,0)+COUNTIF(T$1:T112,T113))</f>
        <v/>
      </c>
      <c r="V113" s="46">
        <v>0</v>
      </c>
      <c r="W113" s="149">
        <f t="shared" si="8"/>
        <v>0</v>
      </c>
      <c r="X113" s="149" t="str">
        <f>IF(W113=0,"",RANK(W113,W:W,0)+COUNTIF(W$1:W112,W113))</f>
        <v/>
      </c>
      <c r="Y113" s="46">
        <v>0</v>
      </c>
    </row>
    <row r="114" spans="3:25">
      <c r="C114" s="9" t="str" cm="1">
        <f t="array" ref="C114">IFERROR(IF(A114="","",IF(ISNUMBER(MATCH(TRUE,ISNUMBER(SEARCH($Q$2:$Q$51, $A114)),0))=TRUE,"United States of America",INDEX($S$2:$S$199,MATCH(TRUE,ISNUMBER(SEARCH($S$2:$S$199, $A114)),0)))),"United States of America")</f>
        <v/>
      </c>
      <c r="D114" s="9" t="str" cm="1">
        <f t="array" ref="D114">IF(A114="","",IF(ISNUMBER(MATCH(TRUE,ISNUMBER(SEARCH($Q$2:$Q$51, $A114)),0))=TRUE,"",IF(ISNUMBER(MATCH(TRUE,ISNUMBER(SEARCH($S$2:$S$199, $A114)),0))=TRUE,"","미국 확인 필요")))</f>
        <v/>
      </c>
      <c r="H114" s="9" t="str" cm="1">
        <f t="array" ref="H114">IFERROR(IF(F114="","",IF(ISNUMBER(MATCH(TRUE,ISNUMBER(SEARCH($Q$2:$Q$51, $F114)),0))=TRUE,"United States of America",INDEX($S$2:$S$199,MATCH(TRUE,ISNUMBER(SEARCH($S$2:$S$199, $F114)),0)))),"United States of America")</f>
        <v/>
      </c>
      <c r="I114" s="9" t="str" cm="1">
        <f t="array" ref="I114">IF(F114="","",IF(ISNUMBER(MATCH(TRUE,ISNUMBER(SEARCH($Q$2:$Q$51, $F114)),0))=TRUE,"",IF(ISNUMBER(MATCH(TRUE,ISNUMBER(SEARCH($S$2:$S$199, $F114)),0))=TRUE,"","미국 확인 필요")))</f>
        <v/>
      </c>
      <c r="S114" s="46" t="s">
        <v>370</v>
      </c>
      <c r="T114" s="149">
        <f t="shared" si="7"/>
        <v>0</v>
      </c>
      <c r="U114" s="149" t="str">
        <f>IF(T114=0,"",RANK(T114,T:T,0)+COUNTIF(T$1:T113,T114))</f>
        <v/>
      </c>
      <c r="V114" s="46">
        <v>0</v>
      </c>
      <c r="W114" s="149">
        <f t="shared" si="8"/>
        <v>0</v>
      </c>
      <c r="X114" s="149" t="str">
        <f>IF(W114=0,"",RANK(W114,W:W,0)+COUNTIF(W$1:W113,W114))</f>
        <v/>
      </c>
      <c r="Y114" s="46">
        <v>0</v>
      </c>
    </row>
    <row r="115" spans="3:25">
      <c r="C115" s="9" t="str" cm="1">
        <f t="array" ref="C115">IFERROR(IF(A115="","",IF(ISNUMBER(MATCH(TRUE,ISNUMBER(SEARCH($Q$2:$Q$51, $A115)),0))=TRUE,"United States of America",INDEX($S$2:$S$199,MATCH(TRUE,ISNUMBER(SEARCH($S$2:$S$199, $A115)),0)))),"United States of America")</f>
        <v/>
      </c>
      <c r="D115" s="9" t="str" cm="1">
        <f t="array" ref="D115">IF(A115="","",IF(ISNUMBER(MATCH(TRUE,ISNUMBER(SEARCH($Q$2:$Q$51, $A115)),0))=TRUE,"",IF(ISNUMBER(MATCH(TRUE,ISNUMBER(SEARCH($S$2:$S$199, $A115)),0))=TRUE,"","미국 확인 필요")))</f>
        <v/>
      </c>
      <c r="H115" s="9" t="str" cm="1">
        <f t="array" ref="H115">IFERROR(IF(F115="","",IF(ISNUMBER(MATCH(TRUE,ISNUMBER(SEARCH($Q$2:$Q$51, $F115)),0))=TRUE,"United States of America",INDEX($S$2:$S$199,MATCH(TRUE,ISNUMBER(SEARCH($S$2:$S$199, $F115)),0)))),"United States of America")</f>
        <v/>
      </c>
      <c r="I115" s="9" t="str" cm="1">
        <f t="array" ref="I115">IF(F115="","",IF(ISNUMBER(MATCH(TRUE,ISNUMBER(SEARCH($Q$2:$Q$51, $F115)),0))=TRUE,"",IF(ISNUMBER(MATCH(TRUE,ISNUMBER(SEARCH($S$2:$S$199, $F115)),0))=TRUE,"","미국 확인 필요")))</f>
        <v/>
      </c>
      <c r="S115" s="46" t="s">
        <v>371</v>
      </c>
      <c r="T115" s="149">
        <f t="shared" si="7"/>
        <v>0</v>
      </c>
      <c r="U115" s="149" t="str">
        <f>IF(T115=0,"",RANK(T115,T:T,0)+COUNTIF(T$1:T114,T115))</f>
        <v/>
      </c>
      <c r="V115" s="46">
        <v>0</v>
      </c>
      <c r="W115" s="149">
        <f t="shared" si="8"/>
        <v>0</v>
      </c>
      <c r="X115" s="149" t="str">
        <f>IF(W115=0,"",RANK(W115,W:W,0)+COUNTIF(W$1:W114,W115))</f>
        <v/>
      </c>
      <c r="Y115" s="46">
        <v>0</v>
      </c>
    </row>
    <row r="116" spans="3:25">
      <c r="C116" s="9" t="str" cm="1">
        <f t="array" ref="C116">IFERROR(IF(A116="","",IF(ISNUMBER(MATCH(TRUE,ISNUMBER(SEARCH($Q$2:$Q$51, $A116)),0))=TRUE,"United States of America",INDEX($S$2:$S$199,MATCH(TRUE,ISNUMBER(SEARCH($S$2:$S$199, $A116)),0)))),"United States of America")</f>
        <v/>
      </c>
      <c r="D116" s="9" t="str" cm="1">
        <f t="array" ref="D116">IF(A116="","",IF(ISNUMBER(MATCH(TRUE,ISNUMBER(SEARCH($Q$2:$Q$51, $A116)),0))=TRUE,"",IF(ISNUMBER(MATCH(TRUE,ISNUMBER(SEARCH($S$2:$S$199, $A116)),0))=TRUE,"","미국 확인 필요")))</f>
        <v/>
      </c>
      <c r="H116" s="9" t="str" cm="1">
        <f t="array" ref="H116">IFERROR(IF(F116="","",IF(ISNUMBER(MATCH(TRUE,ISNUMBER(SEARCH($Q$2:$Q$51, $F116)),0))=TRUE,"United States of America",INDEX($S$2:$S$199,MATCH(TRUE,ISNUMBER(SEARCH($S$2:$S$199, $F116)),0)))),"United States of America")</f>
        <v/>
      </c>
      <c r="I116" s="9" t="str" cm="1">
        <f t="array" ref="I116">IF(F116="","",IF(ISNUMBER(MATCH(TRUE,ISNUMBER(SEARCH($Q$2:$Q$51, $F116)),0))=TRUE,"",IF(ISNUMBER(MATCH(TRUE,ISNUMBER(SEARCH($S$2:$S$199, $F116)),0))=TRUE,"","미국 확인 필요")))</f>
        <v/>
      </c>
      <c r="S116" s="46" t="s">
        <v>372</v>
      </c>
      <c r="T116" s="149">
        <f t="shared" si="7"/>
        <v>0</v>
      </c>
      <c r="U116" s="149" t="str">
        <f>IF(T116=0,"",RANK(T116,T:T,0)+COUNTIF(T$1:T115,T116))</f>
        <v/>
      </c>
      <c r="V116" s="46">
        <v>0</v>
      </c>
      <c r="W116" s="149">
        <f t="shared" si="8"/>
        <v>0</v>
      </c>
      <c r="X116" s="149" t="str">
        <f>IF(W116=0,"",RANK(W116,W:W,0)+COUNTIF(W$1:W115,W116))</f>
        <v/>
      </c>
      <c r="Y116" s="46">
        <v>0</v>
      </c>
    </row>
    <row r="117" spans="3:25">
      <c r="C117" s="9" t="str" cm="1">
        <f t="array" ref="C117">IFERROR(IF(A117="","",IF(ISNUMBER(MATCH(TRUE,ISNUMBER(SEARCH($Q$2:$Q$51, $A117)),0))=TRUE,"United States of America",INDEX($S$2:$S$199,MATCH(TRUE,ISNUMBER(SEARCH($S$2:$S$199, $A117)),0)))),"United States of America")</f>
        <v/>
      </c>
      <c r="D117" s="9" t="str" cm="1">
        <f t="array" ref="D117">IF(A117="","",IF(ISNUMBER(MATCH(TRUE,ISNUMBER(SEARCH($Q$2:$Q$51, $A117)),0))=TRUE,"",IF(ISNUMBER(MATCH(TRUE,ISNUMBER(SEARCH($S$2:$S$199, $A117)),0))=TRUE,"","미국 확인 필요")))</f>
        <v/>
      </c>
      <c r="H117" s="9" t="str" cm="1">
        <f t="array" ref="H117">IFERROR(IF(F117="","",IF(ISNUMBER(MATCH(TRUE,ISNUMBER(SEARCH($Q$2:$Q$51, $F117)),0))=TRUE,"United States of America",INDEX($S$2:$S$199,MATCH(TRUE,ISNUMBER(SEARCH($S$2:$S$199, $F117)),0)))),"United States of America")</f>
        <v/>
      </c>
      <c r="I117" s="9" t="str" cm="1">
        <f t="array" ref="I117">IF(F117="","",IF(ISNUMBER(MATCH(TRUE,ISNUMBER(SEARCH($Q$2:$Q$51, $F117)),0))=TRUE,"",IF(ISNUMBER(MATCH(TRUE,ISNUMBER(SEARCH($S$2:$S$199, $F117)),0))=TRUE,"","미국 확인 필요")))</f>
        <v/>
      </c>
      <c r="S117" s="46" t="s">
        <v>373</v>
      </c>
      <c r="T117" s="149">
        <f t="shared" si="7"/>
        <v>0</v>
      </c>
      <c r="U117" s="149" t="str">
        <f>IF(T117=0,"",RANK(T117,T:T,0)+COUNTIF(T$1:T116,T117))</f>
        <v/>
      </c>
      <c r="V117" s="46">
        <v>0</v>
      </c>
      <c r="W117" s="149">
        <f t="shared" si="8"/>
        <v>0</v>
      </c>
      <c r="X117" s="149" t="str">
        <f>IF(W117=0,"",RANK(W117,W:W,0)+COUNTIF(W$1:W116,W117))</f>
        <v/>
      </c>
      <c r="Y117" s="46">
        <v>0</v>
      </c>
    </row>
    <row r="118" spans="3:25">
      <c r="C118" s="9" t="str" cm="1">
        <f t="array" ref="C118">IFERROR(IF(A118="","",IF(ISNUMBER(MATCH(TRUE,ISNUMBER(SEARCH($Q$2:$Q$51, $A118)),0))=TRUE,"United States of America",INDEX($S$2:$S$199,MATCH(TRUE,ISNUMBER(SEARCH($S$2:$S$199, $A118)),0)))),"United States of America")</f>
        <v/>
      </c>
      <c r="D118" s="9" t="str" cm="1">
        <f t="array" ref="D118">IF(A118="","",IF(ISNUMBER(MATCH(TRUE,ISNUMBER(SEARCH($Q$2:$Q$51, $A118)),0))=TRUE,"",IF(ISNUMBER(MATCH(TRUE,ISNUMBER(SEARCH($S$2:$S$199, $A118)),0))=TRUE,"","미국 확인 필요")))</f>
        <v/>
      </c>
      <c r="H118" s="9" t="str" cm="1">
        <f t="array" ref="H118">IFERROR(IF(F118="","",IF(ISNUMBER(MATCH(TRUE,ISNUMBER(SEARCH($Q$2:$Q$51, $F118)),0))=TRUE,"United States of America",INDEX($S$2:$S$199,MATCH(TRUE,ISNUMBER(SEARCH($S$2:$S$199, $F118)),0)))),"United States of America")</f>
        <v/>
      </c>
      <c r="I118" s="9" t="str" cm="1">
        <f t="array" ref="I118">IF(F118="","",IF(ISNUMBER(MATCH(TRUE,ISNUMBER(SEARCH($Q$2:$Q$51, $F118)),0))=TRUE,"",IF(ISNUMBER(MATCH(TRUE,ISNUMBER(SEARCH($S$2:$S$199, $F118)),0))=TRUE,"","미국 확인 필요")))</f>
        <v/>
      </c>
      <c r="S118" s="46" t="s">
        <v>374</v>
      </c>
      <c r="T118" s="149">
        <f t="shared" si="7"/>
        <v>0</v>
      </c>
      <c r="U118" s="149" t="str">
        <f>IF(T118=0,"",RANK(T118,T:T,0)+COUNTIF(T$1:T117,T118))</f>
        <v/>
      </c>
      <c r="V118" s="46">
        <v>0</v>
      </c>
      <c r="W118" s="149">
        <f t="shared" si="8"/>
        <v>0</v>
      </c>
      <c r="X118" s="149" t="str">
        <f>IF(W118=0,"",RANK(W118,W:W,0)+COUNTIF(W$1:W117,W118))</f>
        <v/>
      </c>
      <c r="Y118" s="46">
        <v>0</v>
      </c>
    </row>
    <row r="119" spans="3:25">
      <c r="C119" s="9" t="str" cm="1">
        <f t="array" ref="C119">IFERROR(IF(A119="","",IF(ISNUMBER(MATCH(TRUE,ISNUMBER(SEARCH($Q$2:$Q$51, $A119)),0))=TRUE,"United States of America",INDEX($S$2:$S$199,MATCH(TRUE,ISNUMBER(SEARCH($S$2:$S$199, $A119)),0)))),"United States of America")</f>
        <v/>
      </c>
      <c r="D119" s="9" t="str" cm="1">
        <f t="array" ref="D119">IF(A119="","",IF(ISNUMBER(MATCH(TRUE,ISNUMBER(SEARCH($Q$2:$Q$51, $A119)),0))=TRUE,"",IF(ISNUMBER(MATCH(TRUE,ISNUMBER(SEARCH($S$2:$S$199, $A119)),0))=TRUE,"","미국 확인 필요")))</f>
        <v/>
      </c>
      <c r="H119" s="9" t="str" cm="1">
        <f t="array" ref="H119">IFERROR(IF(F119="","",IF(ISNUMBER(MATCH(TRUE,ISNUMBER(SEARCH($Q$2:$Q$51, $F119)),0))=TRUE,"United States of America",INDEX($S$2:$S$199,MATCH(TRUE,ISNUMBER(SEARCH($S$2:$S$199, $F119)),0)))),"United States of America")</f>
        <v/>
      </c>
      <c r="I119" s="9" t="str" cm="1">
        <f t="array" ref="I119">IF(F119="","",IF(ISNUMBER(MATCH(TRUE,ISNUMBER(SEARCH($Q$2:$Q$51, $F119)),0))=TRUE,"",IF(ISNUMBER(MATCH(TRUE,ISNUMBER(SEARCH($S$2:$S$199, $F119)),0))=TRUE,"","미국 확인 필요")))</f>
        <v/>
      </c>
      <c r="S119" s="46" t="s">
        <v>375</v>
      </c>
      <c r="T119" s="149">
        <f t="shared" si="7"/>
        <v>0</v>
      </c>
      <c r="U119" s="149" t="str">
        <f>IF(T119=0,"",RANK(T119,T:T,0)+COUNTIF(T$1:T118,T119))</f>
        <v/>
      </c>
      <c r="V119" s="46">
        <v>0</v>
      </c>
      <c r="W119" s="149">
        <f t="shared" si="8"/>
        <v>0</v>
      </c>
      <c r="X119" s="149" t="str">
        <f>IF(W119=0,"",RANK(W119,W:W,0)+COUNTIF(W$1:W118,W119))</f>
        <v/>
      </c>
      <c r="Y119" s="46">
        <v>0</v>
      </c>
    </row>
    <row r="120" spans="3:25">
      <c r="C120" s="9" t="str" cm="1">
        <f t="array" ref="C120">IFERROR(IF(A120="","",IF(ISNUMBER(MATCH(TRUE,ISNUMBER(SEARCH($Q$2:$Q$51, $A120)),0))=TRUE,"United States of America",INDEX($S$2:$S$199,MATCH(TRUE,ISNUMBER(SEARCH($S$2:$S$199, $A120)),0)))),"United States of America")</f>
        <v/>
      </c>
      <c r="D120" s="9" t="str" cm="1">
        <f t="array" ref="D120">IF(A120="","",IF(ISNUMBER(MATCH(TRUE,ISNUMBER(SEARCH($Q$2:$Q$51, $A120)),0))=TRUE,"",IF(ISNUMBER(MATCH(TRUE,ISNUMBER(SEARCH($S$2:$S$199, $A120)),0))=TRUE,"","미국 확인 필요")))</f>
        <v/>
      </c>
      <c r="H120" s="9" t="str" cm="1">
        <f t="array" ref="H120">IFERROR(IF(F120="","",IF(ISNUMBER(MATCH(TRUE,ISNUMBER(SEARCH($Q$2:$Q$51, $F120)),0))=TRUE,"United States of America",INDEX($S$2:$S$199,MATCH(TRUE,ISNUMBER(SEARCH($S$2:$S$199, $F120)),0)))),"United States of America")</f>
        <v/>
      </c>
      <c r="I120" s="9" t="str" cm="1">
        <f t="array" ref="I120">IF(F120="","",IF(ISNUMBER(MATCH(TRUE,ISNUMBER(SEARCH($Q$2:$Q$51, $F120)),0))=TRUE,"",IF(ISNUMBER(MATCH(TRUE,ISNUMBER(SEARCH($S$2:$S$199, $F120)),0))=TRUE,"","미국 확인 필요")))</f>
        <v/>
      </c>
      <c r="S120" s="46" t="s">
        <v>376</v>
      </c>
      <c r="T120" s="149">
        <f t="shared" si="7"/>
        <v>0</v>
      </c>
      <c r="U120" s="149" t="str">
        <f>IF(T120=0,"",RANK(T120,T:T,0)+COUNTIF(T$1:T119,T120))</f>
        <v/>
      </c>
      <c r="V120" s="46">
        <v>0</v>
      </c>
      <c r="W120" s="149">
        <f t="shared" si="8"/>
        <v>0</v>
      </c>
      <c r="X120" s="149" t="str">
        <f>IF(W120=0,"",RANK(W120,W:W,0)+COUNTIF(W$1:W119,W120))</f>
        <v/>
      </c>
      <c r="Y120" s="46">
        <v>0</v>
      </c>
    </row>
    <row r="121" spans="3:25">
      <c r="C121" s="9" t="str" cm="1">
        <f t="array" ref="C121">IFERROR(IF(A121="","",IF(ISNUMBER(MATCH(TRUE,ISNUMBER(SEARCH($Q$2:$Q$51, $A121)),0))=TRUE,"United States of America",INDEX($S$2:$S$199,MATCH(TRUE,ISNUMBER(SEARCH($S$2:$S$199, $A121)),0)))),"United States of America")</f>
        <v/>
      </c>
      <c r="D121" s="9" t="str" cm="1">
        <f t="array" ref="D121">IF(A121="","",IF(ISNUMBER(MATCH(TRUE,ISNUMBER(SEARCH($Q$2:$Q$51, $A121)),0))=TRUE,"",IF(ISNUMBER(MATCH(TRUE,ISNUMBER(SEARCH($S$2:$S$199, $A121)),0))=TRUE,"","미국 확인 필요")))</f>
        <v/>
      </c>
      <c r="H121" s="9" t="str" cm="1">
        <f t="array" ref="H121">IFERROR(IF(F121="","",IF(ISNUMBER(MATCH(TRUE,ISNUMBER(SEARCH($Q$2:$Q$51, $F121)),0))=TRUE,"United States of America",INDEX($S$2:$S$199,MATCH(TRUE,ISNUMBER(SEARCH($S$2:$S$199, $F121)),0)))),"United States of America")</f>
        <v/>
      </c>
      <c r="I121" s="9" t="str" cm="1">
        <f t="array" ref="I121">IF(F121="","",IF(ISNUMBER(MATCH(TRUE,ISNUMBER(SEARCH($Q$2:$Q$51, $F121)),0))=TRUE,"",IF(ISNUMBER(MATCH(TRUE,ISNUMBER(SEARCH($S$2:$S$199, $F121)),0))=TRUE,"","미국 확인 필요")))</f>
        <v/>
      </c>
      <c r="S121" s="46" t="s">
        <v>377</v>
      </c>
      <c r="T121" s="149">
        <f t="shared" si="7"/>
        <v>0</v>
      </c>
      <c r="U121" s="149" t="str">
        <f>IF(T121=0,"",RANK(T121,T:T,0)+COUNTIF(T$1:T120,T121))</f>
        <v/>
      </c>
      <c r="V121" s="46">
        <v>0</v>
      </c>
      <c r="W121" s="149">
        <f t="shared" si="8"/>
        <v>0</v>
      </c>
      <c r="X121" s="149" t="str">
        <f>IF(W121=0,"",RANK(W121,W:W,0)+COUNTIF(W$1:W120,W121))</f>
        <v/>
      </c>
      <c r="Y121" s="46">
        <v>0</v>
      </c>
    </row>
    <row r="122" spans="3:25">
      <c r="C122" s="9" t="str" cm="1">
        <f t="array" ref="C122">IFERROR(IF(A122="","",IF(ISNUMBER(MATCH(TRUE,ISNUMBER(SEARCH($Q$2:$Q$51, $A122)),0))=TRUE,"United States of America",INDEX($S$2:$S$199,MATCH(TRUE,ISNUMBER(SEARCH($S$2:$S$199, $A122)),0)))),"United States of America")</f>
        <v/>
      </c>
      <c r="D122" s="9" t="str" cm="1">
        <f t="array" ref="D122">IF(A122="","",IF(ISNUMBER(MATCH(TRUE,ISNUMBER(SEARCH($Q$2:$Q$51, $A122)),0))=TRUE,"",IF(ISNUMBER(MATCH(TRUE,ISNUMBER(SEARCH($S$2:$S$199, $A122)),0))=TRUE,"","미국 확인 필요")))</f>
        <v/>
      </c>
      <c r="H122" s="9" t="str" cm="1">
        <f t="array" ref="H122">IFERROR(IF(F122="","",IF(ISNUMBER(MATCH(TRUE,ISNUMBER(SEARCH($Q$2:$Q$51, $F122)),0))=TRUE,"United States of America",INDEX($S$2:$S$199,MATCH(TRUE,ISNUMBER(SEARCH($S$2:$S$199, $F122)),0)))),"United States of America")</f>
        <v/>
      </c>
      <c r="I122" s="9" t="str" cm="1">
        <f t="array" ref="I122">IF(F122="","",IF(ISNUMBER(MATCH(TRUE,ISNUMBER(SEARCH($Q$2:$Q$51, $F122)),0))=TRUE,"",IF(ISNUMBER(MATCH(TRUE,ISNUMBER(SEARCH($S$2:$S$199, $F122)),0))=TRUE,"","미국 확인 필요")))</f>
        <v/>
      </c>
      <c r="S122" s="46" t="s">
        <v>378</v>
      </c>
      <c r="T122" s="149">
        <f t="shared" si="7"/>
        <v>0</v>
      </c>
      <c r="U122" s="149" t="str">
        <f>IF(T122=0,"",RANK(T122,T:T,0)+COUNTIF(T$1:T121,T122))</f>
        <v/>
      </c>
      <c r="V122" s="46">
        <v>0</v>
      </c>
      <c r="W122" s="149">
        <f t="shared" si="8"/>
        <v>0</v>
      </c>
      <c r="X122" s="149" t="str">
        <f>IF(W122=0,"",RANK(W122,W:W,0)+COUNTIF(W$1:W121,W122))</f>
        <v/>
      </c>
      <c r="Y122" s="46">
        <v>0</v>
      </c>
    </row>
    <row r="123" spans="3:25">
      <c r="C123" s="9" t="str" cm="1">
        <f t="array" ref="C123">IFERROR(IF(A123="","",IF(ISNUMBER(MATCH(TRUE,ISNUMBER(SEARCH($Q$2:$Q$51, $A123)),0))=TRUE,"United States of America",INDEX($S$2:$S$199,MATCH(TRUE,ISNUMBER(SEARCH($S$2:$S$199, $A123)),0)))),"United States of America")</f>
        <v/>
      </c>
      <c r="D123" s="9" t="str" cm="1">
        <f t="array" ref="D123">IF(A123="","",IF(ISNUMBER(MATCH(TRUE,ISNUMBER(SEARCH($Q$2:$Q$51, $A123)),0))=TRUE,"",IF(ISNUMBER(MATCH(TRUE,ISNUMBER(SEARCH($S$2:$S$199, $A123)),0))=TRUE,"","미국 확인 필요")))</f>
        <v/>
      </c>
      <c r="H123" s="9" t="str" cm="1">
        <f t="array" ref="H123">IFERROR(IF(F123="","",IF(ISNUMBER(MATCH(TRUE,ISNUMBER(SEARCH($Q$2:$Q$51, $F123)),0))=TRUE,"United States of America",INDEX($S$2:$S$199,MATCH(TRUE,ISNUMBER(SEARCH($S$2:$S$199, $F123)),0)))),"United States of America")</f>
        <v/>
      </c>
      <c r="I123" s="9" t="str" cm="1">
        <f t="array" ref="I123">IF(F123="","",IF(ISNUMBER(MATCH(TRUE,ISNUMBER(SEARCH($Q$2:$Q$51, $F123)),0))=TRUE,"",IF(ISNUMBER(MATCH(TRUE,ISNUMBER(SEARCH($S$2:$S$199, $F123)),0))=TRUE,"","미국 확인 필요")))</f>
        <v/>
      </c>
      <c r="S123" s="46" t="s">
        <v>379</v>
      </c>
      <c r="T123" s="149">
        <f t="shared" si="7"/>
        <v>0</v>
      </c>
      <c r="U123" s="149" t="str">
        <f>IF(T123=0,"",RANK(T123,T:T,0)+COUNTIF(T$1:T122,T123))</f>
        <v/>
      </c>
      <c r="V123" s="46">
        <v>0</v>
      </c>
      <c r="W123" s="149">
        <f t="shared" si="8"/>
        <v>0</v>
      </c>
      <c r="X123" s="149" t="str">
        <f>IF(W123=0,"",RANK(W123,W:W,0)+COUNTIF(W$1:W122,W123))</f>
        <v/>
      </c>
      <c r="Y123" s="46">
        <v>0</v>
      </c>
    </row>
    <row r="124" spans="3:25">
      <c r="C124" s="9" t="str" cm="1">
        <f t="array" ref="C124">IFERROR(IF(A124="","",IF(ISNUMBER(MATCH(TRUE,ISNUMBER(SEARCH($Q$2:$Q$51, $A124)),0))=TRUE,"United States of America",INDEX($S$2:$S$199,MATCH(TRUE,ISNUMBER(SEARCH($S$2:$S$199, $A124)),0)))),"United States of America")</f>
        <v/>
      </c>
      <c r="D124" s="9" t="str" cm="1">
        <f t="array" ref="D124">IF(A124="","",IF(ISNUMBER(MATCH(TRUE,ISNUMBER(SEARCH($Q$2:$Q$51, $A124)),0))=TRUE,"",IF(ISNUMBER(MATCH(TRUE,ISNUMBER(SEARCH($S$2:$S$199, $A124)),0))=TRUE,"","미국 확인 필요")))</f>
        <v/>
      </c>
      <c r="H124" s="9" t="str" cm="1">
        <f t="array" ref="H124">IFERROR(IF(F124="","",IF(ISNUMBER(MATCH(TRUE,ISNUMBER(SEARCH($Q$2:$Q$51, $F124)),0))=TRUE,"United States of America",INDEX($S$2:$S$199,MATCH(TRUE,ISNUMBER(SEARCH($S$2:$S$199, $F124)),0)))),"United States of America")</f>
        <v/>
      </c>
      <c r="I124" s="9" t="str" cm="1">
        <f t="array" ref="I124">IF(F124="","",IF(ISNUMBER(MATCH(TRUE,ISNUMBER(SEARCH($Q$2:$Q$51, $F124)),0))=TRUE,"",IF(ISNUMBER(MATCH(TRUE,ISNUMBER(SEARCH($S$2:$S$199, $F124)),0))=TRUE,"","미국 확인 필요")))</f>
        <v/>
      </c>
      <c r="S124" s="46" t="s">
        <v>380</v>
      </c>
      <c r="T124" s="149">
        <f t="shared" si="7"/>
        <v>0</v>
      </c>
      <c r="U124" s="149" t="str">
        <f>IF(T124=0,"",RANK(T124,T:T,0)+COUNTIF(T$1:T123,T124))</f>
        <v/>
      </c>
      <c r="V124" s="46">
        <v>0</v>
      </c>
      <c r="W124" s="149">
        <f t="shared" si="8"/>
        <v>0</v>
      </c>
      <c r="X124" s="149" t="str">
        <f>IF(W124=0,"",RANK(W124,W:W,0)+COUNTIF(W$1:W123,W124))</f>
        <v/>
      </c>
      <c r="Y124" s="46">
        <v>0</v>
      </c>
    </row>
    <row r="125" spans="3:25">
      <c r="C125" s="9" t="str" cm="1">
        <f t="array" ref="C125">IFERROR(IF(A125="","",IF(ISNUMBER(MATCH(TRUE,ISNUMBER(SEARCH($Q$2:$Q$51, $A125)),0))=TRUE,"United States of America",INDEX($S$2:$S$199,MATCH(TRUE,ISNUMBER(SEARCH($S$2:$S$199, $A125)),0)))),"United States of America")</f>
        <v/>
      </c>
      <c r="D125" s="9" t="str" cm="1">
        <f t="array" ref="D125">IF(A125="","",IF(ISNUMBER(MATCH(TRUE,ISNUMBER(SEARCH($Q$2:$Q$51, $A125)),0))=TRUE,"",IF(ISNUMBER(MATCH(TRUE,ISNUMBER(SEARCH($S$2:$S$199, $A125)),0))=TRUE,"","미국 확인 필요")))</f>
        <v/>
      </c>
      <c r="H125" s="9" t="str" cm="1">
        <f t="array" ref="H125">IFERROR(IF(F125="","",IF(ISNUMBER(MATCH(TRUE,ISNUMBER(SEARCH($Q$2:$Q$51, $F125)),0))=TRUE,"United States of America",INDEX($S$2:$S$199,MATCH(TRUE,ISNUMBER(SEARCH($S$2:$S$199, $F125)),0)))),"United States of America")</f>
        <v/>
      </c>
      <c r="I125" s="9" t="str" cm="1">
        <f t="array" ref="I125">IF(F125="","",IF(ISNUMBER(MATCH(TRUE,ISNUMBER(SEARCH($Q$2:$Q$51, $F125)),0))=TRUE,"",IF(ISNUMBER(MATCH(TRUE,ISNUMBER(SEARCH($S$2:$S$199, $F125)),0))=TRUE,"","미국 확인 필요")))</f>
        <v/>
      </c>
      <c r="S125" s="46" t="s">
        <v>381</v>
      </c>
      <c r="T125" s="149">
        <f t="shared" si="7"/>
        <v>0</v>
      </c>
      <c r="U125" s="149" t="str">
        <f>IF(T125=0,"",RANK(T125,T:T,0)+COUNTIF(T$1:T124,T125))</f>
        <v/>
      </c>
      <c r="V125" s="46">
        <v>0</v>
      </c>
      <c r="W125" s="149">
        <f t="shared" si="8"/>
        <v>0</v>
      </c>
      <c r="X125" s="149" t="str">
        <f>IF(W125=0,"",RANK(W125,W:W,0)+COUNTIF(W$1:W124,W125))</f>
        <v/>
      </c>
      <c r="Y125" s="46">
        <v>0</v>
      </c>
    </row>
    <row r="126" spans="3:25">
      <c r="C126" s="9" t="str" cm="1">
        <f t="array" ref="C126">IFERROR(IF(A126="","",IF(ISNUMBER(MATCH(TRUE,ISNUMBER(SEARCH($Q$2:$Q$51, $A126)),0))=TRUE,"United States of America",INDEX($S$2:$S$199,MATCH(TRUE,ISNUMBER(SEARCH($S$2:$S$199, $A126)),0)))),"United States of America")</f>
        <v/>
      </c>
      <c r="D126" s="9" t="str" cm="1">
        <f t="array" ref="D126">IF(A126="","",IF(ISNUMBER(MATCH(TRUE,ISNUMBER(SEARCH($Q$2:$Q$51, $A126)),0))=TRUE,"",IF(ISNUMBER(MATCH(TRUE,ISNUMBER(SEARCH($S$2:$S$199, $A126)),0))=TRUE,"","미국 확인 필요")))</f>
        <v/>
      </c>
      <c r="H126" s="9" t="str" cm="1">
        <f t="array" ref="H126">IFERROR(IF(F126="","",IF(ISNUMBER(MATCH(TRUE,ISNUMBER(SEARCH($Q$2:$Q$51, $F126)),0))=TRUE,"United States of America",INDEX($S$2:$S$199,MATCH(TRUE,ISNUMBER(SEARCH($S$2:$S$199, $F126)),0)))),"United States of America")</f>
        <v/>
      </c>
      <c r="I126" s="9" t="str" cm="1">
        <f t="array" ref="I126">IF(F126="","",IF(ISNUMBER(MATCH(TRUE,ISNUMBER(SEARCH($Q$2:$Q$51, $F126)),0))=TRUE,"",IF(ISNUMBER(MATCH(TRUE,ISNUMBER(SEARCH($S$2:$S$199, $F126)),0))=TRUE,"","미국 확인 필요")))</f>
        <v/>
      </c>
      <c r="S126" s="46" t="s">
        <v>382</v>
      </c>
      <c r="T126" s="149">
        <f t="shared" si="7"/>
        <v>0</v>
      </c>
      <c r="U126" s="149" t="str">
        <f>IF(T126=0,"",RANK(T126,T:T,0)+COUNTIF(T$1:T125,T126))</f>
        <v/>
      </c>
      <c r="V126" s="46">
        <v>0</v>
      </c>
      <c r="W126" s="149">
        <f t="shared" si="8"/>
        <v>0</v>
      </c>
      <c r="X126" s="149" t="str">
        <f>IF(W126=0,"",RANK(W126,W:W,0)+COUNTIF(W$1:W125,W126))</f>
        <v/>
      </c>
      <c r="Y126" s="46">
        <v>0</v>
      </c>
    </row>
    <row r="127" spans="3:25">
      <c r="C127" s="9" t="str" cm="1">
        <f t="array" ref="C127">IFERROR(IF(A127="","",IF(ISNUMBER(MATCH(TRUE,ISNUMBER(SEARCH($Q$2:$Q$51, $A127)),0))=TRUE,"United States of America",INDEX($S$2:$S$199,MATCH(TRUE,ISNUMBER(SEARCH($S$2:$S$199, $A127)),0)))),"United States of America")</f>
        <v/>
      </c>
      <c r="D127" s="9" t="str" cm="1">
        <f t="array" ref="D127">IF(A127="","",IF(ISNUMBER(MATCH(TRUE,ISNUMBER(SEARCH($Q$2:$Q$51, $A127)),0))=TRUE,"",IF(ISNUMBER(MATCH(TRUE,ISNUMBER(SEARCH($S$2:$S$199, $A127)),0))=TRUE,"","미국 확인 필요")))</f>
        <v/>
      </c>
      <c r="H127" s="9" t="str" cm="1">
        <f t="array" ref="H127">IFERROR(IF(F127="","",IF(ISNUMBER(MATCH(TRUE,ISNUMBER(SEARCH($Q$2:$Q$51, $F127)),0))=TRUE,"United States of America",INDEX($S$2:$S$199,MATCH(TRUE,ISNUMBER(SEARCH($S$2:$S$199, $F127)),0)))),"United States of America")</f>
        <v/>
      </c>
      <c r="I127" s="9" t="str" cm="1">
        <f t="array" ref="I127">IF(F127="","",IF(ISNUMBER(MATCH(TRUE,ISNUMBER(SEARCH($Q$2:$Q$51, $F127)),0))=TRUE,"",IF(ISNUMBER(MATCH(TRUE,ISNUMBER(SEARCH($S$2:$S$199, $F127)),0))=TRUE,"","미국 확인 필요")))</f>
        <v/>
      </c>
      <c r="S127" s="46" t="s">
        <v>383</v>
      </c>
      <c r="T127" s="149">
        <f t="shared" si="7"/>
        <v>0</v>
      </c>
      <c r="U127" s="149" t="str">
        <f>IF(T127=0,"",RANK(T127,T:T,0)+COUNTIF(T$1:T126,T127))</f>
        <v/>
      </c>
      <c r="V127" s="46">
        <v>0</v>
      </c>
      <c r="W127" s="149">
        <f t="shared" si="8"/>
        <v>0</v>
      </c>
      <c r="X127" s="149" t="str">
        <f>IF(W127=0,"",RANK(W127,W:W,0)+COUNTIF(W$1:W126,W127))</f>
        <v/>
      </c>
      <c r="Y127" s="46">
        <v>0</v>
      </c>
    </row>
    <row r="128" spans="3:25">
      <c r="C128" s="9" t="str" cm="1">
        <f t="array" ref="C128">IFERROR(IF(A128="","",IF(ISNUMBER(MATCH(TRUE,ISNUMBER(SEARCH($Q$2:$Q$51, $A128)),0))=TRUE,"United States of America",INDEX($S$2:$S$199,MATCH(TRUE,ISNUMBER(SEARCH($S$2:$S$199, $A128)),0)))),"United States of America")</f>
        <v/>
      </c>
      <c r="D128" s="9" t="str" cm="1">
        <f t="array" ref="D128">IF(A128="","",IF(ISNUMBER(MATCH(TRUE,ISNUMBER(SEARCH($Q$2:$Q$51, $A128)),0))=TRUE,"",IF(ISNUMBER(MATCH(TRUE,ISNUMBER(SEARCH($S$2:$S$199, $A128)),0))=TRUE,"","미국 확인 필요")))</f>
        <v/>
      </c>
      <c r="H128" s="9" t="str" cm="1">
        <f t="array" ref="H128">IFERROR(IF(F128="","",IF(ISNUMBER(MATCH(TRUE,ISNUMBER(SEARCH($Q$2:$Q$51, $F128)),0))=TRUE,"United States of America",INDEX($S$2:$S$199,MATCH(TRUE,ISNUMBER(SEARCH($S$2:$S$199, $F128)),0)))),"United States of America")</f>
        <v/>
      </c>
      <c r="I128" s="9" t="str" cm="1">
        <f t="array" ref="I128">IF(F128="","",IF(ISNUMBER(MATCH(TRUE,ISNUMBER(SEARCH($Q$2:$Q$51, $F128)),0))=TRUE,"",IF(ISNUMBER(MATCH(TRUE,ISNUMBER(SEARCH($S$2:$S$199, $F128)),0))=TRUE,"","미국 확인 필요")))</f>
        <v/>
      </c>
      <c r="S128" s="46" t="s">
        <v>384</v>
      </c>
      <c r="T128" s="149">
        <f t="shared" si="7"/>
        <v>0</v>
      </c>
      <c r="U128" s="149" t="str">
        <f>IF(T128=0,"",RANK(T128,T:T,0)+COUNTIF(T$1:T127,T128))</f>
        <v/>
      </c>
      <c r="V128" s="46">
        <v>0</v>
      </c>
      <c r="W128" s="149">
        <f t="shared" si="8"/>
        <v>0</v>
      </c>
      <c r="X128" s="149" t="str">
        <f>IF(W128=0,"",RANK(W128,W:W,0)+COUNTIF(W$1:W127,W128))</f>
        <v/>
      </c>
      <c r="Y128" s="46">
        <v>0</v>
      </c>
    </row>
    <row r="129" spans="3:25">
      <c r="C129" s="9" t="str" cm="1">
        <f t="array" ref="C129">IFERROR(IF(A129="","",IF(ISNUMBER(MATCH(TRUE,ISNUMBER(SEARCH($Q$2:$Q$51, $A129)),0))=TRUE,"United States of America",INDEX($S$2:$S$199,MATCH(TRUE,ISNUMBER(SEARCH($S$2:$S$199, $A129)),0)))),"United States of America")</f>
        <v/>
      </c>
      <c r="D129" s="9" t="str" cm="1">
        <f t="array" ref="D129">IF(A129="","",IF(ISNUMBER(MATCH(TRUE,ISNUMBER(SEARCH($Q$2:$Q$51, $A129)),0))=TRUE,"",IF(ISNUMBER(MATCH(TRUE,ISNUMBER(SEARCH($S$2:$S$199, $A129)),0))=TRUE,"","미국 확인 필요")))</f>
        <v/>
      </c>
      <c r="H129" s="9" t="str" cm="1">
        <f t="array" ref="H129">IFERROR(IF(F129="","",IF(ISNUMBER(MATCH(TRUE,ISNUMBER(SEARCH($Q$2:$Q$51, $F129)),0))=TRUE,"United States of America",INDEX($S$2:$S$199,MATCH(TRUE,ISNUMBER(SEARCH($S$2:$S$199, $F129)),0)))),"United States of America")</f>
        <v/>
      </c>
      <c r="I129" s="9" t="str" cm="1">
        <f t="array" ref="I129">IF(F129="","",IF(ISNUMBER(MATCH(TRUE,ISNUMBER(SEARCH($Q$2:$Q$51, $F129)),0))=TRUE,"",IF(ISNUMBER(MATCH(TRUE,ISNUMBER(SEARCH($S$2:$S$199, $F129)),0))=TRUE,"","미국 확인 필요")))</f>
        <v/>
      </c>
      <c r="S129" s="46" t="s">
        <v>385</v>
      </c>
      <c r="T129" s="149">
        <f t="shared" si="7"/>
        <v>0</v>
      </c>
      <c r="U129" s="149" t="str">
        <f>IF(T129=0,"",RANK(T129,T:T,0)+COUNTIF(T$1:T128,T129))</f>
        <v/>
      </c>
      <c r="V129" s="46">
        <v>0</v>
      </c>
      <c r="W129" s="149">
        <f t="shared" si="8"/>
        <v>0</v>
      </c>
      <c r="X129" s="149" t="str">
        <f>IF(W129=0,"",RANK(W129,W:W,0)+COUNTIF(W$1:W128,W129))</f>
        <v/>
      </c>
      <c r="Y129" s="46">
        <v>0</v>
      </c>
    </row>
    <row r="130" spans="3:25">
      <c r="C130" s="9" t="str" cm="1">
        <f t="array" ref="C130">IFERROR(IF(A130="","",IF(ISNUMBER(MATCH(TRUE,ISNUMBER(SEARCH($Q$2:$Q$51, $A130)),0))=TRUE,"United States of America",INDEX($S$2:$S$199,MATCH(TRUE,ISNUMBER(SEARCH($S$2:$S$199, $A130)),0)))),"United States of America")</f>
        <v/>
      </c>
      <c r="D130" s="9" t="str" cm="1">
        <f t="array" ref="D130">IF(A130="","",IF(ISNUMBER(MATCH(TRUE,ISNUMBER(SEARCH($Q$2:$Q$51, $A130)),0))=TRUE,"",IF(ISNUMBER(MATCH(TRUE,ISNUMBER(SEARCH($S$2:$S$199, $A130)),0))=TRUE,"","미국 확인 필요")))</f>
        <v/>
      </c>
      <c r="H130" s="9" t="str" cm="1">
        <f t="array" ref="H130">IFERROR(IF(F130="","",IF(ISNUMBER(MATCH(TRUE,ISNUMBER(SEARCH($Q$2:$Q$51, $F130)),0))=TRUE,"United States of America",INDEX($S$2:$S$199,MATCH(TRUE,ISNUMBER(SEARCH($S$2:$S$199, $F130)),0)))),"United States of America")</f>
        <v/>
      </c>
      <c r="I130" s="9" t="str" cm="1">
        <f t="array" ref="I130">IF(F130="","",IF(ISNUMBER(MATCH(TRUE,ISNUMBER(SEARCH($Q$2:$Q$51, $F130)),0))=TRUE,"",IF(ISNUMBER(MATCH(TRUE,ISNUMBER(SEARCH($S$2:$S$199, $F130)),0))=TRUE,"","미국 확인 필요")))</f>
        <v/>
      </c>
      <c r="S130" s="46" t="s">
        <v>386</v>
      </c>
      <c r="T130" s="149">
        <f t="shared" ref="T130:T193" si="9">SUMIF(C:C,S130,B:B)</f>
        <v>0</v>
      </c>
      <c r="U130" s="149" t="str">
        <f>IF(T130=0,"",RANK(T130,T:T,0)+COUNTIF(T$1:T129,T130))</f>
        <v/>
      </c>
      <c r="V130" s="46">
        <v>0</v>
      </c>
      <c r="W130" s="149">
        <f t="shared" ref="W130:W193" si="10">SUMIF(H:H,S130,G:G)</f>
        <v>0</v>
      </c>
      <c r="X130" s="149" t="str">
        <f>IF(W130=0,"",RANK(W130,W:W,0)+COUNTIF(W$1:W129,W130))</f>
        <v/>
      </c>
      <c r="Y130" s="46">
        <v>0</v>
      </c>
    </row>
    <row r="131" spans="3:25">
      <c r="C131" s="9" t="str" cm="1">
        <f t="array" ref="C131">IFERROR(IF(A131="","",IF(ISNUMBER(MATCH(TRUE,ISNUMBER(SEARCH($Q$2:$Q$51, $A131)),0))=TRUE,"United States of America",INDEX($S$2:$S$199,MATCH(TRUE,ISNUMBER(SEARCH($S$2:$S$199, $A131)),0)))),"United States of America")</f>
        <v/>
      </c>
      <c r="D131" s="9" t="str" cm="1">
        <f t="array" ref="D131">IF(A131="","",IF(ISNUMBER(MATCH(TRUE,ISNUMBER(SEARCH($Q$2:$Q$51, $A131)),0))=TRUE,"",IF(ISNUMBER(MATCH(TRUE,ISNUMBER(SEARCH($S$2:$S$199, $A131)),0))=TRUE,"","미국 확인 필요")))</f>
        <v/>
      </c>
      <c r="H131" s="9" t="str" cm="1">
        <f t="array" ref="H131">IFERROR(IF(F131="","",IF(ISNUMBER(MATCH(TRUE,ISNUMBER(SEARCH($Q$2:$Q$51, $F131)),0))=TRUE,"United States of America",INDEX($S$2:$S$199,MATCH(TRUE,ISNUMBER(SEARCH($S$2:$S$199, $F131)),0)))),"United States of America")</f>
        <v/>
      </c>
      <c r="I131" s="9" t="str" cm="1">
        <f t="array" ref="I131">IF(F131="","",IF(ISNUMBER(MATCH(TRUE,ISNUMBER(SEARCH($Q$2:$Q$51, $F131)),0))=TRUE,"",IF(ISNUMBER(MATCH(TRUE,ISNUMBER(SEARCH($S$2:$S$199, $F131)),0))=TRUE,"","미국 확인 필요")))</f>
        <v/>
      </c>
      <c r="S131" s="46" t="s">
        <v>387</v>
      </c>
      <c r="T131" s="149">
        <f t="shared" si="9"/>
        <v>0</v>
      </c>
      <c r="U131" s="149" t="str">
        <f>IF(T131=0,"",RANK(T131,T:T,0)+COUNTIF(T$1:T130,T131))</f>
        <v/>
      </c>
      <c r="V131" s="46">
        <v>0</v>
      </c>
      <c r="W131" s="149">
        <f t="shared" si="10"/>
        <v>0</v>
      </c>
      <c r="X131" s="149" t="str">
        <f>IF(W131=0,"",RANK(W131,W:W,0)+COUNTIF(W$1:W130,W131))</f>
        <v/>
      </c>
      <c r="Y131" s="46">
        <v>0</v>
      </c>
    </row>
    <row r="132" spans="3:25">
      <c r="C132" s="9" t="str" cm="1">
        <f t="array" ref="C132">IFERROR(IF(A132="","",IF(ISNUMBER(MATCH(TRUE,ISNUMBER(SEARCH($Q$2:$Q$51, $A132)),0))=TRUE,"United States of America",INDEX($S$2:$S$199,MATCH(TRUE,ISNUMBER(SEARCH($S$2:$S$199, $A132)),0)))),"United States of America")</f>
        <v/>
      </c>
      <c r="D132" s="9" t="str" cm="1">
        <f t="array" ref="D132">IF(A132="","",IF(ISNUMBER(MATCH(TRUE,ISNUMBER(SEARCH($Q$2:$Q$51, $A132)),0))=TRUE,"",IF(ISNUMBER(MATCH(TRUE,ISNUMBER(SEARCH($S$2:$S$199, $A132)),0))=TRUE,"","미국 확인 필요")))</f>
        <v/>
      </c>
      <c r="H132" s="9" t="str" cm="1">
        <f t="array" ref="H132">IFERROR(IF(F132="","",IF(ISNUMBER(MATCH(TRUE,ISNUMBER(SEARCH($Q$2:$Q$51, $F132)),0))=TRUE,"United States of America",INDEX($S$2:$S$199,MATCH(TRUE,ISNUMBER(SEARCH($S$2:$S$199, $F132)),0)))),"United States of America")</f>
        <v/>
      </c>
      <c r="I132" s="9" t="str" cm="1">
        <f t="array" ref="I132">IF(F132="","",IF(ISNUMBER(MATCH(TRUE,ISNUMBER(SEARCH($Q$2:$Q$51, $F132)),0))=TRUE,"",IF(ISNUMBER(MATCH(TRUE,ISNUMBER(SEARCH($S$2:$S$199, $F132)),0))=TRUE,"","미국 확인 필요")))</f>
        <v/>
      </c>
      <c r="S132" s="46" t="s">
        <v>388</v>
      </c>
      <c r="T132" s="149">
        <f t="shared" si="9"/>
        <v>0</v>
      </c>
      <c r="U132" s="149" t="str">
        <f>IF(T132=0,"",RANK(T132,T:T,0)+COUNTIF(T$1:T131,T132))</f>
        <v/>
      </c>
      <c r="V132" s="46">
        <v>0</v>
      </c>
      <c r="W132" s="149">
        <f t="shared" si="10"/>
        <v>0</v>
      </c>
      <c r="X132" s="149" t="str">
        <f>IF(W132=0,"",RANK(W132,W:W,0)+COUNTIF(W$1:W131,W132))</f>
        <v/>
      </c>
      <c r="Y132" s="46">
        <v>0</v>
      </c>
    </row>
    <row r="133" spans="3:25">
      <c r="C133" s="9" t="str" cm="1">
        <f t="array" ref="C133">IFERROR(IF(A133="","",IF(ISNUMBER(MATCH(TRUE,ISNUMBER(SEARCH($Q$2:$Q$51, $A133)),0))=TRUE,"United States of America",INDEX($S$2:$S$199,MATCH(TRUE,ISNUMBER(SEARCH($S$2:$S$199, $A133)),0)))),"United States of America")</f>
        <v/>
      </c>
      <c r="D133" s="9" t="str" cm="1">
        <f t="array" ref="D133">IF(A133="","",IF(ISNUMBER(MATCH(TRUE,ISNUMBER(SEARCH($Q$2:$Q$51, $A133)),0))=TRUE,"",IF(ISNUMBER(MATCH(TRUE,ISNUMBER(SEARCH($S$2:$S$199, $A133)),0))=TRUE,"","미국 확인 필요")))</f>
        <v/>
      </c>
      <c r="H133" s="9" t="str" cm="1">
        <f t="array" ref="H133">IFERROR(IF(F133="","",IF(ISNUMBER(MATCH(TRUE,ISNUMBER(SEARCH($Q$2:$Q$51, $F133)),0))=TRUE,"United States of America",INDEX($S$2:$S$199,MATCH(TRUE,ISNUMBER(SEARCH($S$2:$S$199, $F133)),0)))),"United States of America")</f>
        <v/>
      </c>
      <c r="I133" s="9" t="str" cm="1">
        <f t="array" ref="I133">IF(F133="","",IF(ISNUMBER(MATCH(TRUE,ISNUMBER(SEARCH($Q$2:$Q$51, $F133)),0))=TRUE,"",IF(ISNUMBER(MATCH(TRUE,ISNUMBER(SEARCH($S$2:$S$199, $F133)),0))=TRUE,"","미국 확인 필요")))</f>
        <v/>
      </c>
      <c r="S133" s="46" t="s">
        <v>389</v>
      </c>
      <c r="T133" s="149">
        <f t="shared" si="9"/>
        <v>0</v>
      </c>
      <c r="U133" s="149" t="str">
        <f>IF(T133=0,"",RANK(T133,T:T,0)+COUNTIF(T$1:T132,T133))</f>
        <v/>
      </c>
      <c r="V133" s="46">
        <v>0</v>
      </c>
      <c r="W133" s="149">
        <f t="shared" si="10"/>
        <v>0</v>
      </c>
      <c r="X133" s="149" t="str">
        <f>IF(W133=0,"",RANK(W133,W:W,0)+COUNTIF(W$1:W132,W133))</f>
        <v/>
      </c>
      <c r="Y133" s="46">
        <v>0</v>
      </c>
    </row>
    <row r="134" spans="3:25">
      <c r="C134" s="9" t="str" cm="1">
        <f t="array" ref="C134">IFERROR(IF(A134="","",IF(ISNUMBER(MATCH(TRUE,ISNUMBER(SEARCH($Q$2:$Q$51, $A134)),0))=TRUE,"United States of America",INDEX($S$2:$S$199,MATCH(TRUE,ISNUMBER(SEARCH($S$2:$S$199, $A134)),0)))),"United States of America")</f>
        <v/>
      </c>
      <c r="D134" s="9" t="str" cm="1">
        <f t="array" ref="D134">IF(A134="","",IF(ISNUMBER(MATCH(TRUE,ISNUMBER(SEARCH($Q$2:$Q$51, $A134)),0))=TRUE,"",IF(ISNUMBER(MATCH(TRUE,ISNUMBER(SEARCH($S$2:$S$199, $A134)),0))=TRUE,"","미국 확인 필요")))</f>
        <v/>
      </c>
      <c r="H134" s="9" t="str" cm="1">
        <f t="array" ref="H134">IFERROR(IF(F134="","",IF(ISNUMBER(MATCH(TRUE,ISNUMBER(SEARCH($Q$2:$Q$51, $F134)),0))=TRUE,"United States of America",INDEX($S$2:$S$199,MATCH(TRUE,ISNUMBER(SEARCH($S$2:$S$199, $F134)),0)))),"United States of America")</f>
        <v/>
      </c>
      <c r="I134" s="9" t="str" cm="1">
        <f t="array" ref="I134">IF(F134="","",IF(ISNUMBER(MATCH(TRUE,ISNUMBER(SEARCH($Q$2:$Q$51, $F134)),0))=TRUE,"",IF(ISNUMBER(MATCH(TRUE,ISNUMBER(SEARCH($S$2:$S$199, $F134)),0))=TRUE,"","미국 확인 필요")))</f>
        <v/>
      </c>
      <c r="S134" s="46" t="s">
        <v>390</v>
      </c>
      <c r="T134" s="149">
        <f t="shared" si="9"/>
        <v>0</v>
      </c>
      <c r="U134" s="149" t="str">
        <f>IF(T134=0,"",RANK(T134,T:T,0)+COUNTIF(T$1:T133,T134))</f>
        <v/>
      </c>
      <c r="V134" s="46">
        <v>0</v>
      </c>
      <c r="W134" s="149">
        <f t="shared" si="10"/>
        <v>0</v>
      </c>
      <c r="X134" s="149" t="str">
        <f>IF(W134=0,"",RANK(W134,W:W,0)+COUNTIF(W$1:W133,W134))</f>
        <v/>
      </c>
      <c r="Y134" s="46">
        <v>0</v>
      </c>
    </row>
    <row r="135" spans="3:25">
      <c r="C135" s="9" t="str" cm="1">
        <f t="array" ref="C135">IFERROR(IF(A135="","",IF(ISNUMBER(MATCH(TRUE,ISNUMBER(SEARCH($Q$2:$Q$51, $A135)),0))=TRUE,"United States of America",INDEX($S$2:$S$199,MATCH(TRUE,ISNUMBER(SEARCH($S$2:$S$199, $A135)),0)))),"United States of America")</f>
        <v/>
      </c>
      <c r="D135" s="9" t="str" cm="1">
        <f t="array" ref="D135">IF(A135="","",IF(ISNUMBER(MATCH(TRUE,ISNUMBER(SEARCH($Q$2:$Q$51, $A135)),0))=TRUE,"",IF(ISNUMBER(MATCH(TRUE,ISNUMBER(SEARCH($S$2:$S$199, $A135)),0))=TRUE,"","미국 확인 필요")))</f>
        <v/>
      </c>
      <c r="H135" s="9" t="str" cm="1">
        <f t="array" ref="H135">IFERROR(IF(F135="","",IF(ISNUMBER(MATCH(TRUE,ISNUMBER(SEARCH($Q$2:$Q$51, $F135)),0))=TRUE,"United States of America",INDEX($S$2:$S$199,MATCH(TRUE,ISNUMBER(SEARCH($S$2:$S$199, $F135)),0)))),"United States of America")</f>
        <v/>
      </c>
      <c r="I135" s="9" t="str" cm="1">
        <f t="array" ref="I135">IF(F135="","",IF(ISNUMBER(MATCH(TRUE,ISNUMBER(SEARCH($Q$2:$Q$51, $F135)),0))=TRUE,"",IF(ISNUMBER(MATCH(TRUE,ISNUMBER(SEARCH($S$2:$S$199, $F135)),0))=TRUE,"","미국 확인 필요")))</f>
        <v/>
      </c>
      <c r="S135" s="46" t="s">
        <v>391</v>
      </c>
      <c r="T135" s="149">
        <f t="shared" si="9"/>
        <v>0</v>
      </c>
      <c r="U135" s="149" t="str">
        <f>IF(T135=0,"",RANK(T135,T:T,0)+COUNTIF(T$1:T134,T135))</f>
        <v/>
      </c>
      <c r="V135" s="46">
        <v>0</v>
      </c>
      <c r="W135" s="149">
        <f t="shared" si="10"/>
        <v>0</v>
      </c>
      <c r="X135" s="149" t="str">
        <f>IF(W135=0,"",RANK(W135,W:W,0)+COUNTIF(W$1:W134,W135))</f>
        <v/>
      </c>
      <c r="Y135" s="46">
        <v>0</v>
      </c>
    </row>
    <row r="136" spans="3:25">
      <c r="C136" s="9" t="str" cm="1">
        <f t="array" ref="C136">IFERROR(IF(A136="","",IF(ISNUMBER(MATCH(TRUE,ISNUMBER(SEARCH($Q$2:$Q$51, $A136)),0))=TRUE,"United States of America",INDEX($S$2:$S$199,MATCH(TRUE,ISNUMBER(SEARCH($S$2:$S$199, $A136)),0)))),"United States of America")</f>
        <v/>
      </c>
      <c r="D136" s="9" t="str" cm="1">
        <f t="array" ref="D136">IF(A136="","",IF(ISNUMBER(MATCH(TRUE,ISNUMBER(SEARCH($Q$2:$Q$51, $A136)),0))=TRUE,"",IF(ISNUMBER(MATCH(TRUE,ISNUMBER(SEARCH($S$2:$S$199, $A136)),0))=TRUE,"","미국 확인 필요")))</f>
        <v/>
      </c>
      <c r="H136" s="9" t="str" cm="1">
        <f t="array" ref="H136">IFERROR(IF(F136="","",IF(ISNUMBER(MATCH(TRUE,ISNUMBER(SEARCH($Q$2:$Q$51, $F136)),0))=TRUE,"United States of America",INDEX($S$2:$S$199,MATCH(TRUE,ISNUMBER(SEARCH($S$2:$S$199, $F136)),0)))),"United States of America")</f>
        <v/>
      </c>
      <c r="I136" s="9" t="str" cm="1">
        <f t="array" ref="I136">IF(F136="","",IF(ISNUMBER(MATCH(TRUE,ISNUMBER(SEARCH($Q$2:$Q$51, $F136)),0))=TRUE,"",IF(ISNUMBER(MATCH(TRUE,ISNUMBER(SEARCH($S$2:$S$199, $F136)),0))=TRUE,"","미국 확인 필요")))</f>
        <v/>
      </c>
      <c r="S136" s="46" t="s">
        <v>392</v>
      </c>
      <c r="T136" s="149">
        <f t="shared" si="9"/>
        <v>0</v>
      </c>
      <c r="U136" s="149" t="str">
        <f>IF(T136=0,"",RANK(T136,T:T,0)+COUNTIF(T$1:T135,T136))</f>
        <v/>
      </c>
      <c r="V136" s="46">
        <v>0</v>
      </c>
      <c r="W136" s="149">
        <f t="shared" si="10"/>
        <v>0</v>
      </c>
      <c r="X136" s="149" t="str">
        <f>IF(W136=0,"",RANK(W136,W:W,0)+COUNTIF(W$1:W135,W136))</f>
        <v/>
      </c>
      <c r="Y136" s="46">
        <v>0</v>
      </c>
    </row>
    <row r="137" spans="3:25">
      <c r="C137" s="9" t="str" cm="1">
        <f t="array" ref="C137">IFERROR(IF(A137="","",IF(ISNUMBER(MATCH(TRUE,ISNUMBER(SEARCH($Q$2:$Q$51, $A137)),0))=TRUE,"United States of America",INDEX($S$2:$S$199,MATCH(TRUE,ISNUMBER(SEARCH($S$2:$S$199, $A137)),0)))),"United States of America")</f>
        <v/>
      </c>
      <c r="D137" s="9" t="str" cm="1">
        <f t="array" ref="D137">IF(A137="","",IF(ISNUMBER(MATCH(TRUE,ISNUMBER(SEARCH($Q$2:$Q$51, $A137)),0))=TRUE,"",IF(ISNUMBER(MATCH(TRUE,ISNUMBER(SEARCH($S$2:$S$199, $A137)),0))=TRUE,"","미국 확인 필요")))</f>
        <v/>
      </c>
      <c r="H137" s="9" t="str" cm="1">
        <f t="array" ref="H137">IFERROR(IF(F137="","",IF(ISNUMBER(MATCH(TRUE,ISNUMBER(SEARCH($Q$2:$Q$51, $F137)),0))=TRUE,"United States of America",INDEX($S$2:$S$199,MATCH(TRUE,ISNUMBER(SEARCH($S$2:$S$199, $F137)),0)))),"United States of America")</f>
        <v/>
      </c>
      <c r="I137" s="9" t="str" cm="1">
        <f t="array" ref="I137">IF(F137="","",IF(ISNUMBER(MATCH(TRUE,ISNUMBER(SEARCH($Q$2:$Q$51, $F137)),0))=TRUE,"",IF(ISNUMBER(MATCH(TRUE,ISNUMBER(SEARCH($S$2:$S$199, $F137)),0))=TRUE,"","미국 확인 필요")))</f>
        <v/>
      </c>
      <c r="S137" s="46" t="s">
        <v>393</v>
      </c>
      <c r="T137" s="149">
        <f t="shared" si="9"/>
        <v>0</v>
      </c>
      <c r="U137" s="149" t="str">
        <f>IF(T137=0,"",RANK(T137,T:T,0)+COUNTIF(T$1:T136,T137))</f>
        <v/>
      </c>
      <c r="V137" s="46">
        <v>0</v>
      </c>
      <c r="W137" s="149">
        <f t="shared" si="10"/>
        <v>0</v>
      </c>
      <c r="X137" s="149" t="str">
        <f>IF(W137=0,"",RANK(W137,W:W,0)+COUNTIF(W$1:W136,W137))</f>
        <v/>
      </c>
      <c r="Y137" s="46">
        <v>0</v>
      </c>
    </row>
    <row r="138" spans="3:25">
      <c r="C138" s="9" t="str" cm="1">
        <f t="array" ref="C138">IFERROR(IF(A138="","",IF(ISNUMBER(MATCH(TRUE,ISNUMBER(SEARCH($Q$2:$Q$51, $A138)),0))=TRUE,"United States of America",INDEX($S$2:$S$199,MATCH(TRUE,ISNUMBER(SEARCH($S$2:$S$199, $A138)),0)))),"United States of America")</f>
        <v/>
      </c>
      <c r="D138" s="9" t="str" cm="1">
        <f t="array" ref="D138">IF(A138="","",IF(ISNUMBER(MATCH(TRUE,ISNUMBER(SEARCH($Q$2:$Q$51, $A138)),0))=TRUE,"",IF(ISNUMBER(MATCH(TRUE,ISNUMBER(SEARCH($S$2:$S$199, $A138)),0))=TRUE,"","미국 확인 필요")))</f>
        <v/>
      </c>
      <c r="H138" s="9" t="str" cm="1">
        <f t="array" ref="H138">IFERROR(IF(F138="","",IF(ISNUMBER(MATCH(TRUE,ISNUMBER(SEARCH($Q$2:$Q$51, $F138)),0))=TRUE,"United States of America",INDEX($S$2:$S$199,MATCH(TRUE,ISNUMBER(SEARCH($S$2:$S$199, $F138)),0)))),"United States of America")</f>
        <v/>
      </c>
      <c r="I138" s="9" t="str" cm="1">
        <f t="array" ref="I138">IF(F138="","",IF(ISNUMBER(MATCH(TRUE,ISNUMBER(SEARCH($Q$2:$Q$51, $F138)),0))=TRUE,"",IF(ISNUMBER(MATCH(TRUE,ISNUMBER(SEARCH($S$2:$S$199, $F138)),0))=TRUE,"","미국 확인 필요")))</f>
        <v/>
      </c>
      <c r="S138" s="46" t="s">
        <v>394</v>
      </c>
      <c r="T138" s="149">
        <f t="shared" si="9"/>
        <v>0</v>
      </c>
      <c r="U138" s="149" t="str">
        <f>IF(T138=0,"",RANK(T138,T:T,0)+COUNTIF(T$1:T137,T138))</f>
        <v/>
      </c>
      <c r="V138" s="46">
        <v>0</v>
      </c>
      <c r="W138" s="149">
        <f t="shared" si="10"/>
        <v>0</v>
      </c>
      <c r="X138" s="149" t="str">
        <f>IF(W138=0,"",RANK(W138,W:W,0)+COUNTIF(W$1:W137,W138))</f>
        <v/>
      </c>
      <c r="Y138" s="46">
        <v>0</v>
      </c>
    </row>
    <row r="139" spans="3:25">
      <c r="C139" s="9" t="str" cm="1">
        <f t="array" ref="C139">IFERROR(IF(A139="","",IF(ISNUMBER(MATCH(TRUE,ISNUMBER(SEARCH($Q$2:$Q$51, $A139)),0))=TRUE,"United States of America",INDEX($S$2:$S$199,MATCH(TRUE,ISNUMBER(SEARCH($S$2:$S$199, $A139)),0)))),"United States of America")</f>
        <v/>
      </c>
      <c r="D139" s="9" t="str" cm="1">
        <f t="array" ref="D139">IF(A139="","",IF(ISNUMBER(MATCH(TRUE,ISNUMBER(SEARCH($Q$2:$Q$51, $A139)),0))=TRUE,"",IF(ISNUMBER(MATCH(TRUE,ISNUMBER(SEARCH($S$2:$S$199, $A139)),0))=TRUE,"","미국 확인 필요")))</f>
        <v/>
      </c>
      <c r="H139" s="9" t="str" cm="1">
        <f t="array" ref="H139">IFERROR(IF(F139="","",IF(ISNUMBER(MATCH(TRUE,ISNUMBER(SEARCH($Q$2:$Q$51, $F139)),0))=TRUE,"United States of America",INDEX($S$2:$S$199,MATCH(TRUE,ISNUMBER(SEARCH($S$2:$S$199, $F139)),0)))),"United States of America")</f>
        <v/>
      </c>
      <c r="I139" s="9" t="str" cm="1">
        <f t="array" ref="I139">IF(F139="","",IF(ISNUMBER(MATCH(TRUE,ISNUMBER(SEARCH($Q$2:$Q$51, $F139)),0))=TRUE,"",IF(ISNUMBER(MATCH(TRUE,ISNUMBER(SEARCH($S$2:$S$199, $F139)),0))=TRUE,"","미국 확인 필요")))</f>
        <v/>
      </c>
      <c r="S139" s="46" t="s">
        <v>395</v>
      </c>
      <c r="T139" s="149">
        <f t="shared" si="9"/>
        <v>0</v>
      </c>
      <c r="U139" s="149" t="str">
        <f>IF(T139=0,"",RANK(T139,T:T,0)+COUNTIF(T$1:T138,T139))</f>
        <v/>
      </c>
      <c r="V139" s="46">
        <v>0</v>
      </c>
      <c r="W139" s="149">
        <f t="shared" si="10"/>
        <v>0</v>
      </c>
      <c r="X139" s="149" t="str">
        <f>IF(W139=0,"",RANK(W139,W:W,0)+COUNTIF(W$1:W138,W139))</f>
        <v/>
      </c>
      <c r="Y139" s="46">
        <v>0</v>
      </c>
    </row>
    <row r="140" spans="3:25">
      <c r="C140" s="9" t="str" cm="1">
        <f t="array" ref="C140">IFERROR(IF(A140="","",IF(ISNUMBER(MATCH(TRUE,ISNUMBER(SEARCH($Q$2:$Q$51, $A140)),0))=TRUE,"United States of America",INDEX($S$2:$S$199,MATCH(TRUE,ISNUMBER(SEARCH($S$2:$S$199, $A140)),0)))),"United States of America")</f>
        <v/>
      </c>
      <c r="D140" s="9" t="str" cm="1">
        <f t="array" ref="D140">IF(A140="","",IF(ISNUMBER(MATCH(TRUE,ISNUMBER(SEARCH($Q$2:$Q$51, $A140)),0))=TRUE,"",IF(ISNUMBER(MATCH(TRUE,ISNUMBER(SEARCH($S$2:$S$199, $A140)),0))=TRUE,"","미국 확인 필요")))</f>
        <v/>
      </c>
      <c r="H140" s="9" t="str" cm="1">
        <f t="array" ref="H140">IFERROR(IF(F140="","",IF(ISNUMBER(MATCH(TRUE,ISNUMBER(SEARCH($Q$2:$Q$51, $F140)),0))=TRUE,"United States of America",INDEX($S$2:$S$199,MATCH(TRUE,ISNUMBER(SEARCH($S$2:$S$199, $F140)),0)))),"United States of America")</f>
        <v/>
      </c>
      <c r="I140" s="9" t="str" cm="1">
        <f t="array" ref="I140">IF(F140="","",IF(ISNUMBER(MATCH(TRUE,ISNUMBER(SEARCH($Q$2:$Q$51, $F140)),0))=TRUE,"",IF(ISNUMBER(MATCH(TRUE,ISNUMBER(SEARCH($S$2:$S$199, $F140)),0))=TRUE,"","미국 확인 필요")))</f>
        <v/>
      </c>
      <c r="S140" s="46" t="s">
        <v>396</v>
      </c>
      <c r="T140" s="149">
        <f t="shared" si="9"/>
        <v>0</v>
      </c>
      <c r="U140" s="149" t="str">
        <f>IF(T140=0,"",RANK(T140,T:T,0)+COUNTIF(T$1:T139,T140))</f>
        <v/>
      </c>
      <c r="V140" s="46">
        <v>0</v>
      </c>
      <c r="W140" s="149">
        <f t="shared" si="10"/>
        <v>0</v>
      </c>
      <c r="X140" s="149" t="str">
        <f>IF(W140=0,"",RANK(W140,W:W,0)+COUNTIF(W$1:W139,W140))</f>
        <v/>
      </c>
      <c r="Y140" s="46">
        <v>0</v>
      </c>
    </row>
    <row r="141" spans="3:25">
      <c r="C141" s="9" t="str" cm="1">
        <f t="array" ref="C141">IFERROR(IF(A141="","",IF(ISNUMBER(MATCH(TRUE,ISNUMBER(SEARCH($Q$2:$Q$51, $A141)),0))=TRUE,"United States of America",INDEX($S$2:$S$199,MATCH(TRUE,ISNUMBER(SEARCH($S$2:$S$199, $A141)),0)))),"United States of America")</f>
        <v/>
      </c>
      <c r="D141" s="9" t="str" cm="1">
        <f t="array" ref="D141">IF(A141="","",IF(ISNUMBER(MATCH(TRUE,ISNUMBER(SEARCH($Q$2:$Q$51, $A141)),0))=TRUE,"",IF(ISNUMBER(MATCH(TRUE,ISNUMBER(SEARCH($S$2:$S$199, $A141)),0))=TRUE,"","미국 확인 필요")))</f>
        <v/>
      </c>
      <c r="H141" s="9" t="str" cm="1">
        <f t="array" ref="H141">IFERROR(IF(F141="","",IF(ISNUMBER(MATCH(TRUE,ISNUMBER(SEARCH($Q$2:$Q$51, $F141)),0))=TRUE,"United States of America",INDEX($S$2:$S$199,MATCH(TRUE,ISNUMBER(SEARCH($S$2:$S$199, $F141)),0)))),"United States of America")</f>
        <v/>
      </c>
      <c r="I141" s="9" t="str" cm="1">
        <f t="array" ref="I141">IF(F141="","",IF(ISNUMBER(MATCH(TRUE,ISNUMBER(SEARCH($Q$2:$Q$51, $F141)),0))=TRUE,"",IF(ISNUMBER(MATCH(TRUE,ISNUMBER(SEARCH($S$2:$S$199, $F141)),0))=TRUE,"","미국 확인 필요")))</f>
        <v/>
      </c>
      <c r="S141" s="46" t="s">
        <v>397</v>
      </c>
      <c r="T141" s="149">
        <f t="shared" si="9"/>
        <v>0</v>
      </c>
      <c r="U141" s="149" t="str">
        <f>IF(T141=0,"",RANK(T141,T:T,0)+COUNTIF(T$1:T140,T141))</f>
        <v/>
      </c>
      <c r="V141" s="46">
        <v>0</v>
      </c>
      <c r="W141" s="149">
        <f t="shared" si="10"/>
        <v>0</v>
      </c>
      <c r="X141" s="149" t="str">
        <f>IF(W141=0,"",RANK(W141,W:W,0)+COUNTIF(W$1:W140,W141))</f>
        <v/>
      </c>
      <c r="Y141" s="46">
        <v>0</v>
      </c>
    </row>
    <row r="142" spans="3:25">
      <c r="C142" s="9" t="str" cm="1">
        <f t="array" ref="C142">IFERROR(IF(A142="","",IF(ISNUMBER(MATCH(TRUE,ISNUMBER(SEARCH($Q$2:$Q$51, $A142)),0))=TRUE,"United States of America",INDEX($S$2:$S$199,MATCH(TRUE,ISNUMBER(SEARCH($S$2:$S$199, $A142)),0)))),"United States of America")</f>
        <v/>
      </c>
      <c r="D142" s="9" t="str" cm="1">
        <f t="array" ref="D142">IF(A142="","",IF(ISNUMBER(MATCH(TRUE,ISNUMBER(SEARCH($Q$2:$Q$51, $A142)),0))=TRUE,"",IF(ISNUMBER(MATCH(TRUE,ISNUMBER(SEARCH($S$2:$S$199, $A142)),0))=TRUE,"","미국 확인 필요")))</f>
        <v/>
      </c>
      <c r="H142" s="9" t="str" cm="1">
        <f t="array" ref="H142">IFERROR(IF(F142="","",IF(ISNUMBER(MATCH(TRUE,ISNUMBER(SEARCH($Q$2:$Q$51, $F142)),0))=TRUE,"United States of America",INDEX($S$2:$S$199,MATCH(TRUE,ISNUMBER(SEARCH($S$2:$S$199, $F142)),0)))),"United States of America")</f>
        <v/>
      </c>
      <c r="I142" s="9" t="str" cm="1">
        <f t="array" ref="I142">IF(F142="","",IF(ISNUMBER(MATCH(TRUE,ISNUMBER(SEARCH($Q$2:$Q$51, $F142)),0))=TRUE,"",IF(ISNUMBER(MATCH(TRUE,ISNUMBER(SEARCH($S$2:$S$199, $F142)),0))=TRUE,"","미국 확인 필요")))</f>
        <v/>
      </c>
      <c r="S142" s="46" t="s">
        <v>398</v>
      </c>
      <c r="T142" s="149">
        <f t="shared" si="9"/>
        <v>0</v>
      </c>
      <c r="U142" s="149" t="str">
        <f>IF(T142=0,"",RANK(T142,T:T,0)+COUNTIF(T$1:T141,T142))</f>
        <v/>
      </c>
      <c r="V142" s="46">
        <v>0</v>
      </c>
      <c r="W142" s="149">
        <f t="shared" si="10"/>
        <v>0</v>
      </c>
      <c r="X142" s="149" t="str">
        <f>IF(W142=0,"",RANK(W142,W:W,0)+COUNTIF(W$1:W141,W142))</f>
        <v/>
      </c>
      <c r="Y142" s="46">
        <v>0</v>
      </c>
    </row>
    <row r="143" spans="3:25">
      <c r="C143" s="9" t="str" cm="1">
        <f t="array" ref="C143">IFERROR(IF(A143="","",IF(ISNUMBER(MATCH(TRUE,ISNUMBER(SEARCH($Q$2:$Q$51, $A143)),0))=TRUE,"United States of America",INDEX($S$2:$S$199,MATCH(TRUE,ISNUMBER(SEARCH($S$2:$S$199, $A143)),0)))),"United States of America")</f>
        <v/>
      </c>
      <c r="D143" s="9" t="str" cm="1">
        <f t="array" ref="D143">IF(A143="","",IF(ISNUMBER(MATCH(TRUE,ISNUMBER(SEARCH($Q$2:$Q$51, $A143)),0))=TRUE,"",IF(ISNUMBER(MATCH(TRUE,ISNUMBER(SEARCH($S$2:$S$199, $A143)),0))=TRUE,"","미국 확인 필요")))</f>
        <v/>
      </c>
      <c r="H143" s="9" t="str" cm="1">
        <f t="array" ref="H143">IFERROR(IF(F143="","",IF(ISNUMBER(MATCH(TRUE,ISNUMBER(SEARCH($Q$2:$Q$51, $F143)),0))=TRUE,"United States of America",INDEX($S$2:$S$199,MATCH(TRUE,ISNUMBER(SEARCH($S$2:$S$199, $F143)),0)))),"United States of America")</f>
        <v/>
      </c>
      <c r="I143" s="9" t="str" cm="1">
        <f t="array" ref="I143">IF(F143="","",IF(ISNUMBER(MATCH(TRUE,ISNUMBER(SEARCH($Q$2:$Q$51, $F143)),0))=TRUE,"",IF(ISNUMBER(MATCH(TRUE,ISNUMBER(SEARCH($S$2:$S$199, $F143)),0))=TRUE,"","미국 확인 필요")))</f>
        <v/>
      </c>
      <c r="S143" s="46" t="s">
        <v>399</v>
      </c>
      <c r="T143" s="149">
        <f t="shared" si="9"/>
        <v>0</v>
      </c>
      <c r="U143" s="149" t="str">
        <f>IF(T143=0,"",RANK(T143,T:T,0)+COUNTIF(T$1:T142,T143))</f>
        <v/>
      </c>
      <c r="V143" s="46">
        <v>0</v>
      </c>
      <c r="W143" s="149">
        <f t="shared" si="10"/>
        <v>0</v>
      </c>
      <c r="X143" s="149" t="str">
        <f>IF(W143=0,"",RANK(W143,W:W,0)+COUNTIF(W$1:W142,W143))</f>
        <v/>
      </c>
      <c r="Y143" s="46">
        <v>0</v>
      </c>
    </row>
    <row r="144" spans="3:25">
      <c r="C144" s="9" t="str" cm="1">
        <f t="array" ref="C144">IFERROR(IF(A144="","",IF(ISNUMBER(MATCH(TRUE,ISNUMBER(SEARCH($Q$2:$Q$51, $A144)),0))=TRUE,"United States of America",INDEX($S$2:$S$199,MATCH(TRUE,ISNUMBER(SEARCH($S$2:$S$199, $A144)),0)))),"United States of America")</f>
        <v/>
      </c>
      <c r="D144" s="9" t="str" cm="1">
        <f t="array" ref="D144">IF(A144="","",IF(ISNUMBER(MATCH(TRUE,ISNUMBER(SEARCH($Q$2:$Q$51, $A144)),0))=TRUE,"",IF(ISNUMBER(MATCH(TRUE,ISNUMBER(SEARCH($S$2:$S$199, $A144)),0))=TRUE,"","미국 확인 필요")))</f>
        <v/>
      </c>
      <c r="H144" s="9" t="str" cm="1">
        <f t="array" ref="H144">IFERROR(IF(F144="","",IF(ISNUMBER(MATCH(TRUE,ISNUMBER(SEARCH($Q$2:$Q$51, $F144)),0))=TRUE,"United States of America",INDEX($S$2:$S$199,MATCH(TRUE,ISNUMBER(SEARCH($S$2:$S$199, $F144)),0)))),"United States of America")</f>
        <v/>
      </c>
      <c r="I144" s="9" t="str" cm="1">
        <f t="array" ref="I144">IF(F144="","",IF(ISNUMBER(MATCH(TRUE,ISNUMBER(SEARCH($Q$2:$Q$51, $F144)),0))=TRUE,"",IF(ISNUMBER(MATCH(TRUE,ISNUMBER(SEARCH($S$2:$S$199, $F144)),0))=TRUE,"","미국 확인 필요")))</f>
        <v/>
      </c>
      <c r="S144" s="46" t="s">
        <v>400</v>
      </c>
      <c r="T144" s="149">
        <f t="shared" si="9"/>
        <v>0</v>
      </c>
      <c r="U144" s="149" t="str">
        <f>IF(T144=0,"",RANK(T144,T:T,0)+COUNTIF(T$1:T143,T144))</f>
        <v/>
      </c>
      <c r="V144" s="46">
        <v>0</v>
      </c>
      <c r="W144" s="149">
        <f t="shared" si="10"/>
        <v>0</v>
      </c>
      <c r="X144" s="149" t="str">
        <f>IF(W144=0,"",RANK(W144,W:W,0)+COUNTIF(W$1:W143,W144))</f>
        <v/>
      </c>
      <c r="Y144" s="46">
        <v>0</v>
      </c>
    </row>
    <row r="145" spans="3:25">
      <c r="C145" s="9" t="str" cm="1">
        <f t="array" ref="C145">IFERROR(IF(A145="","",IF(ISNUMBER(MATCH(TRUE,ISNUMBER(SEARCH($Q$2:$Q$51, $A145)),0))=TRUE,"United States of America",INDEX($S$2:$S$199,MATCH(TRUE,ISNUMBER(SEARCH($S$2:$S$199, $A145)),0)))),"United States of America")</f>
        <v/>
      </c>
      <c r="D145" s="9" t="str" cm="1">
        <f t="array" ref="D145">IF(A145="","",IF(ISNUMBER(MATCH(TRUE,ISNUMBER(SEARCH($Q$2:$Q$51, $A145)),0))=TRUE,"",IF(ISNUMBER(MATCH(TRUE,ISNUMBER(SEARCH($S$2:$S$199, $A145)),0))=TRUE,"","미국 확인 필요")))</f>
        <v/>
      </c>
      <c r="H145" s="9" t="str" cm="1">
        <f t="array" ref="H145">IFERROR(IF(F145="","",IF(ISNUMBER(MATCH(TRUE,ISNUMBER(SEARCH($Q$2:$Q$51, $F145)),0))=TRUE,"United States of America",INDEX($S$2:$S$199,MATCH(TRUE,ISNUMBER(SEARCH($S$2:$S$199, $F145)),0)))),"United States of America")</f>
        <v/>
      </c>
      <c r="I145" s="9" t="str" cm="1">
        <f t="array" ref="I145">IF(F145="","",IF(ISNUMBER(MATCH(TRUE,ISNUMBER(SEARCH($Q$2:$Q$51, $F145)),0))=TRUE,"",IF(ISNUMBER(MATCH(TRUE,ISNUMBER(SEARCH($S$2:$S$199, $F145)),0))=TRUE,"","미국 확인 필요")))</f>
        <v/>
      </c>
      <c r="S145" s="46" t="s">
        <v>401</v>
      </c>
      <c r="T145" s="149">
        <f t="shared" si="9"/>
        <v>0</v>
      </c>
      <c r="U145" s="149" t="str">
        <f>IF(T145=0,"",RANK(T145,T:T,0)+COUNTIF(T$1:T144,T145))</f>
        <v/>
      </c>
      <c r="V145" s="46">
        <v>0</v>
      </c>
      <c r="W145" s="149">
        <f t="shared" si="10"/>
        <v>0</v>
      </c>
      <c r="X145" s="149" t="str">
        <f>IF(W145=0,"",RANK(W145,W:W,0)+COUNTIF(W$1:W144,W145))</f>
        <v/>
      </c>
      <c r="Y145" s="46">
        <v>0</v>
      </c>
    </row>
    <row r="146" spans="3:25">
      <c r="C146" s="9" t="str" cm="1">
        <f t="array" ref="C146">IFERROR(IF(A146="","",IF(ISNUMBER(MATCH(TRUE,ISNUMBER(SEARCH($Q$2:$Q$51, $A146)),0))=TRUE,"United States of America",INDEX($S$2:$S$199,MATCH(TRUE,ISNUMBER(SEARCH($S$2:$S$199, $A146)),0)))),"United States of America")</f>
        <v/>
      </c>
      <c r="D146" s="9" t="str" cm="1">
        <f t="array" ref="D146">IF(A146="","",IF(ISNUMBER(MATCH(TRUE,ISNUMBER(SEARCH($Q$2:$Q$51, $A146)),0))=TRUE,"",IF(ISNUMBER(MATCH(TRUE,ISNUMBER(SEARCH($S$2:$S$199, $A146)),0))=TRUE,"","미국 확인 필요")))</f>
        <v/>
      </c>
      <c r="H146" s="9" t="str" cm="1">
        <f t="array" ref="H146">IFERROR(IF(F146="","",IF(ISNUMBER(MATCH(TRUE,ISNUMBER(SEARCH($Q$2:$Q$51, $F146)),0))=TRUE,"United States of America",INDEX($S$2:$S$199,MATCH(TRUE,ISNUMBER(SEARCH($S$2:$S$199, $F146)),0)))),"United States of America")</f>
        <v/>
      </c>
      <c r="I146" s="9" t="str" cm="1">
        <f t="array" ref="I146">IF(F146="","",IF(ISNUMBER(MATCH(TRUE,ISNUMBER(SEARCH($Q$2:$Q$51, $F146)),0))=TRUE,"",IF(ISNUMBER(MATCH(TRUE,ISNUMBER(SEARCH($S$2:$S$199, $F146)),0))=TRUE,"","미국 확인 필요")))</f>
        <v/>
      </c>
      <c r="S146" s="46" t="s">
        <v>402</v>
      </c>
      <c r="T146" s="149">
        <f t="shared" si="9"/>
        <v>0</v>
      </c>
      <c r="U146" s="149" t="str">
        <f>IF(T146=0,"",RANK(T146,T:T,0)+COUNTIF(T$1:T145,T146))</f>
        <v/>
      </c>
      <c r="V146" s="46">
        <v>0</v>
      </c>
      <c r="W146" s="149">
        <f t="shared" si="10"/>
        <v>0</v>
      </c>
      <c r="X146" s="149" t="str">
        <f>IF(W146=0,"",RANK(W146,W:W,0)+COUNTIF(W$1:W145,W146))</f>
        <v/>
      </c>
      <c r="Y146" s="46">
        <v>0</v>
      </c>
    </row>
    <row r="147" spans="3:25">
      <c r="C147" s="9" t="str" cm="1">
        <f t="array" ref="C147">IFERROR(IF(A147="","",IF(ISNUMBER(MATCH(TRUE,ISNUMBER(SEARCH($Q$2:$Q$51, $A147)),0))=TRUE,"United States of America",INDEX($S$2:$S$199,MATCH(TRUE,ISNUMBER(SEARCH($S$2:$S$199, $A147)),0)))),"United States of America")</f>
        <v/>
      </c>
      <c r="D147" s="9" t="str" cm="1">
        <f t="array" ref="D147">IF(A147="","",IF(ISNUMBER(MATCH(TRUE,ISNUMBER(SEARCH($Q$2:$Q$51, $A147)),0))=TRUE,"",IF(ISNUMBER(MATCH(TRUE,ISNUMBER(SEARCH($S$2:$S$199, $A147)),0))=TRUE,"","미국 확인 필요")))</f>
        <v/>
      </c>
      <c r="H147" s="9" t="str" cm="1">
        <f t="array" ref="H147">IFERROR(IF(F147="","",IF(ISNUMBER(MATCH(TRUE,ISNUMBER(SEARCH($Q$2:$Q$51, $F147)),0))=TRUE,"United States of America",INDEX($S$2:$S$199,MATCH(TRUE,ISNUMBER(SEARCH($S$2:$S$199, $F147)),0)))),"United States of America")</f>
        <v/>
      </c>
      <c r="I147" s="9" t="str" cm="1">
        <f t="array" ref="I147">IF(F147="","",IF(ISNUMBER(MATCH(TRUE,ISNUMBER(SEARCH($Q$2:$Q$51, $F147)),0))=TRUE,"",IF(ISNUMBER(MATCH(TRUE,ISNUMBER(SEARCH($S$2:$S$199, $F147)),0))=TRUE,"","미국 확인 필요")))</f>
        <v/>
      </c>
      <c r="S147" s="46" t="s">
        <v>403</v>
      </c>
      <c r="T147" s="149">
        <f t="shared" si="9"/>
        <v>0</v>
      </c>
      <c r="U147" s="149" t="str">
        <f>IF(T147=0,"",RANK(T147,T:T,0)+COUNTIF(T$1:T146,T147))</f>
        <v/>
      </c>
      <c r="V147" s="46">
        <v>0</v>
      </c>
      <c r="W147" s="149">
        <f t="shared" si="10"/>
        <v>0</v>
      </c>
      <c r="X147" s="149" t="str">
        <f>IF(W147=0,"",RANK(W147,W:W,0)+COUNTIF(W$1:W146,W147))</f>
        <v/>
      </c>
      <c r="Y147" s="46">
        <v>0</v>
      </c>
    </row>
    <row r="148" spans="3:25">
      <c r="C148" s="9" t="str" cm="1">
        <f t="array" ref="C148">IFERROR(IF(A148="","",IF(ISNUMBER(MATCH(TRUE,ISNUMBER(SEARCH($Q$2:$Q$51, $A148)),0))=TRUE,"United States of America",INDEX($S$2:$S$199,MATCH(TRUE,ISNUMBER(SEARCH($S$2:$S$199, $A148)),0)))),"United States of America")</f>
        <v/>
      </c>
      <c r="D148" s="9" t="str" cm="1">
        <f t="array" ref="D148">IF(A148="","",IF(ISNUMBER(MATCH(TRUE,ISNUMBER(SEARCH($Q$2:$Q$51, $A148)),0))=TRUE,"",IF(ISNUMBER(MATCH(TRUE,ISNUMBER(SEARCH($S$2:$S$199, $A148)),0))=TRUE,"","미국 확인 필요")))</f>
        <v/>
      </c>
      <c r="H148" s="9" t="str" cm="1">
        <f t="array" ref="H148">IFERROR(IF(F148="","",IF(ISNUMBER(MATCH(TRUE,ISNUMBER(SEARCH($Q$2:$Q$51, $F148)),0))=TRUE,"United States of America",INDEX($S$2:$S$199,MATCH(TRUE,ISNUMBER(SEARCH($S$2:$S$199, $F148)),0)))),"United States of America")</f>
        <v/>
      </c>
      <c r="I148" s="9" t="str" cm="1">
        <f t="array" ref="I148">IF(F148="","",IF(ISNUMBER(MATCH(TRUE,ISNUMBER(SEARCH($Q$2:$Q$51, $F148)),0))=TRUE,"",IF(ISNUMBER(MATCH(TRUE,ISNUMBER(SEARCH($S$2:$S$199, $F148)),0))=TRUE,"","미국 확인 필요")))</f>
        <v/>
      </c>
      <c r="S148" s="46" t="s">
        <v>404</v>
      </c>
      <c r="T148" s="149">
        <f t="shared" si="9"/>
        <v>0</v>
      </c>
      <c r="U148" s="149" t="str">
        <f>IF(T148=0,"",RANK(T148,T:T,0)+COUNTIF(T$1:T147,T148))</f>
        <v/>
      </c>
      <c r="V148" s="46">
        <v>0</v>
      </c>
      <c r="W148" s="149">
        <f t="shared" si="10"/>
        <v>0</v>
      </c>
      <c r="X148" s="149" t="str">
        <f>IF(W148=0,"",RANK(W148,W:W,0)+COUNTIF(W$1:W147,W148))</f>
        <v/>
      </c>
      <c r="Y148" s="46">
        <v>0</v>
      </c>
    </row>
    <row r="149" spans="3:25">
      <c r="C149" s="9" t="str" cm="1">
        <f t="array" ref="C149">IFERROR(IF(A149="","",IF(ISNUMBER(MATCH(TRUE,ISNUMBER(SEARCH($Q$2:$Q$51, $A149)),0))=TRUE,"United States of America",INDEX($S$2:$S$199,MATCH(TRUE,ISNUMBER(SEARCH($S$2:$S$199, $A149)),0)))),"United States of America")</f>
        <v/>
      </c>
      <c r="D149" s="9" t="str" cm="1">
        <f t="array" ref="D149">IF(A149="","",IF(ISNUMBER(MATCH(TRUE,ISNUMBER(SEARCH($Q$2:$Q$51, $A149)),0))=TRUE,"",IF(ISNUMBER(MATCH(TRUE,ISNUMBER(SEARCH($S$2:$S$199, $A149)),0))=TRUE,"","미국 확인 필요")))</f>
        <v/>
      </c>
      <c r="H149" s="9" t="str" cm="1">
        <f t="array" ref="H149">IFERROR(IF(F149="","",IF(ISNUMBER(MATCH(TRUE,ISNUMBER(SEARCH($Q$2:$Q$51, $F149)),0))=TRUE,"United States of America",INDEX($S$2:$S$199,MATCH(TRUE,ISNUMBER(SEARCH($S$2:$S$199, $F149)),0)))),"United States of America")</f>
        <v/>
      </c>
      <c r="I149" s="9" t="str" cm="1">
        <f t="array" ref="I149">IF(F149="","",IF(ISNUMBER(MATCH(TRUE,ISNUMBER(SEARCH($Q$2:$Q$51, $F149)),0))=TRUE,"",IF(ISNUMBER(MATCH(TRUE,ISNUMBER(SEARCH($S$2:$S$199, $F149)),0))=TRUE,"","미국 확인 필요")))</f>
        <v/>
      </c>
      <c r="S149" s="46" t="s">
        <v>405</v>
      </c>
      <c r="T149" s="149">
        <f t="shared" si="9"/>
        <v>0</v>
      </c>
      <c r="U149" s="149" t="str">
        <f>IF(T149=0,"",RANK(T149,T:T,0)+COUNTIF(T$1:T148,T149))</f>
        <v/>
      </c>
      <c r="V149" s="46">
        <v>0</v>
      </c>
      <c r="W149" s="149">
        <f t="shared" si="10"/>
        <v>0</v>
      </c>
      <c r="X149" s="149" t="str">
        <f>IF(W149=0,"",RANK(W149,W:W,0)+COUNTIF(W$1:W148,W149))</f>
        <v/>
      </c>
      <c r="Y149" s="46">
        <v>0</v>
      </c>
    </row>
    <row r="150" spans="3:25">
      <c r="C150" s="9" t="str" cm="1">
        <f t="array" ref="C150">IFERROR(IF(A150="","",IF(ISNUMBER(MATCH(TRUE,ISNUMBER(SEARCH($Q$2:$Q$51, $A150)),0))=TRUE,"United States of America",INDEX($S$2:$S$199,MATCH(TRUE,ISNUMBER(SEARCH($S$2:$S$199, $A150)),0)))),"United States of America")</f>
        <v/>
      </c>
      <c r="D150" s="9" t="str" cm="1">
        <f t="array" ref="D150">IF(A150="","",IF(ISNUMBER(MATCH(TRUE,ISNUMBER(SEARCH($Q$2:$Q$51, $A150)),0))=TRUE,"",IF(ISNUMBER(MATCH(TRUE,ISNUMBER(SEARCH($S$2:$S$199, $A150)),0))=TRUE,"","미국 확인 필요")))</f>
        <v/>
      </c>
      <c r="H150" s="9" t="str" cm="1">
        <f t="array" ref="H150">IFERROR(IF(F150="","",IF(ISNUMBER(MATCH(TRUE,ISNUMBER(SEARCH($Q$2:$Q$51, $F150)),0))=TRUE,"United States of America",INDEX($S$2:$S$199,MATCH(TRUE,ISNUMBER(SEARCH($S$2:$S$199, $F150)),0)))),"United States of America")</f>
        <v/>
      </c>
      <c r="I150" s="9" t="str" cm="1">
        <f t="array" ref="I150">IF(F150="","",IF(ISNUMBER(MATCH(TRUE,ISNUMBER(SEARCH($Q$2:$Q$51, $F150)),0))=TRUE,"",IF(ISNUMBER(MATCH(TRUE,ISNUMBER(SEARCH($S$2:$S$199, $F150)),0))=TRUE,"","미국 확인 필요")))</f>
        <v/>
      </c>
      <c r="S150" s="46" t="s">
        <v>406</v>
      </c>
      <c r="T150" s="149">
        <f t="shared" si="9"/>
        <v>0</v>
      </c>
      <c r="U150" s="149" t="str">
        <f>IF(T150=0,"",RANK(T150,T:T,0)+COUNTIF(T$1:T149,T150))</f>
        <v/>
      </c>
      <c r="V150" s="46">
        <v>0</v>
      </c>
      <c r="W150" s="149">
        <f t="shared" si="10"/>
        <v>0</v>
      </c>
      <c r="X150" s="149" t="str">
        <f>IF(W150=0,"",RANK(W150,W:W,0)+COUNTIF(W$1:W149,W150))</f>
        <v/>
      </c>
      <c r="Y150" s="46">
        <v>0</v>
      </c>
    </row>
    <row r="151" spans="3:25">
      <c r="C151" s="9" t="str" cm="1">
        <f t="array" ref="C151">IFERROR(IF(A151="","",IF(ISNUMBER(MATCH(TRUE,ISNUMBER(SEARCH($Q$2:$Q$51, $A151)),0))=TRUE,"United States of America",INDEX($S$2:$S$199,MATCH(TRUE,ISNUMBER(SEARCH($S$2:$S$199, $A151)),0)))),"United States of America")</f>
        <v/>
      </c>
      <c r="D151" s="9" t="str" cm="1">
        <f t="array" ref="D151">IF(A151="","",IF(ISNUMBER(MATCH(TRUE,ISNUMBER(SEARCH($Q$2:$Q$51, $A151)),0))=TRUE,"",IF(ISNUMBER(MATCH(TRUE,ISNUMBER(SEARCH($S$2:$S$199, $A151)),0))=TRUE,"","미국 확인 필요")))</f>
        <v/>
      </c>
      <c r="H151" s="9" t="str" cm="1">
        <f t="array" ref="H151">IFERROR(IF(F151="","",IF(ISNUMBER(MATCH(TRUE,ISNUMBER(SEARCH($Q$2:$Q$51, $F151)),0))=TRUE,"United States of America",INDEX($S$2:$S$199,MATCH(TRUE,ISNUMBER(SEARCH($S$2:$S$199, $F151)),0)))),"United States of America")</f>
        <v/>
      </c>
      <c r="I151" s="9" t="str" cm="1">
        <f t="array" ref="I151">IF(F151="","",IF(ISNUMBER(MATCH(TRUE,ISNUMBER(SEARCH($Q$2:$Q$51, $F151)),0))=TRUE,"",IF(ISNUMBER(MATCH(TRUE,ISNUMBER(SEARCH($S$2:$S$199, $F151)),0))=TRUE,"","미국 확인 필요")))</f>
        <v/>
      </c>
      <c r="S151" s="46" t="s">
        <v>407</v>
      </c>
      <c r="T151" s="149">
        <f t="shared" si="9"/>
        <v>0</v>
      </c>
      <c r="U151" s="149" t="str">
        <f>IF(T151=0,"",RANK(T151,T:T,0)+COUNTIF(T$1:T150,T151))</f>
        <v/>
      </c>
      <c r="V151" s="46">
        <v>0</v>
      </c>
      <c r="W151" s="149">
        <f t="shared" si="10"/>
        <v>0</v>
      </c>
      <c r="X151" s="149" t="str">
        <f>IF(W151=0,"",RANK(W151,W:W,0)+COUNTIF(W$1:W150,W151))</f>
        <v/>
      </c>
      <c r="Y151" s="46">
        <v>0</v>
      </c>
    </row>
    <row r="152" spans="3:25">
      <c r="C152" s="9" t="str" cm="1">
        <f t="array" ref="C152">IFERROR(IF(A152="","",IF(ISNUMBER(MATCH(TRUE,ISNUMBER(SEARCH($Q$2:$Q$51, $A152)),0))=TRUE,"United States of America",INDEX($S$2:$S$199,MATCH(TRUE,ISNUMBER(SEARCH($S$2:$S$199, $A152)),0)))),"United States of America")</f>
        <v/>
      </c>
      <c r="D152" s="9" t="str" cm="1">
        <f t="array" ref="D152">IF(A152="","",IF(ISNUMBER(MATCH(TRUE,ISNUMBER(SEARCH($Q$2:$Q$51, $A152)),0))=TRUE,"",IF(ISNUMBER(MATCH(TRUE,ISNUMBER(SEARCH($S$2:$S$199, $A152)),0))=TRUE,"","미국 확인 필요")))</f>
        <v/>
      </c>
      <c r="H152" s="9" t="str" cm="1">
        <f t="array" ref="H152">IFERROR(IF(F152="","",IF(ISNUMBER(MATCH(TRUE,ISNUMBER(SEARCH($Q$2:$Q$51, $F152)),0))=TRUE,"United States of America",INDEX($S$2:$S$199,MATCH(TRUE,ISNUMBER(SEARCH($S$2:$S$199, $F152)),0)))),"United States of America")</f>
        <v/>
      </c>
      <c r="I152" s="9" t="str" cm="1">
        <f t="array" ref="I152">IF(F152="","",IF(ISNUMBER(MATCH(TRUE,ISNUMBER(SEARCH($Q$2:$Q$51, $F152)),0))=TRUE,"",IF(ISNUMBER(MATCH(TRUE,ISNUMBER(SEARCH($S$2:$S$199, $F152)),0))=TRUE,"","미국 확인 필요")))</f>
        <v/>
      </c>
      <c r="S152" s="46" t="s">
        <v>408</v>
      </c>
      <c r="T152" s="149">
        <f t="shared" si="9"/>
        <v>0</v>
      </c>
      <c r="U152" s="149" t="str">
        <f>IF(T152=0,"",RANK(T152,T:T,0)+COUNTIF(T$1:T151,T152))</f>
        <v/>
      </c>
      <c r="V152" s="46">
        <v>0</v>
      </c>
      <c r="W152" s="149">
        <f t="shared" si="10"/>
        <v>0</v>
      </c>
      <c r="X152" s="149" t="str">
        <f>IF(W152=0,"",RANK(W152,W:W,0)+COUNTIF(W$1:W151,W152))</f>
        <v/>
      </c>
      <c r="Y152" s="46">
        <v>0</v>
      </c>
    </row>
    <row r="153" spans="3:25">
      <c r="C153" s="9" t="str" cm="1">
        <f t="array" ref="C153">IFERROR(IF(A153="","",IF(ISNUMBER(MATCH(TRUE,ISNUMBER(SEARCH($Q$2:$Q$51, $A153)),0))=TRUE,"United States of America",INDEX($S$2:$S$199,MATCH(TRUE,ISNUMBER(SEARCH($S$2:$S$199, $A153)),0)))),"United States of America")</f>
        <v/>
      </c>
      <c r="D153" s="9" t="str" cm="1">
        <f t="array" ref="D153">IF(A153="","",IF(ISNUMBER(MATCH(TRUE,ISNUMBER(SEARCH($Q$2:$Q$51, $A153)),0))=TRUE,"",IF(ISNUMBER(MATCH(TRUE,ISNUMBER(SEARCH($S$2:$S$199, $A153)),0))=TRUE,"","미국 확인 필요")))</f>
        <v/>
      </c>
      <c r="H153" s="9" t="str" cm="1">
        <f t="array" ref="H153">IFERROR(IF(F153="","",IF(ISNUMBER(MATCH(TRUE,ISNUMBER(SEARCH($Q$2:$Q$51, $F153)),0))=TRUE,"United States of America",INDEX($S$2:$S$199,MATCH(TRUE,ISNUMBER(SEARCH($S$2:$S$199, $F153)),0)))),"United States of America")</f>
        <v/>
      </c>
      <c r="I153" s="9" t="str" cm="1">
        <f t="array" ref="I153">IF(F153="","",IF(ISNUMBER(MATCH(TRUE,ISNUMBER(SEARCH($Q$2:$Q$51, $F153)),0))=TRUE,"",IF(ISNUMBER(MATCH(TRUE,ISNUMBER(SEARCH($S$2:$S$199, $F153)),0))=TRUE,"","미국 확인 필요")))</f>
        <v/>
      </c>
      <c r="S153" s="46" t="s">
        <v>409</v>
      </c>
      <c r="T153" s="149">
        <f t="shared" si="9"/>
        <v>0</v>
      </c>
      <c r="U153" s="149" t="str">
        <f>IF(T153=0,"",RANK(T153,T:T,0)+COUNTIF(T$1:T152,T153))</f>
        <v/>
      </c>
      <c r="V153" s="46">
        <v>0</v>
      </c>
      <c r="W153" s="149">
        <f t="shared" si="10"/>
        <v>0</v>
      </c>
      <c r="X153" s="149" t="str">
        <f>IF(W153=0,"",RANK(W153,W:W,0)+COUNTIF(W$1:W152,W153))</f>
        <v/>
      </c>
      <c r="Y153" s="46">
        <v>0</v>
      </c>
    </row>
    <row r="154" spans="3:25">
      <c r="C154" s="9" t="str" cm="1">
        <f t="array" ref="C154">IFERROR(IF(A154="","",IF(ISNUMBER(MATCH(TRUE,ISNUMBER(SEARCH($Q$2:$Q$51, $A154)),0))=TRUE,"United States of America",INDEX($S$2:$S$199,MATCH(TRUE,ISNUMBER(SEARCH($S$2:$S$199, $A154)),0)))),"United States of America")</f>
        <v/>
      </c>
      <c r="D154" s="9" t="str" cm="1">
        <f t="array" ref="D154">IF(A154="","",IF(ISNUMBER(MATCH(TRUE,ISNUMBER(SEARCH($Q$2:$Q$51, $A154)),0))=TRUE,"",IF(ISNUMBER(MATCH(TRUE,ISNUMBER(SEARCH($S$2:$S$199, $A154)),0))=TRUE,"","미국 확인 필요")))</f>
        <v/>
      </c>
      <c r="H154" s="9" t="str" cm="1">
        <f t="array" ref="H154">IFERROR(IF(F154="","",IF(ISNUMBER(MATCH(TRUE,ISNUMBER(SEARCH($Q$2:$Q$51, $F154)),0))=TRUE,"United States of America",INDEX($S$2:$S$199,MATCH(TRUE,ISNUMBER(SEARCH($S$2:$S$199, $F154)),0)))),"United States of America")</f>
        <v/>
      </c>
      <c r="I154" s="9" t="str" cm="1">
        <f t="array" ref="I154">IF(F154="","",IF(ISNUMBER(MATCH(TRUE,ISNUMBER(SEARCH($Q$2:$Q$51, $F154)),0))=TRUE,"",IF(ISNUMBER(MATCH(TRUE,ISNUMBER(SEARCH($S$2:$S$199, $F154)),0))=TRUE,"","미국 확인 필요")))</f>
        <v/>
      </c>
      <c r="S154" s="46" t="s">
        <v>410</v>
      </c>
      <c r="T154" s="149">
        <f t="shared" si="9"/>
        <v>0</v>
      </c>
      <c r="U154" s="149" t="str">
        <f>IF(T154=0,"",RANK(T154,T:T,0)+COUNTIF(T$1:T153,T154))</f>
        <v/>
      </c>
      <c r="V154" s="46">
        <v>0</v>
      </c>
      <c r="W154" s="149">
        <f t="shared" si="10"/>
        <v>0</v>
      </c>
      <c r="X154" s="149" t="str">
        <f>IF(W154=0,"",RANK(W154,W:W,0)+COUNTIF(W$1:W153,W154))</f>
        <v/>
      </c>
      <c r="Y154" s="46">
        <v>0</v>
      </c>
    </row>
    <row r="155" spans="3:25">
      <c r="C155" s="9" t="str" cm="1">
        <f t="array" ref="C155">IFERROR(IF(A155="","",IF(ISNUMBER(MATCH(TRUE,ISNUMBER(SEARCH($Q$2:$Q$51, $A155)),0))=TRUE,"United States of America",INDEX($S$2:$S$199,MATCH(TRUE,ISNUMBER(SEARCH($S$2:$S$199, $A155)),0)))),"United States of America")</f>
        <v/>
      </c>
      <c r="D155" s="9" t="str" cm="1">
        <f t="array" ref="D155">IF(A155="","",IF(ISNUMBER(MATCH(TRUE,ISNUMBER(SEARCH($Q$2:$Q$51, $A155)),0))=TRUE,"",IF(ISNUMBER(MATCH(TRUE,ISNUMBER(SEARCH($S$2:$S$199, $A155)),0))=TRUE,"","미국 확인 필요")))</f>
        <v/>
      </c>
      <c r="H155" s="9" t="str" cm="1">
        <f t="array" ref="H155">IFERROR(IF(F155="","",IF(ISNUMBER(MATCH(TRUE,ISNUMBER(SEARCH($Q$2:$Q$51, $F155)),0))=TRUE,"United States of America",INDEX($S$2:$S$199,MATCH(TRUE,ISNUMBER(SEARCH($S$2:$S$199, $F155)),0)))),"United States of America")</f>
        <v/>
      </c>
      <c r="I155" s="9" t="str" cm="1">
        <f t="array" ref="I155">IF(F155="","",IF(ISNUMBER(MATCH(TRUE,ISNUMBER(SEARCH($Q$2:$Q$51, $F155)),0))=TRUE,"",IF(ISNUMBER(MATCH(TRUE,ISNUMBER(SEARCH($S$2:$S$199, $F155)),0))=TRUE,"","미국 확인 필요")))</f>
        <v/>
      </c>
      <c r="S155" s="46" t="s">
        <v>411</v>
      </c>
      <c r="T155" s="149">
        <f t="shared" si="9"/>
        <v>0</v>
      </c>
      <c r="U155" s="149" t="str">
        <f>IF(T155=0,"",RANK(T155,T:T,0)+COUNTIF(T$1:T154,T155))</f>
        <v/>
      </c>
      <c r="V155" s="46">
        <v>0</v>
      </c>
      <c r="W155" s="149">
        <f t="shared" si="10"/>
        <v>0</v>
      </c>
      <c r="X155" s="149" t="str">
        <f>IF(W155=0,"",RANK(W155,W:W,0)+COUNTIF(W$1:W154,W155))</f>
        <v/>
      </c>
      <c r="Y155" s="46">
        <v>0</v>
      </c>
    </row>
    <row r="156" spans="3:25">
      <c r="C156" s="9" t="str" cm="1">
        <f t="array" ref="C156">IFERROR(IF(A156="","",IF(ISNUMBER(MATCH(TRUE,ISNUMBER(SEARCH($Q$2:$Q$51, $A156)),0))=TRUE,"United States of America",INDEX($S$2:$S$199,MATCH(TRUE,ISNUMBER(SEARCH($S$2:$S$199, $A156)),0)))),"United States of America")</f>
        <v/>
      </c>
      <c r="D156" s="9" t="str" cm="1">
        <f t="array" ref="D156">IF(A156="","",IF(ISNUMBER(MATCH(TRUE,ISNUMBER(SEARCH($Q$2:$Q$51, $A156)),0))=TRUE,"",IF(ISNUMBER(MATCH(TRUE,ISNUMBER(SEARCH($S$2:$S$199, $A156)),0))=TRUE,"","미국 확인 필요")))</f>
        <v/>
      </c>
      <c r="H156" s="9" t="str" cm="1">
        <f t="array" ref="H156">IFERROR(IF(F156="","",IF(ISNUMBER(MATCH(TRUE,ISNUMBER(SEARCH($Q$2:$Q$51, $F156)),0))=TRUE,"United States of America",INDEX($S$2:$S$199,MATCH(TRUE,ISNUMBER(SEARCH($S$2:$S$199, $F156)),0)))),"United States of America")</f>
        <v/>
      </c>
      <c r="I156" s="9" t="str" cm="1">
        <f t="array" ref="I156">IF(F156="","",IF(ISNUMBER(MATCH(TRUE,ISNUMBER(SEARCH($Q$2:$Q$51, $F156)),0))=TRUE,"",IF(ISNUMBER(MATCH(TRUE,ISNUMBER(SEARCH($S$2:$S$199, $F156)),0))=TRUE,"","미국 확인 필요")))</f>
        <v/>
      </c>
      <c r="S156" s="46" t="s">
        <v>412</v>
      </c>
      <c r="T156" s="149">
        <f t="shared" si="9"/>
        <v>0</v>
      </c>
      <c r="U156" s="149" t="str">
        <f>IF(T156=0,"",RANK(T156,T:T,0)+COUNTIF(T$1:T155,T156))</f>
        <v/>
      </c>
      <c r="V156" s="46">
        <v>0</v>
      </c>
      <c r="W156" s="149">
        <f t="shared" si="10"/>
        <v>0</v>
      </c>
      <c r="X156" s="149" t="str">
        <f>IF(W156=0,"",RANK(W156,W:W,0)+COUNTIF(W$1:W155,W156))</f>
        <v/>
      </c>
      <c r="Y156" s="46">
        <v>0</v>
      </c>
    </row>
    <row r="157" spans="3:25">
      <c r="C157" s="9" t="str" cm="1">
        <f t="array" ref="C157">IFERROR(IF(A157="","",IF(ISNUMBER(MATCH(TRUE,ISNUMBER(SEARCH($Q$2:$Q$51, $A157)),0))=TRUE,"United States of America",INDEX($S$2:$S$199,MATCH(TRUE,ISNUMBER(SEARCH($S$2:$S$199, $A157)),0)))),"United States of America")</f>
        <v/>
      </c>
      <c r="D157" s="9" t="str" cm="1">
        <f t="array" ref="D157">IF(A157="","",IF(ISNUMBER(MATCH(TRUE,ISNUMBER(SEARCH($Q$2:$Q$51, $A157)),0))=TRUE,"",IF(ISNUMBER(MATCH(TRUE,ISNUMBER(SEARCH($S$2:$S$199, $A157)),0))=TRUE,"","미국 확인 필요")))</f>
        <v/>
      </c>
      <c r="H157" s="9" t="str" cm="1">
        <f t="array" ref="H157">IFERROR(IF(F157="","",IF(ISNUMBER(MATCH(TRUE,ISNUMBER(SEARCH($Q$2:$Q$51, $F157)),0))=TRUE,"United States of America",INDEX($S$2:$S$199,MATCH(TRUE,ISNUMBER(SEARCH($S$2:$S$199, $F157)),0)))),"United States of America")</f>
        <v/>
      </c>
      <c r="I157" s="9" t="str" cm="1">
        <f t="array" ref="I157">IF(F157="","",IF(ISNUMBER(MATCH(TRUE,ISNUMBER(SEARCH($Q$2:$Q$51, $F157)),0))=TRUE,"",IF(ISNUMBER(MATCH(TRUE,ISNUMBER(SEARCH($S$2:$S$199, $F157)),0))=TRUE,"","미국 확인 필요")))</f>
        <v/>
      </c>
      <c r="S157" s="46" t="s">
        <v>413</v>
      </c>
      <c r="T157" s="149">
        <f t="shared" si="9"/>
        <v>0</v>
      </c>
      <c r="U157" s="149" t="str">
        <f>IF(T157=0,"",RANK(T157,T:T,0)+COUNTIF(T$1:T156,T157))</f>
        <v/>
      </c>
      <c r="V157" s="46">
        <v>0</v>
      </c>
      <c r="W157" s="149">
        <f t="shared" si="10"/>
        <v>0</v>
      </c>
      <c r="X157" s="149" t="str">
        <f>IF(W157=0,"",RANK(W157,W:W,0)+COUNTIF(W$1:W156,W157))</f>
        <v/>
      </c>
      <c r="Y157" s="46">
        <v>0</v>
      </c>
    </row>
    <row r="158" spans="3:25">
      <c r="C158" s="9" t="str" cm="1">
        <f t="array" ref="C158">IFERROR(IF(A158="","",IF(ISNUMBER(MATCH(TRUE,ISNUMBER(SEARCH($Q$2:$Q$51, $A158)),0))=TRUE,"United States of America",INDEX($S$2:$S$199,MATCH(TRUE,ISNUMBER(SEARCH($S$2:$S$199, $A158)),0)))),"United States of America")</f>
        <v/>
      </c>
      <c r="D158" s="9" t="str" cm="1">
        <f t="array" ref="D158">IF(A158="","",IF(ISNUMBER(MATCH(TRUE,ISNUMBER(SEARCH($Q$2:$Q$51, $A158)),0))=TRUE,"",IF(ISNUMBER(MATCH(TRUE,ISNUMBER(SEARCH($S$2:$S$199, $A158)),0))=TRUE,"","미국 확인 필요")))</f>
        <v/>
      </c>
      <c r="H158" s="9" t="str" cm="1">
        <f t="array" ref="H158">IFERROR(IF(F158="","",IF(ISNUMBER(MATCH(TRUE,ISNUMBER(SEARCH($Q$2:$Q$51, $F158)),0))=TRUE,"United States of America",INDEX($S$2:$S$199,MATCH(TRUE,ISNUMBER(SEARCH($S$2:$S$199, $F158)),0)))),"United States of America")</f>
        <v/>
      </c>
      <c r="I158" s="9" t="str" cm="1">
        <f t="array" ref="I158">IF(F158="","",IF(ISNUMBER(MATCH(TRUE,ISNUMBER(SEARCH($Q$2:$Q$51, $F158)),0))=TRUE,"",IF(ISNUMBER(MATCH(TRUE,ISNUMBER(SEARCH($S$2:$S$199, $F158)),0))=TRUE,"","미국 확인 필요")))</f>
        <v/>
      </c>
      <c r="S158" s="46" t="s">
        <v>414</v>
      </c>
      <c r="T158" s="149">
        <f t="shared" si="9"/>
        <v>0</v>
      </c>
      <c r="U158" s="149" t="str">
        <f>IF(T158=0,"",RANK(T158,T:T,0)+COUNTIF(T$1:T157,T158))</f>
        <v/>
      </c>
      <c r="V158" s="46">
        <v>0</v>
      </c>
      <c r="W158" s="149">
        <f t="shared" si="10"/>
        <v>0</v>
      </c>
      <c r="X158" s="149" t="str">
        <f>IF(W158=0,"",RANK(W158,W:W,0)+COUNTIF(W$1:W157,W158))</f>
        <v/>
      </c>
      <c r="Y158" s="46">
        <v>0</v>
      </c>
    </row>
    <row r="159" spans="3:25">
      <c r="C159" s="9" t="str" cm="1">
        <f t="array" ref="C159">IFERROR(IF(A159="","",IF(ISNUMBER(MATCH(TRUE,ISNUMBER(SEARCH($Q$2:$Q$51, $A159)),0))=TRUE,"United States of America",INDEX($S$2:$S$199,MATCH(TRUE,ISNUMBER(SEARCH($S$2:$S$199, $A159)),0)))),"United States of America")</f>
        <v/>
      </c>
      <c r="D159" s="9" t="str" cm="1">
        <f t="array" ref="D159">IF(A159="","",IF(ISNUMBER(MATCH(TRUE,ISNUMBER(SEARCH($Q$2:$Q$51, $A159)),0))=TRUE,"",IF(ISNUMBER(MATCH(TRUE,ISNUMBER(SEARCH($S$2:$S$199, $A159)),0))=TRUE,"","미국 확인 필요")))</f>
        <v/>
      </c>
      <c r="H159" s="9" t="str" cm="1">
        <f t="array" ref="H159">IFERROR(IF(F159="","",IF(ISNUMBER(MATCH(TRUE,ISNUMBER(SEARCH($Q$2:$Q$51, $F159)),0))=TRUE,"United States of America",INDEX($S$2:$S$199,MATCH(TRUE,ISNUMBER(SEARCH($S$2:$S$199, $F159)),0)))),"United States of America")</f>
        <v/>
      </c>
      <c r="I159" s="9" t="str" cm="1">
        <f t="array" ref="I159">IF(F159="","",IF(ISNUMBER(MATCH(TRUE,ISNUMBER(SEARCH($Q$2:$Q$51, $F159)),0))=TRUE,"",IF(ISNUMBER(MATCH(TRUE,ISNUMBER(SEARCH($S$2:$S$199, $F159)),0))=TRUE,"","미국 확인 필요")))</f>
        <v/>
      </c>
      <c r="S159" s="46" t="s">
        <v>415</v>
      </c>
      <c r="T159" s="149">
        <f t="shared" si="9"/>
        <v>0</v>
      </c>
      <c r="U159" s="149" t="str">
        <f>IF(T159=0,"",RANK(T159,T:T,0)+COUNTIF(T$1:T158,T159))</f>
        <v/>
      </c>
      <c r="V159" s="46">
        <v>0</v>
      </c>
      <c r="W159" s="149">
        <f t="shared" si="10"/>
        <v>0</v>
      </c>
      <c r="X159" s="149" t="str">
        <f>IF(W159=0,"",RANK(W159,W:W,0)+COUNTIF(W$1:W158,W159))</f>
        <v/>
      </c>
      <c r="Y159" s="46">
        <v>0</v>
      </c>
    </row>
    <row r="160" spans="3:25">
      <c r="C160" s="9" t="str" cm="1">
        <f t="array" ref="C160">IFERROR(IF(A160="","",IF(ISNUMBER(MATCH(TRUE,ISNUMBER(SEARCH($Q$2:$Q$51, $A160)),0))=TRUE,"United States of America",INDEX($S$2:$S$199,MATCH(TRUE,ISNUMBER(SEARCH($S$2:$S$199, $A160)),0)))),"United States of America")</f>
        <v/>
      </c>
      <c r="D160" s="9" t="str" cm="1">
        <f t="array" ref="D160">IF(A160="","",IF(ISNUMBER(MATCH(TRUE,ISNUMBER(SEARCH($Q$2:$Q$51, $A160)),0))=TRUE,"",IF(ISNUMBER(MATCH(TRUE,ISNUMBER(SEARCH($S$2:$S$199, $A160)),0))=TRUE,"","미국 확인 필요")))</f>
        <v/>
      </c>
      <c r="H160" s="9" t="str" cm="1">
        <f t="array" ref="H160">IFERROR(IF(F160="","",IF(ISNUMBER(MATCH(TRUE,ISNUMBER(SEARCH($Q$2:$Q$51, $F160)),0))=TRUE,"United States of America",INDEX($S$2:$S$199,MATCH(TRUE,ISNUMBER(SEARCH($S$2:$S$199, $F160)),0)))),"United States of America")</f>
        <v/>
      </c>
      <c r="I160" s="9" t="str" cm="1">
        <f t="array" ref="I160">IF(F160="","",IF(ISNUMBER(MATCH(TRUE,ISNUMBER(SEARCH($Q$2:$Q$51, $F160)),0))=TRUE,"",IF(ISNUMBER(MATCH(TRUE,ISNUMBER(SEARCH($S$2:$S$199, $F160)),0))=TRUE,"","미국 확인 필요")))</f>
        <v/>
      </c>
      <c r="S160" s="46" t="s">
        <v>416</v>
      </c>
      <c r="T160" s="149">
        <f t="shared" si="9"/>
        <v>0</v>
      </c>
      <c r="U160" s="149" t="str">
        <f>IF(T160=0,"",RANK(T160,T:T,0)+COUNTIF(T$1:T159,T160))</f>
        <v/>
      </c>
      <c r="V160" s="46">
        <v>0</v>
      </c>
      <c r="W160" s="149">
        <f t="shared" si="10"/>
        <v>0</v>
      </c>
      <c r="X160" s="149" t="str">
        <f>IF(W160=0,"",RANK(W160,W:W,0)+COUNTIF(W$1:W159,W160))</f>
        <v/>
      </c>
      <c r="Y160" s="46">
        <v>0</v>
      </c>
    </row>
    <row r="161" spans="3:25">
      <c r="C161" s="9" t="str" cm="1">
        <f t="array" ref="C161">IFERROR(IF(A161="","",IF(ISNUMBER(MATCH(TRUE,ISNUMBER(SEARCH($Q$2:$Q$51, $A161)),0))=TRUE,"United States of America",INDEX($S$2:$S$199,MATCH(TRUE,ISNUMBER(SEARCH($S$2:$S$199, $A161)),0)))),"United States of America")</f>
        <v/>
      </c>
      <c r="D161" s="9" t="str" cm="1">
        <f t="array" ref="D161">IF(A161="","",IF(ISNUMBER(MATCH(TRUE,ISNUMBER(SEARCH($Q$2:$Q$51, $A161)),0))=TRUE,"",IF(ISNUMBER(MATCH(TRUE,ISNUMBER(SEARCH($S$2:$S$199, $A161)),0))=TRUE,"","미국 확인 필요")))</f>
        <v/>
      </c>
      <c r="H161" s="9" t="str" cm="1">
        <f t="array" ref="H161">IFERROR(IF(F161="","",IF(ISNUMBER(MATCH(TRUE,ISNUMBER(SEARCH($Q$2:$Q$51, $F161)),0))=TRUE,"United States of America",INDEX($S$2:$S$199,MATCH(TRUE,ISNUMBER(SEARCH($S$2:$S$199, $F161)),0)))),"United States of America")</f>
        <v/>
      </c>
      <c r="I161" s="9" t="str" cm="1">
        <f t="array" ref="I161">IF(F161="","",IF(ISNUMBER(MATCH(TRUE,ISNUMBER(SEARCH($Q$2:$Q$51, $F161)),0))=TRUE,"",IF(ISNUMBER(MATCH(TRUE,ISNUMBER(SEARCH($S$2:$S$199, $F161)),0))=TRUE,"","미국 확인 필요")))</f>
        <v/>
      </c>
      <c r="S161" s="46" t="s">
        <v>417</v>
      </c>
      <c r="T161" s="149">
        <f t="shared" si="9"/>
        <v>0</v>
      </c>
      <c r="U161" s="149" t="str">
        <f>IF(T161=0,"",RANK(T161,T:T,0)+COUNTIF(T$1:T160,T161))</f>
        <v/>
      </c>
      <c r="V161" s="46">
        <v>0</v>
      </c>
      <c r="W161" s="149">
        <f t="shared" si="10"/>
        <v>0</v>
      </c>
      <c r="X161" s="149" t="str">
        <f>IF(W161=0,"",RANK(W161,W:W,0)+COUNTIF(W$1:W160,W161))</f>
        <v/>
      </c>
      <c r="Y161" s="46">
        <v>0</v>
      </c>
    </row>
    <row r="162" spans="3:25">
      <c r="C162" s="9" t="str" cm="1">
        <f t="array" ref="C162">IFERROR(IF(A162="","",IF(ISNUMBER(MATCH(TRUE,ISNUMBER(SEARCH($Q$2:$Q$51, $A162)),0))=TRUE,"United States of America",INDEX($S$2:$S$199,MATCH(TRUE,ISNUMBER(SEARCH($S$2:$S$199, $A162)),0)))),"United States of America")</f>
        <v/>
      </c>
      <c r="D162" s="9" t="str" cm="1">
        <f t="array" ref="D162">IF(A162="","",IF(ISNUMBER(MATCH(TRUE,ISNUMBER(SEARCH($Q$2:$Q$51, $A162)),0))=TRUE,"",IF(ISNUMBER(MATCH(TRUE,ISNUMBER(SEARCH($S$2:$S$199, $A162)),0))=TRUE,"","미국 확인 필요")))</f>
        <v/>
      </c>
      <c r="H162" s="9" t="str" cm="1">
        <f t="array" ref="H162">IFERROR(IF(F162="","",IF(ISNUMBER(MATCH(TRUE,ISNUMBER(SEARCH($Q$2:$Q$51, $F162)),0))=TRUE,"United States of America",INDEX($S$2:$S$199,MATCH(TRUE,ISNUMBER(SEARCH($S$2:$S$199, $F162)),0)))),"United States of America")</f>
        <v/>
      </c>
      <c r="I162" s="9" t="str" cm="1">
        <f t="array" ref="I162">IF(F162="","",IF(ISNUMBER(MATCH(TRUE,ISNUMBER(SEARCH($Q$2:$Q$51, $F162)),0))=TRUE,"",IF(ISNUMBER(MATCH(TRUE,ISNUMBER(SEARCH($S$2:$S$199, $F162)),0))=TRUE,"","미국 확인 필요")))</f>
        <v/>
      </c>
      <c r="S162" s="46" t="s">
        <v>418</v>
      </c>
      <c r="T162" s="149">
        <f t="shared" si="9"/>
        <v>0</v>
      </c>
      <c r="U162" s="149" t="str">
        <f>IF(T162=0,"",RANK(T162,T:T,0)+COUNTIF(T$1:T161,T162))</f>
        <v/>
      </c>
      <c r="V162" s="46">
        <v>0</v>
      </c>
      <c r="W162" s="149">
        <f t="shared" si="10"/>
        <v>0</v>
      </c>
      <c r="X162" s="149" t="str">
        <f>IF(W162=0,"",RANK(W162,W:W,0)+COUNTIF(W$1:W161,W162))</f>
        <v/>
      </c>
      <c r="Y162" s="46">
        <v>0</v>
      </c>
    </row>
    <row r="163" spans="3:25">
      <c r="C163" s="9" t="str" cm="1">
        <f t="array" ref="C163">IFERROR(IF(A163="","",IF(ISNUMBER(MATCH(TRUE,ISNUMBER(SEARCH($Q$2:$Q$51, $A163)),0))=TRUE,"United States of America",INDEX($S$2:$S$199,MATCH(TRUE,ISNUMBER(SEARCH($S$2:$S$199, $A163)),0)))),"United States of America")</f>
        <v/>
      </c>
      <c r="D163" s="9" t="str" cm="1">
        <f t="array" ref="D163">IF(A163="","",IF(ISNUMBER(MATCH(TRUE,ISNUMBER(SEARCH($Q$2:$Q$51, $A163)),0))=TRUE,"",IF(ISNUMBER(MATCH(TRUE,ISNUMBER(SEARCH($S$2:$S$199, $A163)),0))=TRUE,"","미국 확인 필요")))</f>
        <v/>
      </c>
      <c r="H163" s="9" t="str" cm="1">
        <f t="array" ref="H163">IFERROR(IF(F163="","",IF(ISNUMBER(MATCH(TRUE,ISNUMBER(SEARCH($Q$2:$Q$51, $F163)),0))=TRUE,"United States of America",INDEX($S$2:$S$199,MATCH(TRUE,ISNUMBER(SEARCH($S$2:$S$199, $F163)),0)))),"United States of America")</f>
        <v/>
      </c>
      <c r="I163" s="9" t="str" cm="1">
        <f t="array" ref="I163">IF(F163="","",IF(ISNUMBER(MATCH(TRUE,ISNUMBER(SEARCH($Q$2:$Q$51, $F163)),0))=TRUE,"",IF(ISNUMBER(MATCH(TRUE,ISNUMBER(SEARCH($S$2:$S$199, $F163)),0))=TRUE,"","미국 확인 필요")))</f>
        <v/>
      </c>
      <c r="S163" s="46" t="s">
        <v>419</v>
      </c>
      <c r="T163" s="149">
        <f t="shared" si="9"/>
        <v>0</v>
      </c>
      <c r="U163" s="149" t="str">
        <f>IF(T163=0,"",RANK(T163,T:T,0)+COUNTIF(T$1:T162,T163))</f>
        <v/>
      </c>
      <c r="V163" s="46">
        <v>0</v>
      </c>
      <c r="W163" s="149">
        <f t="shared" si="10"/>
        <v>0</v>
      </c>
      <c r="X163" s="149" t="str">
        <f>IF(W163=0,"",RANK(W163,W:W,0)+COUNTIF(W$1:W162,W163))</f>
        <v/>
      </c>
      <c r="Y163" s="46">
        <v>0</v>
      </c>
    </row>
    <row r="164" spans="3:25">
      <c r="C164" s="9" t="str" cm="1">
        <f t="array" ref="C164">IFERROR(IF(A164="","",IF(ISNUMBER(MATCH(TRUE,ISNUMBER(SEARCH($Q$2:$Q$51, $A164)),0))=TRUE,"United States of America",INDEX($S$2:$S$199,MATCH(TRUE,ISNUMBER(SEARCH($S$2:$S$199, $A164)),0)))),"United States of America")</f>
        <v/>
      </c>
      <c r="D164" s="9" t="str" cm="1">
        <f t="array" ref="D164">IF(A164="","",IF(ISNUMBER(MATCH(TRUE,ISNUMBER(SEARCH($Q$2:$Q$51, $A164)),0))=TRUE,"",IF(ISNUMBER(MATCH(TRUE,ISNUMBER(SEARCH($S$2:$S$199, $A164)),0))=TRUE,"","미국 확인 필요")))</f>
        <v/>
      </c>
      <c r="H164" s="9" t="str" cm="1">
        <f t="array" ref="H164">IFERROR(IF(F164="","",IF(ISNUMBER(MATCH(TRUE,ISNUMBER(SEARCH($Q$2:$Q$51, $F164)),0))=TRUE,"United States of America",INDEX($S$2:$S$199,MATCH(TRUE,ISNUMBER(SEARCH($S$2:$S$199, $F164)),0)))),"United States of America")</f>
        <v/>
      </c>
      <c r="I164" s="9" t="str" cm="1">
        <f t="array" ref="I164">IF(F164="","",IF(ISNUMBER(MATCH(TRUE,ISNUMBER(SEARCH($Q$2:$Q$51, $F164)),0))=TRUE,"",IF(ISNUMBER(MATCH(TRUE,ISNUMBER(SEARCH($S$2:$S$199, $F164)),0))=TRUE,"","미국 확인 필요")))</f>
        <v/>
      </c>
      <c r="S164" s="46" t="s">
        <v>420</v>
      </c>
      <c r="T164" s="149">
        <f t="shared" si="9"/>
        <v>0</v>
      </c>
      <c r="U164" s="149" t="str">
        <f>IF(T164=0,"",RANK(T164,T:T,0)+COUNTIF(T$1:T163,T164))</f>
        <v/>
      </c>
      <c r="V164" s="46">
        <v>0</v>
      </c>
      <c r="W164" s="149">
        <f t="shared" si="10"/>
        <v>0</v>
      </c>
      <c r="X164" s="149" t="str">
        <f>IF(W164=0,"",RANK(W164,W:W,0)+COUNTIF(W$1:W163,W164))</f>
        <v/>
      </c>
      <c r="Y164" s="46">
        <v>0</v>
      </c>
    </row>
    <row r="165" spans="3:25">
      <c r="C165" s="9" t="str" cm="1">
        <f t="array" ref="C165">IFERROR(IF(A165="","",IF(ISNUMBER(MATCH(TRUE,ISNUMBER(SEARCH($Q$2:$Q$51, $A165)),0))=TRUE,"United States of America",INDEX($S$2:$S$199,MATCH(TRUE,ISNUMBER(SEARCH($S$2:$S$199, $A165)),0)))),"United States of America")</f>
        <v/>
      </c>
      <c r="D165" s="9" t="str" cm="1">
        <f t="array" ref="D165">IF(A165="","",IF(ISNUMBER(MATCH(TRUE,ISNUMBER(SEARCH($Q$2:$Q$51, $A165)),0))=TRUE,"",IF(ISNUMBER(MATCH(TRUE,ISNUMBER(SEARCH($S$2:$S$199, $A165)),0))=TRUE,"","미국 확인 필요")))</f>
        <v/>
      </c>
      <c r="H165" s="9" t="str" cm="1">
        <f t="array" ref="H165">IFERROR(IF(F165="","",IF(ISNUMBER(MATCH(TRUE,ISNUMBER(SEARCH($Q$2:$Q$51, $F165)),0))=TRUE,"United States of America",INDEX($S$2:$S$199,MATCH(TRUE,ISNUMBER(SEARCH($S$2:$S$199, $F165)),0)))),"United States of America")</f>
        <v/>
      </c>
      <c r="I165" s="9" t="str" cm="1">
        <f t="array" ref="I165">IF(F165="","",IF(ISNUMBER(MATCH(TRUE,ISNUMBER(SEARCH($Q$2:$Q$51, $F165)),0))=TRUE,"",IF(ISNUMBER(MATCH(TRUE,ISNUMBER(SEARCH($S$2:$S$199, $F165)),0))=TRUE,"","미국 확인 필요")))</f>
        <v/>
      </c>
      <c r="S165" s="46" t="s">
        <v>421</v>
      </c>
      <c r="T165" s="149">
        <f t="shared" si="9"/>
        <v>0</v>
      </c>
      <c r="U165" s="149" t="str">
        <f>IF(T165=0,"",RANK(T165,T:T,0)+COUNTIF(T$1:T164,T165))</f>
        <v/>
      </c>
      <c r="V165" s="46">
        <v>0</v>
      </c>
      <c r="W165" s="149">
        <f t="shared" si="10"/>
        <v>0</v>
      </c>
      <c r="X165" s="149" t="str">
        <f>IF(W165=0,"",RANK(W165,W:W,0)+COUNTIF(W$1:W164,W165))</f>
        <v/>
      </c>
      <c r="Y165" s="46">
        <v>0</v>
      </c>
    </row>
    <row r="166" spans="3:25">
      <c r="C166" s="9" t="str" cm="1">
        <f t="array" ref="C166">IFERROR(IF(A166="","",IF(ISNUMBER(MATCH(TRUE,ISNUMBER(SEARCH($Q$2:$Q$51, $A166)),0))=TRUE,"United States of America",INDEX($S$2:$S$199,MATCH(TRUE,ISNUMBER(SEARCH($S$2:$S$199, $A166)),0)))),"United States of America")</f>
        <v/>
      </c>
      <c r="D166" s="9" t="str" cm="1">
        <f t="array" ref="D166">IF(A166="","",IF(ISNUMBER(MATCH(TRUE,ISNUMBER(SEARCH($Q$2:$Q$51, $A166)),0))=TRUE,"",IF(ISNUMBER(MATCH(TRUE,ISNUMBER(SEARCH($S$2:$S$199, $A166)),0))=TRUE,"","미국 확인 필요")))</f>
        <v/>
      </c>
      <c r="H166" s="9" t="str" cm="1">
        <f t="array" ref="H166">IFERROR(IF(F166="","",IF(ISNUMBER(MATCH(TRUE,ISNUMBER(SEARCH($Q$2:$Q$51, $F166)),0))=TRUE,"United States of America",INDEX($S$2:$S$199,MATCH(TRUE,ISNUMBER(SEARCH($S$2:$S$199, $F166)),0)))),"United States of America")</f>
        <v/>
      </c>
      <c r="I166" s="9" t="str" cm="1">
        <f t="array" ref="I166">IF(F166="","",IF(ISNUMBER(MATCH(TRUE,ISNUMBER(SEARCH($Q$2:$Q$51, $F166)),0))=TRUE,"",IF(ISNUMBER(MATCH(TRUE,ISNUMBER(SEARCH($S$2:$S$199, $F166)),0))=TRUE,"","미국 확인 필요")))</f>
        <v/>
      </c>
      <c r="S166" s="46" t="s">
        <v>422</v>
      </c>
      <c r="T166" s="149">
        <f t="shared" si="9"/>
        <v>0</v>
      </c>
      <c r="U166" s="149" t="str">
        <f>IF(T166=0,"",RANK(T166,T:T,0)+COUNTIF(T$1:T165,T166))</f>
        <v/>
      </c>
      <c r="V166" s="46">
        <v>0</v>
      </c>
      <c r="W166" s="149">
        <f t="shared" si="10"/>
        <v>0</v>
      </c>
      <c r="X166" s="149" t="str">
        <f>IF(W166=0,"",RANK(W166,W:W,0)+COUNTIF(W$1:W165,W166))</f>
        <v/>
      </c>
      <c r="Y166" s="46">
        <v>0</v>
      </c>
    </row>
    <row r="167" spans="3:25">
      <c r="C167" s="9" t="str" cm="1">
        <f t="array" ref="C167">IFERROR(IF(A167="","",IF(ISNUMBER(MATCH(TRUE,ISNUMBER(SEARCH($Q$2:$Q$51, $A167)),0))=TRUE,"United States of America",INDEX($S$2:$S$199,MATCH(TRUE,ISNUMBER(SEARCH($S$2:$S$199, $A167)),0)))),"United States of America")</f>
        <v/>
      </c>
      <c r="D167" s="9" t="str" cm="1">
        <f t="array" ref="D167">IF(A167="","",IF(ISNUMBER(MATCH(TRUE,ISNUMBER(SEARCH($Q$2:$Q$51, $A167)),0))=TRUE,"",IF(ISNUMBER(MATCH(TRUE,ISNUMBER(SEARCH($S$2:$S$199, $A167)),0))=TRUE,"","미국 확인 필요")))</f>
        <v/>
      </c>
      <c r="H167" s="9" t="str" cm="1">
        <f t="array" ref="H167">IFERROR(IF(F167="","",IF(ISNUMBER(MATCH(TRUE,ISNUMBER(SEARCH($Q$2:$Q$51, $F167)),0))=TRUE,"United States of America",INDEX($S$2:$S$199,MATCH(TRUE,ISNUMBER(SEARCH($S$2:$S$199, $F167)),0)))),"United States of America")</f>
        <v/>
      </c>
      <c r="I167" s="9" t="str" cm="1">
        <f t="array" ref="I167">IF(F167="","",IF(ISNUMBER(MATCH(TRUE,ISNUMBER(SEARCH($Q$2:$Q$51, $F167)),0))=TRUE,"",IF(ISNUMBER(MATCH(TRUE,ISNUMBER(SEARCH($S$2:$S$199, $F167)),0))=TRUE,"","미국 확인 필요")))</f>
        <v/>
      </c>
      <c r="S167" s="46" t="s">
        <v>423</v>
      </c>
      <c r="T167" s="149">
        <f t="shared" si="9"/>
        <v>0</v>
      </c>
      <c r="U167" s="149" t="str">
        <f>IF(T167=0,"",RANK(T167,T:T,0)+COUNTIF(T$1:T166,T167))</f>
        <v/>
      </c>
      <c r="V167" s="46">
        <v>0</v>
      </c>
      <c r="W167" s="149">
        <f t="shared" si="10"/>
        <v>0</v>
      </c>
      <c r="X167" s="149" t="str">
        <f>IF(W167=0,"",RANK(W167,W:W,0)+COUNTIF(W$1:W166,W167))</f>
        <v/>
      </c>
      <c r="Y167" s="46">
        <v>0</v>
      </c>
    </row>
    <row r="168" spans="3:25">
      <c r="C168" s="9" t="str" cm="1">
        <f t="array" ref="C168">IFERROR(IF(A168="","",IF(ISNUMBER(MATCH(TRUE,ISNUMBER(SEARCH($Q$2:$Q$51, $A168)),0))=TRUE,"United States of America",INDEX($S$2:$S$199,MATCH(TRUE,ISNUMBER(SEARCH($S$2:$S$199, $A168)),0)))),"United States of America")</f>
        <v/>
      </c>
      <c r="D168" s="9" t="str" cm="1">
        <f t="array" ref="D168">IF(A168="","",IF(ISNUMBER(MATCH(TRUE,ISNUMBER(SEARCH($Q$2:$Q$51, $A168)),0))=TRUE,"",IF(ISNUMBER(MATCH(TRUE,ISNUMBER(SEARCH($S$2:$S$199, $A168)),0))=TRUE,"","미국 확인 필요")))</f>
        <v/>
      </c>
      <c r="H168" s="9" t="str" cm="1">
        <f t="array" ref="H168">IFERROR(IF(F168="","",IF(ISNUMBER(MATCH(TRUE,ISNUMBER(SEARCH($Q$2:$Q$51, $F168)),0))=TRUE,"United States of America",INDEX($S$2:$S$199,MATCH(TRUE,ISNUMBER(SEARCH($S$2:$S$199, $F168)),0)))),"United States of America")</f>
        <v/>
      </c>
      <c r="I168" s="9" t="str" cm="1">
        <f t="array" ref="I168">IF(F168="","",IF(ISNUMBER(MATCH(TRUE,ISNUMBER(SEARCH($Q$2:$Q$51, $F168)),0))=TRUE,"",IF(ISNUMBER(MATCH(TRUE,ISNUMBER(SEARCH($S$2:$S$199, $F168)),0))=TRUE,"","미국 확인 필요")))</f>
        <v/>
      </c>
      <c r="S168" s="46" t="s">
        <v>424</v>
      </c>
      <c r="T168" s="149">
        <f t="shared" si="9"/>
        <v>0</v>
      </c>
      <c r="U168" s="149" t="str">
        <f>IF(T168=0,"",RANK(T168,T:T,0)+COUNTIF(T$1:T167,T168))</f>
        <v/>
      </c>
      <c r="V168" s="46">
        <v>0</v>
      </c>
      <c r="W168" s="149">
        <f t="shared" si="10"/>
        <v>0</v>
      </c>
      <c r="X168" s="149" t="str">
        <f>IF(W168=0,"",RANK(W168,W:W,0)+COUNTIF(W$1:W167,W168))</f>
        <v/>
      </c>
      <c r="Y168" s="46">
        <v>0</v>
      </c>
    </row>
    <row r="169" spans="3:25">
      <c r="C169" s="9" t="str" cm="1">
        <f t="array" ref="C169">IFERROR(IF(A169="","",IF(ISNUMBER(MATCH(TRUE,ISNUMBER(SEARCH($Q$2:$Q$51, $A169)),0))=TRUE,"United States of America",INDEX($S$2:$S$199,MATCH(TRUE,ISNUMBER(SEARCH($S$2:$S$199, $A169)),0)))),"United States of America")</f>
        <v/>
      </c>
      <c r="D169" s="9" t="str" cm="1">
        <f t="array" ref="D169">IF(A169="","",IF(ISNUMBER(MATCH(TRUE,ISNUMBER(SEARCH($Q$2:$Q$51, $A169)),0))=TRUE,"",IF(ISNUMBER(MATCH(TRUE,ISNUMBER(SEARCH($S$2:$S$199, $A169)),0))=TRUE,"","미국 확인 필요")))</f>
        <v/>
      </c>
      <c r="H169" s="9" t="str" cm="1">
        <f t="array" ref="H169">IFERROR(IF(F169="","",IF(ISNUMBER(MATCH(TRUE,ISNUMBER(SEARCH($Q$2:$Q$51, $F169)),0))=TRUE,"United States of America",INDEX($S$2:$S$199,MATCH(TRUE,ISNUMBER(SEARCH($S$2:$S$199, $F169)),0)))),"United States of America")</f>
        <v/>
      </c>
      <c r="I169" s="9" t="str" cm="1">
        <f t="array" ref="I169">IF(F169="","",IF(ISNUMBER(MATCH(TRUE,ISNUMBER(SEARCH($Q$2:$Q$51, $F169)),0))=TRUE,"",IF(ISNUMBER(MATCH(TRUE,ISNUMBER(SEARCH($S$2:$S$199, $F169)),0))=TRUE,"","미국 확인 필요")))</f>
        <v/>
      </c>
      <c r="S169" s="46" t="s">
        <v>425</v>
      </c>
      <c r="T169" s="149">
        <f t="shared" si="9"/>
        <v>0</v>
      </c>
      <c r="U169" s="149" t="str">
        <f>IF(T169=0,"",RANK(T169,T:T,0)+COUNTIF(T$1:T168,T169))</f>
        <v/>
      </c>
      <c r="V169" s="46">
        <v>0</v>
      </c>
      <c r="W169" s="149">
        <f t="shared" si="10"/>
        <v>0</v>
      </c>
      <c r="X169" s="149" t="str">
        <f>IF(W169=0,"",RANK(W169,W:W,0)+COUNTIF(W$1:W168,W169))</f>
        <v/>
      </c>
      <c r="Y169" s="46">
        <v>0</v>
      </c>
    </row>
    <row r="170" spans="3:25">
      <c r="C170" s="9" t="str" cm="1">
        <f t="array" ref="C170">IFERROR(IF(A170="","",IF(ISNUMBER(MATCH(TRUE,ISNUMBER(SEARCH($Q$2:$Q$51, $A170)),0))=TRUE,"United States of America",INDEX($S$2:$S$199,MATCH(TRUE,ISNUMBER(SEARCH($S$2:$S$199, $A170)),0)))),"United States of America")</f>
        <v/>
      </c>
      <c r="D170" s="9" t="str" cm="1">
        <f t="array" ref="D170">IF(A170="","",IF(ISNUMBER(MATCH(TRUE,ISNUMBER(SEARCH($Q$2:$Q$51, $A170)),0))=TRUE,"",IF(ISNUMBER(MATCH(TRUE,ISNUMBER(SEARCH($S$2:$S$199, $A170)),0))=TRUE,"","미국 확인 필요")))</f>
        <v/>
      </c>
      <c r="H170" s="9" t="str" cm="1">
        <f t="array" ref="H170">IFERROR(IF(F170="","",IF(ISNUMBER(MATCH(TRUE,ISNUMBER(SEARCH($Q$2:$Q$51, $F170)),0))=TRUE,"United States of America",INDEX($S$2:$S$199,MATCH(TRUE,ISNUMBER(SEARCH($S$2:$S$199, $F170)),0)))),"United States of America")</f>
        <v/>
      </c>
      <c r="I170" s="9" t="str" cm="1">
        <f t="array" ref="I170">IF(F170="","",IF(ISNUMBER(MATCH(TRUE,ISNUMBER(SEARCH($Q$2:$Q$51, $F170)),0))=TRUE,"",IF(ISNUMBER(MATCH(TRUE,ISNUMBER(SEARCH($S$2:$S$199, $F170)),0))=TRUE,"","미국 확인 필요")))</f>
        <v/>
      </c>
      <c r="S170" s="46" t="s">
        <v>426</v>
      </c>
      <c r="T170" s="149">
        <f t="shared" si="9"/>
        <v>0</v>
      </c>
      <c r="U170" s="149" t="str">
        <f>IF(T170=0,"",RANK(T170,T:T,0)+COUNTIF(T$1:T169,T170))</f>
        <v/>
      </c>
      <c r="V170" s="46">
        <v>0</v>
      </c>
      <c r="W170" s="149">
        <f t="shared" si="10"/>
        <v>0</v>
      </c>
      <c r="X170" s="149" t="str">
        <f>IF(W170=0,"",RANK(W170,W:W,0)+COUNTIF(W$1:W169,W170))</f>
        <v/>
      </c>
      <c r="Y170" s="46">
        <v>0</v>
      </c>
    </row>
    <row r="171" spans="3:25">
      <c r="C171" s="9" t="str" cm="1">
        <f t="array" ref="C171">IFERROR(IF(A171="","",IF(ISNUMBER(MATCH(TRUE,ISNUMBER(SEARCH($Q$2:$Q$51, $A171)),0))=TRUE,"United States of America",INDEX($S$2:$S$199,MATCH(TRUE,ISNUMBER(SEARCH($S$2:$S$199, $A171)),0)))),"United States of America")</f>
        <v/>
      </c>
      <c r="D171" s="9" t="str" cm="1">
        <f t="array" ref="D171">IF(A171="","",IF(ISNUMBER(MATCH(TRUE,ISNUMBER(SEARCH($Q$2:$Q$51, $A171)),0))=TRUE,"",IF(ISNUMBER(MATCH(TRUE,ISNUMBER(SEARCH($S$2:$S$199, $A171)),0))=TRUE,"","미국 확인 필요")))</f>
        <v/>
      </c>
      <c r="H171" s="9" t="str" cm="1">
        <f t="array" ref="H171">IFERROR(IF(F171="","",IF(ISNUMBER(MATCH(TRUE,ISNUMBER(SEARCH($Q$2:$Q$51, $F171)),0))=TRUE,"United States of America",INDEX($S$2:$S$199,MATCH(TRUE,ISNUMBER(SEARCH($S$2:$S$199, $F171)),0)))),"United States of America")</f>
        <v/>
      </c>
      <c r="I171" s="9" t="str" cm="1">
        <f t="array" ref="I171">IF(F171="","",IF(ISNUMBER(MATCH(TRUE,ISNUMBER(SEARCH($Q$2:$Q$51, $F171)),0))=TRUE,"",IF(ISNUMBER(MATCH(TRUE,ISNUMBER(SEARCH($S$2:$S$199, $F171)),0))=TRUE,"","미국 확인 필요")))</f>
        <v/>
      </c>
      <c r="S171" s="46" t="s">
        <v>427</v>
      </c>
      <c r="T171" s="149">
        <f t="shared" si="9"/>
        <v>0</v>
      </c>
      <c r="U171" s="149" t="str">
        <f>IF(T171=0,"",RANK(T171,T:T,0)+COUNTIF(T$1:T170,T171))</f>
        <v/>
      </c>
      <c r="V171" s="46">
        <v>0</v>
      </c>
      <c r="W171" s="149">
        <f t="shared" si="10"/>
        <v>0</v>
      </c>
      <c r="X171" s="149" t="str">
        <f>IF(W171=0,"",RANK(W171,W:W,0)+COUNTIF(W$1:W170,W171))</f>
        <v/>
      </c>
      <c r="Y171" s="46">
        <v>0</v>
      </c>
    </row>
    <row r="172" spans="3:25">
      <c r="C172" s="9" t="str" cm="1">
        <f t="array" ref="C172">IFERROR(IF(A172="","",IF(ISNUMBER(MATCH(TRUE,ISNUMBER(SEARCH($Q$2:$Q$51, $A172)),0))=TRUE,"United States of America",INDEX($S$2:$S$199,MATCH(TRUE,ISNUMBER(SEARCH($S$2:$S$199, $A172)),0)))),"United States of America")</f>
        <v/>
      </c>
      <c r="D172" s="9" t="str" cm="1">
        <f t="array" ref="D172">IF(A172="","",IF(ISNUMBER(MATCH(TRUE,ISNUMBER(SEARCH($Q$2:$Q$51, $A172)),0))=TRUE,"",IF(ISNUMBER(MATCH(TRUE,ISNUMBER(SEARCH($S$2:$S$199, $A172)),0))=TRUE,"","미국 확인 필요")))</f>
        <v/>
      </c>
      <c r="H172" s="9" t="str" cm="1">
        <f t="array" ref="H172">IFERROR(IF(F172="","",IF(ISNUMBER(MATCH(TRUE,ISNUMBER(SEARCH($Q$2:$Q$51, $F172)),0))=TRUE,"United States of America",INDEX($S$2:$S$199,MATCH(TRUE,ISNUMBER(SEARCH($S$2:$S$199, $F172)),0)))),"United States of America")</f>
        <v/>
      </c>
      <c r="I172" s="9" t="str" cm="1">
        <f t="array" ref="I172">IF(F172="","",IF(ISNUMBER(MATCH(TRUE,ISNUMBER(SEARCH($Q$2:$Q$51, $F172)),0))=TRUE,"",IF(ISNUMBER(MATCH(TRUE,ISNUMBER(SEARCH($S$2:$S$199, $F172)),0))=TRUE,"","미국 확인 필요")))</f>
        <v/>
      </c>
      <c r="S172" s="46" t="s">
        <v>428</v>
      </c>
      <c r="T172" s="149">
        <f t="shared" si="9"/>
        <v>0</v>
      </c>
      <c r="U172" s="149" t="str">
        <f>IF(T172=0,"",RANK(T172,T:T,0)+COUNTIF(T$1:T171,T172))</f>
        <v/>
      </c>
      <c r="V172" s="46">
        <v>0</v>
      </c>
      <c r="W172" s="149">
        <f t="shared" si="10"/>
        <v>0</v>
      </c>
      <c r="X172" s="149" t="str">
        <f>IF(W172=0,"",RANK(W172,W:W,0)+COUNTIF(W$1:W171,W172))</f>
        <v/>
      </c>
      <c r="Y172" s="46">
        <v>0</v>
      </c>
    </row>
    <row r="173" spans="3:25">
      <c r="C173" s="9" t="str" cm="1">
        <f t="array" ref="C173">IFERROR(IF(A173="","",IF(ISNUMBER(MATCH(TRUE,ISNUMBER(SEARCH($Q$2:$Q$51, $A173)),0))=TRUE,"United States of America",INDEX($S$2:$S$199,MATCH(TRUE,ISNUMBER(SEARCH($S$2:$S$199, $A173)),0)))),"United States of America")</f>
        <v/>
      </c>
      <c r="D173" s="9" t="str" cm="1">
        <f t="array" ref="D173">IF(A173="","",IF(ISNUMBER(MATCH(TRUE,ISNUMBER(SEARCH($Q$2:$Q$51, $A173)),0))=TRUE,"",IF(ISNUMBER(MATCH(TRUE,ISNUMBER(SEARCH($S$2:$S$199, $A173)),0))=TRUE,"","미국 확인 필요")))</f>
        <v/>
      </c>
      <c r="H173" s="9" t="str" cm="1">
        <f t="array" ref="H173">IFERROR(IF(F173="","",IF(ISNUMBER(MATCH(TRUE,ISNUMBER(SEARCH($Q$2:$Q$51, $F173)),0))=TRUE,"United States of America",INDEX($S$2:$S$199,MATCH(TRUE,ISNUMBER(SEARCH($S$2:$S$199, $F173)),0)))),"United States of America")</f>
        <v/>
      </c>
      <c r="I173" s="9" t="str" cm="1">
        <f t="array" ref="I173">IF(F173="","",IF(ISNUMBER(MATCH(TRUE,ISNUMBER(SEARCH($Q$2:$Q$51, $F173)),0))=TRUE,"",IF(ISNUMBER(MATCH(TRUE,ISNUMBER(SEARCH($S$2:$S$199, $F173)),0))=TRUE,"","미국 확인 필요")))</f>
        <v/>
      </c>
      <c r="S173" s="46" t="s">
        <v>429</v>
      </c>
      <c r="T173" s="149">
        <f t="shared" si="9"/>
        <v>0</v>
      </c>
      <c r="U173" s="149" t="str">
        <f>IF(T173=0,"",RANK(T173,T:T,0)+COUNTIF(T$1:T172,T173))</f>
        <v/>
      </c>
      <c r="V173" s="46">
        <v>0</v>
      </c>
      <c r="W173" s="149">
        <f t="shared" si="10"/>
        <v>0</v>
      </c>
      <c r="X173" s="149" t="str">
        <f>IF(W173=0,"",RANK(W173,W:W,0)+COUNTIF(W$1:W172,W173))</f>
        <v/>
      </c>
      <c r="Y173" s="46">
        <v>0</v>
      </c>
    </row>
    <row r="174" spans="3:25">
      <c r="C174" s="9" t="str" cm="1">
        <f t="array" ref="C174">IFERROR(IF(A174="","",IF(ISNUMBER(MATCH(TRUE,ISNUMBER(SEARCH($Q$2:$Q$51, $A174)),0))=TRUE,"United States of America",INDEX($S$2:$S$199,MATCH(TRUE,ISNUMBER(SEARCH($S$2:$S$199, $A174)),0)))),"United States of America")</f>
        <v/>
      </c>
      <c r="D174" s="9" t="str" cm="1">
        <f t="array" ref="D174">IF(A174="","",IF(ISNUMBER(MATCH(TRUE,ISNUMBER(SEARCH($Q$2:$Q$51, $A174)),0))=TRUE,"",IF(ISNUMBER(MATCH(TRUE,ISNUMBER(SEARCH($S$2:$S$199, $A174)),0))=TRUE,"","미국 확인 필요")))</f>
        <v/>
      </c>
      <c r="H174" s="9" t="str" cm="1">
        <f t="array" ref="H174">IFERROR(IF(F174="","",IF(ISNUMBER(MATCH(TRUE,ISNUMBER(SEARCH($Q$2:$Q$51, $F174)),0))=TRUE,"United States of America",INDEX($S$2:$S$199,MATCH(TRUE,ISNUMBER(SEARCH($S$2:$S$199, $F174)),0)))),"United States of America")</f>
        <v/>
      </c>
      <c r="I174" s="9" t="str" cm="1">
        <f t="array" ref="I174">IF(F174="","",IF(ISNUMBER(MATCH(TRUE,ISNUMBER(SEARCH($Q$2:$Q$51, $F174)),0))=TRUE,"",IF(ISNUMBER(MATCH(TRUE,ISNUMBER(SEARCH($S$2:$S$199, $F174)),0))=TRUE,"","미국 확인 필요")))</f>
        <v/>
      </c>
      <c r="S174" s="46" t="s">
        <v>430</v>
      </c>
      <c r="T174" s="149">
        <f t="shared" si="9"/>
        <v>0</v>
      </c>
      <c r="U174" s="149" t="str">
        <f>IF(T174=0,"",RANK(T174,T:T,0)+COUNTIF(T$1:T173,T174))</f>
        <v/>
      </c>
      <c r="V174" s="46">
        <v>0</v>
      </c>
      <c r="W174" s="149">
        <f t="shared" si="10"/>
        <v>0</v>
      </c>
      <c r="X174" s="149" t="str">
        <f>IF(W174=0,"",RANK(W174,W:W,0)+COUNTIF(W$1:W173,W174))</f>
        <v/>
      </c>
      <c r="Y174" s="46">
        <v>0</v>
      </c>
    </row>
    <row r="175" spans="3:25">
      <c r="C175" s="9" t="str" cm="1">
        <f t="array" ref="C175">IFERROR(IF(A175="","",IF(ISNUMBER(MATCH(TRUE,ISNUMBER(SEARCH($Q$2:$Q$51, $A175)),0))=TRUE,"United States of America",INDEX($S$2:$S$199,MATCH(TRUE,ISNUMBER(SEARCH($S$2:$S$199, $A175)),0)))),"United States of America")</f>
        <v/>
      </c>
      <c r="D175" s="9" t="str" cm="1">
        <f t="array" ref="D175">IF(A175="","",IF(ISNUMBER(MATCH(TRUE,ISNUMBER(SEARCH($Q$2:$Q$51, $A175)),0))=TRUE,"",IF(ISNUMBER(MATCH(TRUE,ISNUMBER(SEARCH($S$2:$S$199, $A175)),0))=TRUE,"","미국 확인 필요")))</f>
        <v/>
      </c>
      <c r="H175" s="9" t="str" cm="1">
        <f t="array" ref="H175">IFERROR(IF(F175="","",IF(ISNUMBER(MATCH(TRUE,ISNUMBER(SEARCH($Q$2:$Q$51, $F175)),0))=TRUE,"United States of America",INDEX($S$2:$S$199,MATCH(TRUE,ISNUMBER(SEARCH($S$2:$S$199, $F175)),0)))),"United States of America")</f>
        <v/>
      </c>
      <c r="I175" s="9" t="str" cm="1">
        <f t="array" ref="I175">IF(F175="","",IF(ISNUMBER(MATCH(TRUE,ISNUMBER(SEARCH($Q$2:$Q$51, $F175)),0))=TRUE,"",IF(ISNUMBER(MATCH(TRUE,ISNUMBER(SEARCH($S$2:$S$199, $F175)),0))=TRUE,"","미국 확인 필요")))</f>
        <v/>
      </c>
      <c r="S175" s="46" t="s">
        <v>431</v>
      </c>
      <c r="T175" s="149">
        <f t="shared" si="9"/>
        <v>0</v>
      </c>
      <c r="U175" s="149" t="str">
        <f>IF(T175=0,"",RANK(T175,T:T,0)+COUNTIF(T$1:T174,T175))</f>
        <v/>
      </c>
      <c r="V175" s="46">
        <v>0</v>
      </c>
      <c r="W175" s="149">
        <f t="shared" si="10"/>
        <v>0</v>
      </c>
      <c r="X175" s="149" t="str">
        <f>IF(W175=0,"",RANK(W175,W:W,0)+COUNTIF(W$1:W174,W175))</f>
        <v/>
      </c>
      <c r="Y175" s="46">
        <v>0</v>
      </c>
    </row>
    <row r="176" spans="3:25">
      <c r="C176" s="9" t="str" cm="1">
        <f t="array" ref="C176">IFERROR(IF(A176="","",IF(ISNUMBER(MATCH(TRUE,ISNUMBER(SEARCH($Q$2:$Q$51, $A176)),0))=TRUE,"United States of America",INDEX($S$2:$S$199,MATCH(TRUE,ISNUMBER(SEARCH($S$2:$S$199, $A176)),0)))),"United States of America")</f>
        <v/>
      </c>
      <c r="D176" s="9" t="str" cm="1">
        <f t="array" ref="D176">IF(A176="","",IF(ISNUMBER(MATCH(TRUE,ISNUMBER(SEARCH($Q$2:$Q$51, $A176)),0))=TRUE,"",IF(ISNUMBER(MATCH(TRUE,ISNUMBER(SEARCH($S$2:$S$199, $A176)),0))=TRUE,"","미국 확인 필요")))</f>
        <v/>
      </c>
      <c r="H176" s="9" t="str" cm="1">
        <f t="array" ref="H176">IFERROR(IF(F176="","",IF(ISNUMBER(MATCH(TRUE,ISNUMBER(SEARCH($Q$2:$Q$51, $F176)),0))=TRUE,"United States of America",INDEX($S$2:$S$199,MATCH(TRUE,ISNUMBER(SEARCH($S$2:$S$199, $F176)),0)))),"United States of America")</f>
        <v/>
      </c>
      <c r="I176" s="9" t="str" cm="1">
        <f t="array" ref="I176">IF(F176="","",IF(ISNUMBER(MATCH(TRUE,ISNUMBER(SEARCH($Q$2:$Q$51, $F176)),0))=TRUE,"",IF(ISNUMBER(MATCH(TRUE,ISNUMBER(SEARCH($S$2:$S$199, $F176)),0))=TRUE,"","미국 확인 필요")))</f>
        <v/>
      </c>
      <c r="S176" s="46" t="s">
        <v>432</v>
      </c>
      <c r="T176" s="149">
        <f t="shared" si="9"/>
        <v>0</v>
      </c>
      <c r="U176" s="149" t="str">
        <f>IF(T176=0,"",RANK(T176,T:T,0)+COUNTIF(T$1:T175,T176))</f>
        <v/>
      </c>
      <c r="V176" s="46">
        <v>0</v>
      </c>
      <c r="W176" s="149">
        <f t="shared" si="10"/>
        <v>0</v>
      </c>
      <c r="X176" s="149" t="str">
        <f>IF(W176=0,"",RANK(W176,W:W,0)+COUNTIF(W$1:W175,W176))</f>
        <v/>
      </c>
      <c r="Y176" s="46">
        <v>0</v>
      </c>
    </row>
    <row r="177" spans="3:25">
      <c r="C177" s="9" t="str" cm="1">
        <f t="array" ref="C177">IFERROR(IF(A177="","",IF(ISNUMBER(MATCH(TRUE,ISNUMBER(SEARCH($Q$2:$Q$51, $A177)),0))=TRUE,"United States of America",INDEX($S$2:$S$199,MATCH(TRUE,ISNUMBER(SEARCH($S$2:$S$199, $A177)),0)))),"United States of America")</f>
        <v/>
      </c>
      <c r="D177" s="9" t="str" cm="1">
        <f t="array" ref="D177">IF(A177="","",IF(ISNUMBER(MATCH(TRUE,ISNUMBER(SEARCH($Q$2:$Q$51, $A177)),0))=TRUE,"",IF(ISNUMBER(MATCH(TRUE,ISNUMBER(SEARCH($S$2:$S$199, $A177)),0))=TRUE,"","미국 확인 필요")))</f>
        <v/>
      </c>
      <c r="H177" s="9" t="str" cm="1">
        <f t="array" ref="H177">IFERROR(IF(F177="","",IF(ISNUMBER(MATCH(TRUE,ISNUMBER(SEARCH($Q$2:$Q$51, $F177)),0))=TRUE,"United States of America",INDEX($S$2:$S$199,MATCH(TRUE,ISNUMBER(SEARCH($S$2:$S$199, $F177)),0)))),"United States of America")</f>
        <v/>
      </c>
      <c r="I177" s="9" t="str" cm="1">
        <f t="array" ref="I177">IF(F177="","",IF(ISNUMBER(MATCH(TRUE,ISNUMBER(SEARCH($Q$2:$Q$51, $F177)),0))=TRUE,"",IF(ISNUMBER(MATCH(TRUE,ISNUMBER(SEARCH($S$2:$S$199, $F177)),0))=TRUE,"","미국 확인 필요")))</f>
        <v/>
      </c>
      <c r="S177" s="46" t="s">
        <v>433</v>
      </c>
      <c r="T177" s="149">
        <f t="shared" si="9"/>
        <v>0</v>
      </c>
      <c r="U177" s="149" t="str">
        <f>IF(T177=0,"",RANK(T177,T:T,0)+COUNTIF(T$1:T176,T177))</f>
        <v/>
      </c>
      <c r="V177" s="46">
        <v>0</v>
      </c>
      <c r="W177" s="149">
        <f t="shared" si="10"/>
        <v>0</v>
      </c>
      <c r="X177" s="149" t="str">
        <f>IF(W177=0,"",RANK(W177,W:W,0)+COUNTIF(W$1:W176,W177))</f>
        <v/>
      </c>
      <c r="Y177" s="46">
        <v>0</v>
      </c>
    </row>
    <row r="178" spans="3:25">
      <c r="C178" s="9" t="str" cm="1">
        <f t="array" ref="C178">IFERROR(IF(A178="","",IF(ISNUMBER(MATCH(TRUE,ISNUMBER(SEARCH($Q$2:$Q$51, $A178)),0))=TRUE,"United States of America",INDEX($S$2:$S$199,MATCH(TRUE,ISNUMBER(SEARCH($S$2:$S$199, $A178)),0)))),"United States of America")</f>
        <v/>
      </c>
      <c r="D178" s="9" t="str" cm="1">
        <f t="array" ref="D178">IF(A178="","",IF(ISNUMBER(MATCH(TRUE,ISNUMBER(SEARCH($Q$2:$Q$51, $A178)),0))=TRUE,"",IF(ISNUMBER(MATCH(TRUE,ISNUMBER(SEARCH($S$2:$S$199, $A178)),0))=TRUE,"","미국 확인 필요")))</f>
        <v/>
      </c>
      <c r="H178" s="9" t="str" cm="1">
        <f t="array" ref="H178">IFERROR(IF(F178="","",IF(ISNUMBER(MATCH(TRUE,ISNUMBER(SEARCH($Q$2:$Q$51, $F178)),0))=TRUE,"United States of America",INDEX($S$2:$S$199,MATCH(TRUE,ISNUMBER(SEARCH($S$2:$S$199, $F178)),0)))),"United States of America")</f>
        <v/>
      </c>
      <c r="I178" s="9" t="str" cm="1">
        <f t="array" ref="I178">IF(F178="","",IF(ISNUMBER(MATCH(TRUE,ISNUMBER(SEARCH($Q$2:$Q$51, $F178)),0))=TRUE,"",IF(ISNUMBER(MATCH(TRUE,ISNUMBER(SEARCH($S$2:$S$199, $F178)),0))=TRUE,"","미국 확인 필요")))</f>
        <v/>
      </c>
      <c r="S178" s="46" t="s">
        <v>434</v>
      </c>
      <c r="T178" s="149">
        <f t="shared" si="9"/>
        <v>0</v>
      </c>
      <c r="U178" s="149" t="str">
        <f>IF(T178=0,"",RANK(T178,T:T,0)+COUNTIF(T$1:T177,T178))</f>
        <v/>
      </c>
      <c r="V178" s="46">
        <v>0</v>
      </c>
      <c r="W178" s="149">
        <f t="shared" si="10"/>
        <v>0</v>
      </c>
      <c r="X178" s="149" t="str">
        <f>IF(W178=0,"",RANK(W178,W:W,0)+COUNTIF(W$1:W177,W178))</f>
        <v/>
      </c>
      <c r="Y178" s="46">
        <v>0</v>
      </c>
    </row>
    <row r="179" spans="3:25">
      <c r="C179" s="9" t="str" cm="1">
        <f t="array" ref="C179">IFERROR(IF(A179="","",IF(ISNUMBER(MATCH(TRUE,ISNUMBER(SEARCH($Q$2:$Q$51, $A179)),0))=TRUE,"United States of America",INDEX($S$2:$S$199,MATCH(TRUE,ISNUMBER(SEARCH($S$2:$S$199, $A179)),0)))),"United States of America")</f>
        <v/>
      </c>
      <c r="D179" s="9" t="str" cm="1">
        <f t="array" ref="D179">IF(A179="","",IF(ISNUMBER(MATCH(TRUE,ISNUMBER(SEARCH($Q$2:$Q$51, $A179)),0))=TRUE,"",IF(ISNUMBER(MATCH(TRUE,ISNUMBER(SEARCH($S$2:$S$199, $A179)),0))=TRUE,"","미국 확인 필요")))</f>
        <v/>
      </c>
      <c r="H179" s="9" t="str" cm="1">
        <f t="array" ref="H179">IFERROR(IF(F179="","",IF(ISNUMBER(MATCH(TRUE,ISNUMBER(SEARCH($Q$2:$Q$51, $F179)),0))=TRUE,"United States of America",INDEX($S$2:$S$199,MATCH(TRUE,ISNUMBER(SEARCH($S$2:$S$199, $F179)),0)))),"United States of America")</f>
        <v/>
      </c>
      <c r="I179" s="9" t="str" cm="1">
        <f t="array" ref="I179">IF(F179="","",IF(ISNUMBER(MATCH(TRUE,ISNUMBER(SEARCH($Q$2:$Q$51, $F179)),0))=TRUE,"",IF(ISNUMBER(MATCH(TRUE,ISNUMBER(SEARCH($S$2:$S$199, $F179)),0))=TRUE,"","미국 확인 필요")))</f>
        <v/>
      </c>
      <c r="S179" s="46" t="s">
        <v>435</v>
      </c>
      <c r="T179" s="149">
        <f t="shared" si="9"/>
        <v>0</v>
      </c>
      <c r="U179" s="149" t="str">
        <f>IF(T179=0,"",RANK(T179,T:T,0)+COUNTIF(T$1:T178,T179))</f>
        <v/>
      </c>
      <c r="V179" s="46">
        <v>0</v>
      </c>
      <c r="W179" s="149">
        <f t="shared" si="10"/>
        <v>0</v>
      </c>
      <c r="X179" s="149" t="str">
        <f>IF(W179=0,"",RANK(W179,W:W,0)+COUNTIF(W$1:W178,W179))</f>
        <v/>
      </c>
      <c r="Y179" s="46">
        <v>0</v>
      </c>
    </row>
    <row r="180" spans="3:25">
      <c r="C180" s="9" t="str" cm="1">
        <f t="array" ref="C180">IFERROR(IF(A180="","",IF(ISNUMBER(MATCH(TRUE,ISNUMBER(SEARCH($Q$2:$Q$51, $A180)),0))=TRUE,"United States of America",INDEX($S$2:$S$199,MATCH(TRUE,ISNUMBER(SEARCH($S$2:$S$199, $A180)),0)))),"United States of America")</f>
        <v/>
      </c>
      <c r="D180" s="9" t="str" cm="1">
        <f t="array" ref="D180">IF(A180="","",IF(ISNUMBER(MATCH(TRUE,ISNUMBER(SEARCH($Q$2:$Q$51, $A180)),0))=TRUE,"",IF(ISNUMBER(MATCH(TRUE,ISNUMBER(SEARCH($S$2:$S$199, $A180)),0))=TRUE,"","미국 확인 필요")))</f>
        <v/>
      </c>
      <c r="S180" s="46" t="s">
        <v>436</v>
      </c>
      <c r="T180" s="149">
        <f t="shared" si="9"/>
        <v>0</v>
      </c>
      <c r="U180" s="149" t="str">
        <f>IF(T180=0,"",RANK(T180,T:T,0)+COUNTIF(T$1:T179,T180))</f>
        <v/>
      </c>
      <c r="V180" s="46">
        <v>0</v>
      </c>
      <c r="W180" s="149">
        <f t="shared" si="10"/>
        <v>0</v>
      </c>
      <c r="X180" s="149" t="str">
        <f>IF(W180=0,"",RANK(W180,W:W,0)+COUNTIF(W$1:W179,W180))</f>
        <v/>
      </c>
      <c r="Y180" s="46">
        <v>0</v>
      </c>
    </row>
    <row r="181" spans="3:25">
      <c r="C181" s="9" t="str" cm="1">
        <f t="array" ref="C181">IFERROR(IF(A181="","",IF(ISNUMBER(MATCH(TRUE,ISNUMBER(SEARCH($Q$2:$Q$51, $A181)),0))=TRUE,"United States of America",INDEX($S$2:$S$199,MATCH(TRUE,ISNUMBER(SEARCH($S$2:$S$199, $A181)),0)))),"United States of America")</f>
        <v/>
      </c>
      <c r="D181" s="9" t="str" cm="1">
        <f t="array" ref="D181">IF(A181="","",IF(ISNUMBER(MATCH(TRUE,ISNUMBER(SEARCH($Q$2:$Q$51, $A181)),0))=TRUE,"",IF(ISNUMBER(MATCH(TRUE,ISNUMBER(SEARCH($S$2:$S$199, $A181)),0))=TRUE,"","미국 확인 필요")))</f>
        <v/>
      </c>
      <c r="S181" s="46" t="s">
        <v>437</v>
      </c>
      <c r="T181" s="149">
        <f t="shared" si="9"/>
        <v>0</v>
      </c>
      <c r="U181" s="149" t="str">
        <f>IF(T181=0,"",RANK(T181,T:T,0)+COUNTIF(T$1:T180,T181))</f>
        <v/>
      </c>
      <c r="V181" s="46">
        <v>0</v>
      </c>
      <c r="W181" s="149">
        <f t="shared" si="10"/>
        <v>0</v>
      </c>
      <c r="X181" s="149" t="str">
        <f>IF(W181=0,"",RANK(W181,W:W,0)+COUNTIF(W$1:W180,W181))</f>
        <v/>
      </c>
      <c r="Y181" s="46">
        <v>0</v>
      </c>
    </row>
    <row r="182" spans="3:25">
      <c r="C182" s="9" t="str" cm="1">
        <f t="array" ref="C182">IFERROR(IF(A182="","",IF(ISNUMBER(MATCH(TRUE,ISNUMBER(SEARCH($Q$2:$Q$51, $A182)),0))=TRUE,"United States of America",INDEX($S$2:$S$199,MATCH(TRUE,ISNUMBER(SEARCH($S$2:$S$199, $A182)),0)))),"United States of America")</f>
        <v/>
      </c>
      <c r="D182" s="9" t="str" cm="1">
        <f t="array" ref="D182">IF(A182="","",IF(ISNUMBER(MATCH(TRUE,ISNUMBER(SEARCH($Q$2:$Q$51, $A182)),0))=TRUE,"",IF(ISNUMBER(MATCH(TRUE,ISNUMBER(SEARCH($S$2:$S$199, $A182)),0))=TRUE,"","미국 확인 필요")))</f>
        <v/>
      </c>
      <c r="S182" s="46" t="s">
        <v>438</v>
      </c>
      <c r="T182" s="149">
        <f t="shared" si="9"/>
        <v>0</v>
      </c>
      <c r="U182" s="149" t="str">
        <f>IF(T182=0,"",RANK(T182,T:T,0)+COUNTIF(T$1:T181,T182))</f>
        <v/>
      </c>
      <c r="V182" s="46">
        <v>0</v>
      </c>
      <c r="W182" s="149">
        <f t="shared" si="10"/>
        <v>0</v>
      </c>
      <c r="X182" s="149" t="str">
        <f>IF(W182=0,"",RANK(W182,W:W,0)+COUNTIF(W$1:W181,W182))</f>
        <v/>
      </c>
      <c r="Y182" s="46">
        <v>0</v>
      </c>
    </row>
    <row r="183" spans="3:25">
      <c r="C183" s="9" t="str" cm="1">
        <f t="array" ref="C183">IFERROR(IF(A183="","",IF(ISNUMBER(MATCH(TRUE,ISNUMBER(SEARCH($Q$2:$Q$51, $A183)),0))=TRUE,"United States of America",INDEX($S$2:$S$199,MATCH(TRUE,ISNUMBER(SEARCH($S$2:$S$199, $A183)),0)))),"United States of America")</f>
        <v/>
      </c>
      <c r="D183" s="9" t="str" cm="1">
        <f t="array" ref="D183">IF(A183="","",IF(ISNUMBER(MATCH(TRUE,ISNUMBER(SEARCH($Q$2:$Q$51, $A183)),0))=TRUE,"",IF(ISNUMBER(MATCH(TRUE,ISNUMBER(SEARCH($S$2:$S$199, $A183)),0))=TRUE,"","미국 확인 필요")))</f>
        <v/>
      </c>
      <c r="S183" s="46" t="s">
        <v>439</v>
      </c>
      <c r="T183" s="149">
        <f t="shared" si="9"/>
        <v>0</v>
      </c>
      <c r="U183" s="149" t="str">
        <f>IF(T183=0,"",RANK(T183,T:T,0)+COUNTIF(T$1:T182,T183))</f>
        <v/>
      </c>
      <c r="V183" s="46">
        <v>0</v>
      </c>
      <c r="W183" s="149">
        <f t="shared" si="10"/>
        <v>0</v>
      </c>
      <c r="X183" s="149" t="str">
        <f>IF(W183=0,"",RANK(W183,W:W,0)+COUNTIF(W$1:W182,W183))</f>
        <v/>
      </c>
      <c r="Y183" s="46">
        <v>0</v>
      </c>
    </row>
    <row r="184" spans="3:25">
      <c r="C184" s="9" t="str" cm="1">
        <f t="array" ref="C184">IFERROR(IF(A184="","",IF(ISNUMBER(MATCH(TRUE,ISNUMBER(SEARCH($Q$2:$Q$51, $A184)),0))=TRUE,"United States of America",INDEX($S$2:$S$199,MATCH(TRUE,ISNUMBER(SEARCH($S$2:$S$199, $A184)),0)))),"United States of America")</f>
        <v/>
      </c>
      <c r="D184" s="9" t="str" cm="1">
        <f t="array" ref="D184">IF(A184="","",IF(ISNUMBER(MATCH(TRUE,ISNUMBER(SEARCH($Q$2:$Q$51, $A184)),0))=TRUE,"",IF(ISNUMBER(MATCH(TRUE,ISNUMBER(SEARCH($S$2:$S$199, $A184)),0))=TRUE,"","미국 확인 필요")))</f>
        <v/>
      </c>
      <c r="S184" s="46" t="s">
        <v>440</v>
      </c>
      <c r="T184" s="149">
        <f t="shared" si="9"/>
        <v>0</v>
      </c>
      <c r="U184" s="149" t="str">
        <f>IF(T184=0,"",RANK(T184,T:T,0)+COUNTIF(T$1:T183,T184))</f>
        <v/>
      </c>
      <c r="V184" s="46">
        <v>0</v>
      </c>
      <c r="W184" s="149">
        <f t="shared" si="10"/>
        <v>0</v>
      </c>
      <c r="X184" s="149" t="str">
        <f>IF(W184=0,"",RANK(W184,W:W,0)+COUNTIF(W$1:W183,W184))</f>
        <v/>
      </c>
      <c r="Y184" s="46">
        <v>0</v>
      </c>
    </row>
    <row r="185" spans="3:25">
      <c r="C185" s="9" t="str" cm="1">
        <f t="array" ref="C185">IFERROR(IF(A185="","",IF(ISNUMBER(MATCH(TRUE,ISNUMBER(SEARCH($Q$2:$Q$51, $A185)),0))=TRUE,"United States of America",INDEX($S$2:$S$199,MATCH(TRUE,ISNUMBER(SEARCH($S$2:$S$199, $A185)),0)))),"United States of America")</f>
        <v/>
      </c>
      <c r="D185" s="9" t="str" cm="1">
        <f t="array" ref="D185">IF(A185="","",IF(ISNUMBER(MATCH(TRUE,ISNUMBER(SEARCH($Q$2:$Q$51, $A185)),0))=TRUE,"",IF(ISNUMBER(MATCH(TRUE,ISNUMBER(SEARCH($S$2:$S$199, $A185)),0))=TRUE,"","미국 확인 필요")))</f>
        <v/>
      </c>
      <c r="S185" s="46" t="s">
        <v>441</v>
      </c>
      <c r="T185" s="149">
        <f t="shared" si="9"/>
        <v>0</v>
      </c>
      <c r="U185" s="149" t="str">
        <f>IF(T185=0,"",RANK(T185,T:T,0)+COUNTIF(T$1:T184,T185))</f>
        <v/>
      </c>
      <c r="V185" s="46">
        <v>0</v>
      </c>
      <c r="W185" s="149">
        <f t="shared" si="10"/>
        <v>0</v>
      </c>
      <c r="X185" s="149" t="str">
        <f>IF(W185=0,"",RANK(W185,W:W,0)+COUNTIF(W$1:W184,W185))</f>
        <v/>
      </c>
      <c r="Y185" s="46">
        <v>0</v>
      </c>
    </row>
    <row r="186" spans="3:25">
      <c r="C186" s="9" t="str" cm="1">
        <f t="array" ref="C186">IFERROR(IF(A186="","",IF(ISNUMBER(MATCH(TRUE,ISNUMBER(SEARCH($Q$2:$Q$51, $A186)),0))=TRUE,"United States of America",INDEX($S$2:$S$199,MATCH(TRUE,ISNUMBER(SEARCH($S$2:$S$199, $A186)),0)))),"United States of America")</f>
        <v/>
      </c>
      <c r="D186" s="9" t="str" cm="1">
        <f t="array" ref="D186">IF(A186="","",IF(ISNUMBER(MATCH(TRUE,ISNUMBER(SEARCH($Q$2:$Q$51, $A186)),0))=TRUE,"",IF(ISNUMBER(MATCH(TRUE,ISNUMBER(SEARCH($S$2:$S$199, $A186)),0))=TRUE,"","미국 확인 필요")))</f>
        <v/>
      </c>
      <c r="S186" s="46" t="s">
        <v>442</v>
      </c>
      <c r="T186" s="149">
        <f t="shared" si="9"/>
        <v>0</v>
      </c>
      <c r="U186" s="149" t="str">
        <f>IF(T186=0,"",RANK(T186,T:T,0)+COUNTIF(T$1:T185,T186))</f>
        <v/>
      </c>
      <c r="V186" s="46">
        <v>0</v>
      </c>
      <c r="W186" s="149">
        <f t="shared" si="10"/>
        <v>0</v>
      </c>
      <c r="X186" s="149" t="str">
        <f>IF(W186=0,"",RANK(W186,W:W,0)+COUNTIF(W$1:W185,W186))</f>
        <v/>
      </c>
      <c r="Y186" s="46">
        <v>0</v>
      </c>
    </row>
    <row r="187" spans="3:25">
      <c r="C187" s="9" t="str" cm="1">
        <f t="array" ref="C187">IFERROR(IF(A187="","",IF(ISNUMBER(MATCH(TRUE,ISNUMBER(SEARCH($Q$2:$Q$51, $A187)),0))=TRUE,"United States of America",INDEX($S$2:$S$199,MATCH(TRUE,ISNUMBER(SEARCH($S$2:$S$199, $A187)),0)))),"United States of America")</f>
        <v/>
      </c>
      <c r="D187" s="9" t="str" cm="1">
        <f t="array" ref="D187">IF(A187="","",IF(ISNUMBER(MATCH(TRUE,ISNUMBER(SEARCH($Q$2:$Q$51, $A187)),0))=TRUE,"",IF(ISNUMBER(MATCH(TRUE,ISNUMBER(SEARCH($S$2:$S$199, $A187)),0))=TRUE,"","미국 확인 필요")))</f>
        <v/>
      </c>
      <c r="S187" s="46" t="s">
        <v>443</v>
      </c>
      <c r="T187" s="149">
        <f t="shared" si="9"/>
        <v>0</v>
      </c>
      <c r="U187" s="149" t="str">
        <f>IF(T187=0,"",RANK(T187,T:T,0)+COUNTIF(T$1:T186,T187))</f>
        <v/>
      </c>
      <c r="V187" s="46">
        <v>0</v>
      </c>
      <c r="W187" s="149">
        <f t="shared" si="10"/>
        <v>0</v>
      </c>
      <c r="X187" s="149" t="str">
        <f>IF(W187=0,"",RANK(W187,W:W,0)+COUNTIF(W$1:W186,W187))</f>
        <v/>
      </c>
      <c r="Y187" s="46">
        <v>0</v>
      </c>
    </row>
    <row r="188" spans="3:25">
      <c r="C188" s="9" t="str" cm="1">
        <f t="array" ref="C188">IFERROR(IF(A188="","",IF(ISNUMBER(MATCH(TRUE,ISNUMBER(SEARCH($Q$2:$Q$51, $A188)),0))=TRUE,"United States of America",INDEX($S$2:$S$199,MATCH(TRUE,ISNUMBER(SEARCH($S$2:$S$199, $A188)),0)))),"United States of America")</f>
        <v/>
      </c>
      <c r="D188" s="9" t="str" cm="1">
        <f t="array" ref="D188">IF(A188="","",IF(ISNUMBER(MATCH(TRUE,ISNUMBER(SEARCH($Q$2:$Q$51, $A188)),0))=TRUE,"",IF(ISNUMBER(MATCH(TRUE,ISNUMBER(SEARCH($S$2:$S$199, $A188)),0))=TRUE,"","미국 확인 필요")))</f>
        <v/>
      </c>
      <c r="S188" s="46" t="s">
        <v>444</v>
      </c>
      <c r="T188" s="149">
        <f t="shared" si="9"/>
        <v>0</v>
      </c>
      <c r="U188" s="149" t="str">
        <f>IF(T188=0,"",RANK(T188,T:T,0)+COUNTIF(T$1:T187,T188))</f>
        <v/>
      </c>
      <c r="V188" s="46">
        <v>0</v>
      </c>
      <c r="W188" s="149">
        <f t="shared" si="10"/>
        <v>0</v>
      </c>
      <c r="X188" s="149" t="str">
        <f>IF(W188=0,"",RANK(W188,W:W,0)+COUNTIF(W$1:W187,W188))</f>
        <v/>
      </c>
      <c r="Y188" s="46">
        <v>0</v>
      </c>
    </row>
    <row r="189" spans="3:25">
      <c r="C189" s="9" t="str" cm="1">
        <f t="array" ref="C189">IFERROR(IF(A189="","",IF(ISNUMBER(MATCH(TRUE,ISNUMBER(SEARCH($Q$2:$Q$51, $A189)),0))=TRUE,"United States of America",INDEX($S$2:$S$199,MATCH(TRUE,ISNUMBER(SEARCH($S$2:$S$199, $A189)),0)))),"United States of America")</f>
        <v/>
      </c>
      <c r="D189" s="9" t="str" cm="1">
        <f t="array" ref="D189">IF(A189="","",IF(ISNUMBER(MATCH(TRUE,ISNUMBER(SEARCH($Q$2:$Q$51, $A189)),0))=TRUE,"",IF(ISNUMBER(MATCH(TRUE,ISNUMBER(SEARCH($S$2:$S$199, $A189)),0))=TRUE,"","미국 확인 필요")))</f>
        <v/>
      </c>
      <c r="S189" s="46" t="s">
        <v>445</v>
      </c>
      <c r="T189" s="149">
        <f t="shared" si="9"/>
        <v>0</v>
      </c>
      <c r="U189" s="149" t="str">
        <f>IF(T189=0,"",RANK(T189,T:T,0)+COUNTIF(T$1:T188,T189))</f>
        <v/>
      </c>
      <c r="V189" s="46">
        <v>0</v>
      </c>
      <c r="W189" s="149">
        <f t="shared" si="10"/>
        <v>0</v>
      </c>
      <c r="X189" s="149" t="str">
        <f>IF(W189=0,"",RANK(W189,W:W,0)+COUNTIF(W$1:W188,W189))</f>
        <v/>
      </c>
      <c r="Y189" s="46">
        <v>0</v>
      </c>
    </row>
    <row r="190" spans="3:25">
      <c r="C190" s="9" t="str" cm="1">
        <f t="array" ref="C190">IFERROR(IF(A190="","",IF(ISNUMBER(MATCH(TRUE,ISNUMBER(SEARCH($Q$2:$Q$51, $A190)),0))=TRUE,"United States of America",INDEX($S$2:$S$199,MATCH(TRUE,ISNUMBER(SEARCH($S$2:$S$199, $A190)),0)))),"United States of America")</f>
        <v/>
      </c>
      <c r="D190" s="9" t="str" cm="1">
        <f t="array" ref="D190">IF(A190="","",IF(ISNUMBER(MATCH(TRUE,ISNUMBER(SEARCH($Q$2:$Q$51, $A190)),0))=TRUE,"",IF(ISNUMBER(MATCH(TRUE,ISNUMBER(SEARCH($S$2:$S$199, $A190)),0))=TRUE,"","미국 확인 필요")))</f>
        <v/>
      </c>
      <c r="S190" s="46" t="s">
        <v>446</v>
      </c>
      <c r="T190" s="149">
        <f t="shared" si="9"/>
        <v>0</v>
      </c>
      <c r="U190" s="149" t="str">
        <f>IF(T190=0,"",RANK(T190,T:T,0)+COUNTIF(T$1:T189,T190))</f>
        <v/>
      </c>
      <c r="V190" s="46">
        <v>22</v>
      </c>
      <c r="W190" s="149">
        <f t="shared" si="10"/>
        <v>0</v>
      </c>
      <c r="X190" s="149" t="str">
        <f>IF(W190=0,"",RANK(W190,W:W,0)+COUNTIF(W$1:W189,W190))</f>
        <v/>
      </c>
      <c r="Y190" s="46">
        <v>0</v>
      </c>
    </row>
    <row r="191" spans="3:25">
      <c r="C191" s="9" t="str" cm="1">
        <f t="array" ref="C191">IFERROR(IF(A191="","",IF(ISNUMBER(MATCH(TRUE,ISNUMBER(SEARCH($Q$2:$Q$51, $A191)),0))=TRUE,"United States of America",INDEX($S$2:$S$199,MATCH(TRUE,ISNUMBER(SEARCH($S$2:$S$199, $A191)),0)))),"United States of America")</f>
        <v/>
      </c>
      <c r="D191" s="9" t="str" cm="1">
        <f t="array" ref="D191">IF(A191="","",IF(ISNUMBER(MATCH(TRUE,ISNUMBER(SEARCH($Q$2:$Q$51, $A191)),0))=TRUE,"",IF(ISNUMBER(MATCH(TRUE,ISNUMBER(SEARCH($S$2:$S$199, $A191)),0))=TRUE,"","미국 확인 필요")))</f>
        <v/>
      </c>
      <c r="S191" s="46" t="s">
        <v>447</v>
      </c>
      <c r="T191" s="149">
        <f t="shared" si="9"/>
        <v>0</v>
      </c>
      <c r="U191" s="149" t="str">
        <f>IF(T191=0,"",RANK(T191,T:T,0)+COUNTIF(T$1:T190,T191))</f>
        <v/>
      </c>
      <c r="V191" s="46">
        <v>0</v>
      </c>
      <c r="W191" s="149">
        <f t="shared" si="10"/>
        <v>0</v>
      </c>
      <c r="X191" s="149" t="str">
        <f>IF(W191=0,"",RANK(W191,W:W,0)+COUNTIF(W$1:W190,W191))</f>
        <v/>
      </c>
      <c r="Y191" s="46">
        <v>0</v>
      </c>
    </row>
    <row r="192" spans="3:25">
      <c r="C192" s="9" t="str" cm="1">
        <f t="array" ref="C192">IFERROR(IF(A192="","",IF(ISNUMBER(MATCH(TRUE,ISNUMBER(SEARCH($Q$2:$Q$51, $A192)),0))=TRUE,"United States of America",INDEX($S$2:$S$199,MATCH(TRUE,ISNUMBER(SEARCH($S$2:$S$199, $A192)),0)))),"United States of America")</f>
        <v/>
      </c>
      <c r="D192" s="9" t="str" cm="1">
        <f t="array" ref="D192">IF(A192="","",IF(ISNUMBER(MATCH(TRUE,ISNUMBER(SEARCH($Q$2:$Q$51, $A192)),0))=TRUE,"",IF(ISNUMBER(MATCH(TRUE,ISNUMBER(SEARCH($S$2:$S$199, $A192)),0))=TRUE,"","미국 확인 필요")))</f>
        <v/>
      </c>
      <c r="S192" s="46" t="s">
        <v>448</v>
      </c>
      <c r="T192" s="149">
        <f t="shared" si="9"/>
        <v>2910</v>
      </c>
      <c r="U192" s="149">
        <f>IF(T192=0,"",RANK(T192,T:T,0)+COUNTIF(T$1:T191,T192))</f>
        <v>2</v>
      </c>
      <c r="V192" s="46">
        <v>2936</v>
      </c>
      <c r="W192" s="149">
        <f t="shared" si="10"/>
        <v>14408</v>
      </c>
      <c r="X192" s="149">
        <f>IF(W192=0,"",RANK(W192,W:W,0)+COUNTIF(W$1:W191,W192))</f>
        <v>3</v>
      </c>
      <c r="Y192" s="46">
        <v>13404</v>
      </c>
    </row>
    <row r="193" spans="3:25">
      <c r="C193" s="9" t="str" cm="1">
        <f t="array" ref="C193">IFERROR(IF(A193="","",IF(ISNUMBER(MATCH(TRUE,ISNUMBER(SEARCH($Q$2:$Q$51, $A193)),0))=TRUE,"United States of America",INDEX($S$2:$S$199,MATCH(TRUE,ISNUMBER(SEARCH($S$2:$S$199, $A193)),0)))),"United States of America")</f>
        <v/>
      </c>
      <c r="D193" s="9" t="str" cm="1">
        <f t="array" ref="D193">IF(A193="","",IF(ISNUMBER(MATCH(TRUE,ISNUMBER(SEARCH($Q$2:$Q$51, $A193)),0))=TRUE,"",IF(ISNUMBER(MATCH(TRUE,ISNUMBER(SEARCH($S$2:$S$199, $A193)),0))=TRUE,"","미국 확인 필요")))</f>
        <v/>
      </c>
      <c r="S193" s="46" t="s">
        <v>449</v>
      </c>
      <c r="T193" s="149">
        <f t="shared" si="9"/>
        <v>0</v>
      </c>
      <c r="U193" s="149" t="str">
        <f>IF(T193=0,"",RANK(T193,T:T,0)+COUNTIF(T$1:T192,T193))</f>
        <v/>
      </c>
      <c r="V193" s="46">
        <v>0</v>
      </c>
      <c r="W193" s="149">
        <f t="shared" si="10"/>
        <v>0</v>
      </c>
      <c r="X193" s="149" t="str">
        <f>IF(W193=0,"",RANK(W193,W:W,0)+COUNTIF(W$1:W192,W193))</f>
        <v/>
      </c>
      <c r="Y193" s="46">
        <v>0</v>
      </c>
    </row>
    <row r="194" spans="3:25">
      <c r="C194" s="9" t="str" cm="1">
        <f t="array" ref="C194">IFERROR(IF(A194="","",IF(ISNUMBER(MATCH(TRUE,ISNUMBER(SEARCH($Q$2:$Q$51, $A194)),0))=TRUE,"United States of America",INDEX($S$2:$S$199,MATCH(TRUE,ISNUMBER(SEARCH($S$2:$S$199, $A194)),0)))),"United States of America")</f>
        <v/>
      </c>
      <c r="D194" s="9" t="str" cm="1">
        <f t="array" ref="D194">IF(A194="","",IF(ISNUMBER(MATCH(TRUE,ISNUMBER(SEARCH($Q$2:$Q$51, $A194)),0))=TRUE,"",IF(ISNUMBER(MATCH(TRUE,ISNUMBER(SEARCH($S$2:$S$199, $A194)),0))=TRUE,"","미국 확인 필요")))</f>
        <v/>
      </c>
      <c r="S194" s="46" t="s">
        <v>450</v>
      </c>
      <c r="T194" s="149">
        <f t="shared" ref="T194:T206" si="11">SUMIF(C:C,S194,B:B)</f>
        <v>0</v>
      </c>
      <c r="U194" s="149" t="str">
        <f>IF(T194=0,"",RANK(T194,T:T,0)+COUNTIF(T$1:T193,T194))</f>
        <v/>
      </c>
      <c r="V194" s="46">
        <v>0</v>
      </c>
      <c r="W194" s="149">
        <f t="shared" ref="W194:W206" si="12">SUMIF(H:H,S194,G:G)</f>
        <v>0</v>
      </c>
      <c r="X194" s="149" t="str">
        <f>IF(W194=0,"",RANK(W194,W:W,0)+COUNTIF(W$1:W193,W194))</f>
        <v/>
      </c>
      <c r="Y194" s="46">
        <v>0</v>
      </c>
    </row>
    <row r="195" spans="3:25">
      <c r="C195" s="9" t="str" cm="1">
        <f t="array" ref="C195">IFERROR(IF(A195="","",IF(ISNUMBER(MATCH(TRUE,ISNUMBER(SEARCH($Q$2:$Q$51, $A195)),0))=TRUE,"United States of America",INDEX($S$2:$S$199,MATCH(TRUE,ISNUMBER(SEARCH($S$2:$S$199, $A195)),0)))),"United States of America")</f>
        <v/>
      </c>
      <c r="D195" s="9" t="str" cm="1">
        <f t="array" ref="D195">IF(A195="","",IF(ISNUMBER(MATCH(TRUE,ISNUMBER(SEARCH($Q$2:$Q$51, $A195)),0))=TRUE,"",IF(ISNUMBER(MATCH(TRUE,ISNUMBER(SEARCH($S$2:$S$199, $A195)),0))=TRUE,"","미국 확인 필요")))</f>
        <v/>
      </c>
      <c r="S195" s="46" t="s">
        <v>451</v>
      </c>
      <c r="T195" s="149">
        <f t="shared" si="11"/>
        <v>0</v>
      </c>
      <c r="U195" s="149" t="str">
        <f>IF(T195=0,"",RANK(T195,T:T,0)+COUNTIF(T$1:T194,T195))</f>
        <v/>
      </c>
      <c r="V195" s="46">
        <v>0</v>
      </c>
      <c r="W195" s="149">
        <f t="shared" si="12"/>
        <v>0</v>
      </c>
      <c r="X195" s="149" t="str">
        <f>IF(W195=0,"",RANK(W195,W:W,0)+COUNTIF(W$1:W194,W195))</f>
        <v/>
      </c>
      <c r="Y195" s="46">
        <v>0</v>
      </c>
    </row>
    <row r="196" spans="3:25">
      <c r="C196" s="9" t="str" cm="1">
        <f t="array" ref="C196">IFERROR(IF(A196="","",IF(ISNUMBER(MATCH(TRUE,ISNUMBER(SEARCH($Q$2:$Q$51, $A196)),0))=TRUE,"United States of America",INDEX($S$2:$S$199,MATCH(TRUE,ISNUMBER(SEARCH($S$2:$S$199, $A196)),0)))),"United States of America")</f>
        <v/>
      </c>
      <c r="D196" s="9" t="str" cm="1">
        <f t="array" ref="D196">IF(A196="","",IF(ISNUMBER(MATCH(TRUE,ISNUMBER(SEARCH($Q$2:$Q$51, $A196)),0))=TRUE,"",IF(ISNUMBER(MATCH(TRUE,ISNUMBER(SEARCH($S$2:$S$199, $A196)),0))=TRUE,"","미국 확인 필요")))</f>
        <v/>
      </c>
      <c r="S196" s="46" t="s">
        <v>452</v>
      </c>
      <c r="T196" s="149">
        <f t="shared" si="11"/>
        <v>0</v>
      </c>
      <c r="U196" s="149" t="str">
        <f>IF(T196=0,"",RANK(T196,T:T,0)+COUNTIF(T$1:T195,T196))</f>
        <v/>
      </c>
      <c r="V196" s="46">
        <v>0</v>
      </c>
      <c r="W196" s="149">
        <f t="shared" si="12"/>
        <v>0</v>
      </c>
      <c r="X196" s="149" t="str">
        <f>IF(W196=0,"",RANK(W196,W:W,0)+COUNTIF(W$1:W195,W196))</f>
        <v/>
      </c>
      <c r="Y196" s="46">
        <v>0</v>
      </c>
    </row>
    <row r="197" spans="3:25">
      <c r="C197" s="9" t="str" cm="1">
        <f t="array" ref="C197">IFERROR(IF(A197="","",IF(ISNUMBER(MATCH(TRUE,ISNUMBER(SEARCH($Q$2:$Q$51, $A197)),0))=TRUE,"United States of America",INDEX($S$2:$S$199,MATCH(TRUE,ISNUMBER(SEARCH($S$2:$S$199, $A197)),0)))),"United States of America")</f>
        <v/>
      </c>
      <c r="D197" s="9" t="str" cm="1">
        <f t="array" ref="D197">IF(A197="","",IF(ISNUMBER(MATCH(TRUE,ISNUMBER(SEARCH($Q$2:$Q$51, $A197)),0))=TRUE,"",IF(ISNUMBER(MATCH(TRUE,ISNUMBER(SEARCH($S$2:$S$199, $A197)),0))=TRUE,"","미국 확인 필요")))</f>
        <v/>
      </c>
      <c r="S197" s="46" t="s">
        <v>453</v>
      </c>
      <c r="T197" s="149">
        <f t="shared" si="11"/>
        <v>0</v>
      </c>
      <c r="U197" s="149" t="str">
        <f>IF(T197=0,"",RANK(T197,T:T,0)+COUNTIF(T$1:T196,T197))</f>
        <v/>
      </c>
      <c r="V197" s="46">
        <v>0</v>
      </c>
      <c r="W197" s="149">
        <f t="shared" si="12"/>
        <v>0</v>
      </c>
      <c r="X197" s="149" t="str">
        <f>IF(W197=0,"",RANK(W197,W:W,0)+COUNTIF(W$1:W196,W197))</f>
        <v/>
      </c>
      <c r="Y197" s="46">
        <v>0</v>
      </c>
    </row>
    <row r="198" spans="3:25">
      <c r="C198" s="9" t="str" cm="1">
        <f t="array" ref="C198">IFERROR(IF(A198="","",IF(ISNUMBER(MATCH(TRUE,ISNUMBER(SEARCH($Q$2:$Q$51, $A198)),0))=TRUE,"United States of America",INDEX($S$2:$S$199,MATCH(TRUE,ISNUMBER(SEARCH($S$2:$S$199, $A198)),0)))),"United States of America")</f>
        <v/>
      </c>
      <c r="D198" s="9" t="str" cm="1">
        <f t="array" ref="D198">IF(A198="","",IF(ISNUMBER(MATCH(TRUE,ISNUMBER(SEARCH($Q$2:$Q$51, $A198)),0))=TRUE,"",IF(ISNUMBER(MATCH(TRUE,ISNUMBER(SEARCH($S$2:$S$199, $A198)),0))=TRUE,"","미국 확인 필요")))</f>
        <v/>
      </c>
      <c r="S198" s="46" t="s">
        <v>454</v>
      </c>
      <c r="T198" s="149">
        <f t="shared" si="11"/>
        <v>0</v>
      </c>
      <c r="U198" s="149" t="str">
        <f>IF(T198=0,"",RANK(T198,T:T,0)+COUNTIF(T$1:T197,T198))</f>
        <v/>
      </c>
      <c r="V198" s="46">
        <v>0</v>
      </c>
      <c r="W198" s="149">
        <f t="shared" si="12"/>
        <v>0</v>
      </c>
      <c r="X198" s="149" t="str">
        <f>IF(W198=0,"",RANK(W198,W:W,0)+COUNTIF(W$1:W197,W198))</f>
        <v/>
      </c>
      <c r="Y198" s="46">
        <v>0</v>
      </c>
    </row>
    <row r="199" spans="3:25">
      <c r="C199" s="9" t="str" cm="1">
        <f t="array" ref="C199">IFERROR(IF(A199="","",IF(ISNUMBER(MATCH(TRUE,ISNUMBER(SEARCH($Q$2:$Q$51, $A199)),0))=TRUE,"United States of America",INDEX($S$2:$S$199,MATCH(TRUE,ISNUMBER(SEARCH($S$2:$S$199, $A199)),0)))),"United States of America")</f>
        <v/>
      </c>
      <c r="D199" s="9" t="str" cm="1">
        <f t="array" ref="D199">IF(A199="","",IF(ISNUMBER(MATCH(TRUE,ISNUMBER(SEARCH($Q$2:$Q$51, $A199)),0))=TRUE,"",IF(ISNUMBER(MATCH(TRUE,ISNUMBER(SEARCH($S$2:$S$199, $A199)),0))=TRUE,"","미국 확인 필요")))</f>
        <v/>
      </c>
      <c r="S199" s="46" t="s">
        <v>455</v>
      </c>
      <c r="T199" s="149">
        <f t="shared" si="11"/>
        <v>0</v>
      </c>
      <c r="U199" s="149" t="str">
        <f>IF(T199=0,"",RANK(T199,T:T,0)+COUNTIF(T$1:T198,T199))</f>
        <v/>
      </c>
      <c r="V199" s="46">
        <v>0</v>
      </c>
      <c r="W199" s="149">
        <f t="shared" si="12"/>
        <v>0</v>
      </c>
      <c r="X199" s="149" t="str">
        <f>IF(W199=0,"",RANK(W199,W:W,0)+COUNTIF(W$1:W198,W199))</f>
        <v/>
      </c>
      <c r="Y199" s="46">
        <v>0</v>
      </c>
    </row>
    <row r="200" spans="3:25">
      <c r="C200" s="9" t="str" cm="1">
        <f t="array" ref="C200">IFERROR(IF(A200="","",IF(ISNUMBER(MATCH(TRUE,ISNUMBER(SEARCH($Q$2:$Q$51, $A200)),0))=TRUE,"United States of America",INDEX($S$2:$S$199,MATCH(TRUE,ISNUMBER(SEARCH($S$2:$S$199, $A200)),0)))),"United States of America")</f>
        <v/>
      </c>
      <c r="D200" s="9" t="str" cm="1">
        <f t="array" ref="D200">IF(A200="","",IF(ISNUMBER(MATCH(TRUE,ISNUMBER(SEARCH($Q$2:$Q$51, $A200)),0))=TRUE,"",IF(ISNUMBER(MATCH(TRUE,ISNUMBER(SEARCH($S$2:$S$199, $A200)),0))=TRUE,"","미국 확인 필요")))</f>
        <v/>
      </c>
      <c r="S200" s="46"/>
      <c r="T200" s="149">
        <f t="shared" si="11"/>
        <v>0</v>
      </c>
      <c r="U200" s="149" t="str">
        <f>IF(T200=0,"",RANK(T200,T:T,0)+COUNTIF(T$1:T199,T200))</f>
        <v/>
      </c>
      <c r="V200" s="46">
        <v>0</v>
      </c>
      <c r="W200" s="149">
        <f t="shared" si="12"/>
        <v>0</v>
      </c>
      <c r="X200" s="149" t="str">
        <f>IF(W200=0,"",RANK(W200,W:W,0)+COUNTIF(W$1:W199,W200))</f>
        <v/>
      </c>
      <c r="Y200" s="46">
        <v>0</v>
      </c>
    </row>
    <row r="201" spans="3:25">
      <c r="C201" s="9" t="str" cm="1">
        <f t="array" ref="C201">IFERROR(IF(A201="","",IF(ISNUMBER(MATCH(TRUE,ISNUMBER(SEARCH($Q$2:$Q$51, $A201)),0))=TRUE,"United States of America",INDEX($S$2:$S$199,MATCH(TRUE,ISNUMBER(SEARCH($S$2:$S$199, $A201)),0)))),"United States of America")</f>
        <v/>
      </c>
      <c r="D201" s="9" t="str" cm="1">
        <f t="array" ref="D201">IF(A201="","",IF(ISNUMBER(MATCH(TRUE,ISNUMBER(SEARCH($Q$2:$Q$51, $A201)),0))=TRUE,"",IF(ISNUMBER(MATCH(TRUE,ISNUMBER(SEARCH($S$2:$S$199, $A201)),0))=TRUE,"","미국 확인 필요")))</f>
        <v/>
      </c>
      <c r="S201" s="46"/>
      <c r="T201" s="149">
        <f t="shared" si="11"/>
        <v>0</v>
      </c>
      <c r="U201" s="149" t="str">
        <f>IF(T201=0,"",RANK(T201,T:T,0)+COUNTIF(T$1:T200,T201))</f>
        <v/>
      </c>
      <c r="V201" s="46">
        <v>0</v>
      </c>
      <c r="W201" s="149">
        <f t="shared" si="12"/>
        <v>0</v>
      </c>
      <c r="X201" s="149" t="str">
        <f>IF(W201=0,"",RANK(W201,W:W,0)+COUNTIF(W$1:W200,W201))</f>
        <v/>
      </c>
      <c r="Y201" s="46">
        <v>0</v>
      </c>
    </row>
    <row r="202" spans="3:25">
      <c r="C202" s="9" t="str" cm="1">
        <f t="array" ref="C202">IFERROR(IF(A202="","",IF(ISNUMBER(MATCH(TRUE,ISNUMBER(SEARCH($Q$2:$Q$51, $A202)),0))=TRUE,"United States of America",INDEX($S$2:$S$199,MATCH(TRUE,ISNUMBER(SEARCH($S$2:$S$199, $A202)),0)))),"United States of America")</f>
        <v/>
      </c>
      <c r="D202" s="9" t="str" cm="1">
        <f t="array" ref="D202">IF(A202="","",IF(ISNUMBER(MATCH(TRUE,ISNUMBER(SEARCH($Q$2:$Q$51, $A202)),0))=TRUE,"",IF(ISNUMBER(MATCH(TRUE,ISNUMBER(SEARCH($S$2:$S$199, $A202)),0))=TRUE,"","미국 확인 필요")))</f>
        <v/>
      </c>
      <c r="S202" s="46"/>
      <c r="T202" s="149">
        <f t="shared" si="11"/>
        <v>0</v>
      </c>
      <c r="U202" s="149" t="str">
        <f>IF(T202=0,"",RANK(T202,T:T,0)+COUNTIF(T$1:T201,T202))</f>
        <v/>
      </c>
      <c r="V202" s="46">
        <v>0</v>
      </c>
      <c r="W202" s="149">
        <f t="shared" si="12"/>
        <v>0</v>
      </c>
      <c r="X202" s="149" t="str">
        <f>IF(W202=0,"",RANK(W202,W:W,0)+COUNTIF(W$1:W201,W202))</f>
        <v/>
      </c>
      <c r="Y202" s="46">
        <v>0</v>
      </c>
    </row>
    <row r="203" spans="3:25">
      <c r="C203" s="9" t="str" cm="1">
        <f t="array" ref="C203">IFERROR(IF(A203="","",IF(ISNUMBER(MATCH(TRUE,ISNUMBER(SEARCH($Q$2:$Q$51, $A203)),0))=TRUE,"United States of America",INDEX($S$2:$S$199,MATCH(TRUE,ISNUMBER(SEARCH($S$2:$S$199, $A203)),0)))),"United States of America")</f>
        <v/>
      </c>
      <c r="D203" s="9" t="str" cm="1">
        <f t="array" ref="D203">IF(A203="","",IF(ISNUMBER(MATCH(TRUE,ISNUMBER(SEARCH($Q$2:$Q$51, $A203)),0))=TRUE,"",IF(ISNUMBER(MATCH(TRUE,ISNUMBER(SEARCH($S$2:$S$199, $A203)),0))=TRUE,"","미국 확인 필요")))</f>
        <v/>
      </c>
      <c r="S203" s="46"/>
      <c r="T203" s="149">
        <f t="shared" si="11"/>
        <v>0</v>
      </c>
      <c r="U203" s="149" t="str">
        <f>IF(T203=0,"",RANK(T203,T:T,0)+COUNTIF(T$1:T202,T203))</f>
        <v/>
      </c>
      <c r="V203" s="46">
        <v>0</v>
      </c>
      <c r="W203" s="149">
        <f t="shared" si="12"/>
        <v>0</v>
      </c>
      <c r="X203" s="149" t="str">
        <f>IF(W203=0,"",RANK(W203,W:W,0)+COUNTIF(W$1:W202,W203))</f>
        <v/>
      </c>
      <c r="Y203" s="46">
        <v>0</v>
      </c>
    </row>
    <row r="204" spans="3:25">
      <c r="C204" s="9" t="str" cm="1">
        <f t="array" ref="C204">IFERROR(IF(A204="","",IF(ISNUMBER(MATCH(TRUE,ISNUMBER(SEARCH($Q$2:$Q$51, $A204)),0))=TRUE,"United States of America",INDEX($S$2:$S$199,MATCH(TRUE,ISNUMBER(SEARCH($S$2:$S$199, $A204)),0)))),"United States of America")</f>
        <v/>
      </c>
      <c r="D204" s="9" t="str" cm="1">
        <f t="array" ref="D204">IF(A204="","",IF(ISNUMBER(MATCH(TRUE,ISNUMBER(SEARCH($Q$2:$Q$51, $A204)),0))=TRUE,"",IF(ISNUMBER(MATCH(TRUE,ISNUMBER(SEARCH($S$2:$S$199, $A204)),0))=TRUE,"","미국 확인 필요")))</f>
        <v/>
      </c>
      <c r="S204" s="46"/>
      <c r="T204" s="149">
        <f t="shared" si="11"/>
        <v>0</v>
      </c>
      <c r="U204" s="149" t="str">
        <f>IF(T204=0,"",RANK(T204,T:T,0)+COUNTIF(T$1:T203,T204))</f>
        <v/>
      </c>
      <c r="V204" s="46">
        <v>0</v>
      </c>
      <c r="W204" s="149">
        <f t="shared" si="12"/>
        <v>0</v>
      </c>
      <c r="X204" s="149" t="str">
        <f>IF(W204=0,"",RANK(W204,W:W,0)+COUNTIF(W$1:W203,W204))</f>
        <v/>
      </c>
      <c r="Y204" s="46">
        <v>0</v>
      </c>
    </row>
    <row r="205" spans="3:25">
      <c r="C205" s="9" t="str" cm="1">
        <f t="array" ref="C205">IFERROR(IF(A205="","",IF(ISNUMBER(MATCH(TRUE,ISNUMBER(SEARCH($Q$2:$Q$51, $A205)),0))=TRUE,"United States of America",INDEX($S$2:$S$199,MATCH(TRUE,ISNUMBER(SEARCH($S$2:$S$199, $A205)),0)))),"United States of America")</f>
        <v/>
      </c>
      <c r="D205" s="9" t="str" cm="1">
        <f t="array" ref="D205">IF(A205="","",IF(ISNUMBER(MATCH(TRUE,ISNUMBER(SEARCH($Q$2:$Q$51, $A205)),0))=TRUE,"",IF(ISNUMBER(MATCH(TRUE,ISNUMBER(SEARCH($S$2:$S$199, $A205)),0))=TRUE,"","미국 확인 필요")))</f>
        <v/>
      </c>
      <c r="S205" s="46"/>
      <c r="T205" s="149">
        <f t="shared" si="11"/>
        <v>0</v>
      </c>
      <c r="U205" s="149" t="str">
        <f>IF(T205=0,"",RANK(T205,T:T,0)+COUNTIF(T$1:T204,T205))</f>
        <v/>
      </c>
      <c r="V205" s="46">
        <v>0</v>
      </c>
      <c r="W205" s="149">
        <f t="shared" si="12"/>
        <v>0</v>
      </c>
      <c r="X205" s="149" t="str">
        <f>IF(W205=0,"",RANK(W205,W:W,0)+COUNTIF(W$1:W204,W205))</f>
        <v/>
      </c>
      <c r="Y205" s="46">
        <v>0</v>
      </c>
    </row>
    <row r="206" spans="3:25">
      <c r="C206" s="9" t="str" cm="1">
        <f t="array" ref="C206">IFERROR(IF(A206="","",IF(ISNUMBER(MATCH(TRUE,ISNUMBER(SEARCH($Q$2:$Q$51, $A206)),0))=TRUE,"United States of America",INDEX($S$2:$S$199,MATCH(TRUE,ISNUMBER(SEARCH($S$2:$S$199, $A206)),0)))),"United States of America")</f>
        <v/>
      </c>
      <c r="D206" s="9" t="str" cm="1">
        <f t="array" ref="D206">IF(A206="","",IF(ISNUMBER(MATCH(TRUE,ISNUMBER(SEARCH($Q$2:$Q$51, $A206)),0))=TRUE,"",IF(ISNUMBER(MATCH(TRUE,ISNUMBER(SEARCH($S$2:$S$199, $A206)),0))=TRUE,"","미국 확인 필요")))</f>
        <v/>
      </c>
      <c r="S206" s="46"/>
      <c r="T206" s="149">
        <f t="shared" si="11"/>
        <v>0</v>
      </c>
      <c r="U206" s="149" t="str">
        <f>IF(T206=0,"",RANK(T206,T:T,0)+COUNTIF(T$1:T205,T206))</f>
        <v/>
      </c>
      <c r="V206" s="46">
        <v>0</v>
      </c>
      <c r="W206" s="149">
        <f t="shared" si="12"/>
        <v>0</v>
      </c>
      <c r="X206" s="149" t="str">
        <f>IF(W206=0,"",RANK(W206,W:W,0)+COUNTIF(W$1:W205,W206))</f>
        <v/>
      </c>
      <c r="Y206" s="46">
        <v>0</v>
      </c>
    </row>
    <row r="207" spans="3:25">
      <c r="C207" s="9" t="str" cm="1">
        <f t="array" ref="C207">IFERROR(IF(A207="","",IF(ISNUMBER(MATCH(TRUE,ISNUMBER(SEARCH($Q$2:$Q$51, $A207)),0))=TRUE,"United States of America",INDEX($S$2:$S$199,MATCH(TRUE,ISNUMBER(SEARCH($S$2:$S$199, $A207)),0)))),"United States of America")</f>
        <v/>
      </c>
      <c r="D207" s="9" t="str" cm="1">
        <f t="array" ref="D207">IF(A207="","",IF(ISNUMBER(MATCH(TRUE,ISNUMBER(SEARCH($Q$2:$Q$51, $A207)),0))=TRUE,"",IF(ISNUMBER(MATCH(TRUE,ISNUMBER(SEARCH($S$2:$S$199, $A207)),0))=TRUE,"","미국 확인 필요")))</f>
        <v/>
      </c>
    </row>
    <row r="208" spans="3:25">
      <c r="C208" s="9" t="str" cm="1">
        <f t="array" ref="C208">IFERROR(IF(A208="","",IF(ISNUMBER(MATCH(TRUE,ISNUMBER(SEARCH($Q$2:$Q$51, $A208)),0))=TRUE,"United States of America",INDEX($S$2:$S$199,MATCH(TRUE,ISNUMBER(SEARCH($S$2:$S$199, $A208)),0)))),"United States of America")</f>
        <v/>
      </c>
      <c r="D208" s="9" t="str" cm="1">
        <f t="array" ref="D208">IF(A208="","",IF(ISNUMBER(MATCH(TRUE,ISNUMBER(SEARCH($Q$2:$Q$51, $A208)),0))=TRUE,"",IF(ISNUMBER(MATCH(TRUE,ISNUMBER(SEARCH($S$2:$S$199, $A208)),0))=TRUE,"","미국 확인 필요")))</f>
        <v/>
      </c>
    </row>
    <row r="209" spans="3:4">
      <c r="C209" s="9" t="str" cm="1">
        <f t="array" ref="C209">IFERROR(IF(A209="","",IF(ISNUMBER(MATCH(TRUE,ISNUMBER(SEARCH($Q$2:$Q$51, $A209)),0))=TRUE,"United States of America",INDEX($S$2:$S$199,MATCH(TRUE,ISNUMBER(SEARCH($S$2:$S$199, $A209)),0)))),"United States of America")</f>
        <v/>
      </c>
      <c r="D209" s="9" t="str" cm="1">
        <f t="array" ref="D209">IF(A209="","",IF(ISNUMBER(MATCH(TRUE,ISNUMBER(SEARCH($Q$2:$Q$51, $A209)),0))=TRUE,"",IF(ISNUMBER(MATCH(TRUE,ISNUMBER(SEARCH($S$2:$S$199, $A209)),0))=TRUE,"","미국 확인 필요")))</f>
        <v/>
      </c>
    </row>
    <row r="210" spans="3:4">
      <c r="C210" s="9" t="str" cm="1">
        <f t="array" ref="C210">IFERROR(IF(A210="","",IF(ISNUMBER(MATCH(TRUE,ISNUMBER(SEARCH($Q$2:$Q$51, $A210)),0))=TRUE,"United States of America",INDEX($S$2:$S$199,MATCH(TRUE,ISNUMBER(SEARCH($S$2:$S$199, $A210)),0)))),"United States of America")</f>
        <v/>
      </c>
      <c r="D210" s="9" t="str" cm="1">
        <f t="array" ref="D210">IF(A210="","",IF(ISNUMBER(MATCH(TRUE,ISNUMBER(SEARCH($Q$2:$Q$51, $A210)),0))=TRUE,"",IF(ISNUMBER(MATCH(TRUE,ISNUMBER(SEARCH($S$2:$S$199, $A210)),0))=TRUE,"","미국 확인 필요")))</f>
        <v/>
      </c>
    </row>
    <row r="211" spans="3:4">
      <c r="C211" s="9" t="str" cm="1">
        <f t="array" ref="C211">IFERROR(IF(A211="","",IF(ISNUMBER(MATCH(TRUE,ISNUMBER(SEARCH($Q$2:$Q$51, $A211)),0))=TRUE,"United States of America",INDEX($S$2:$S$199,MATCH(TRUE,ISNUMBER(SEARCH($S$2:$S$199, $A211)),0)))),"United States of America")</f>
        <v/>
      </c>
      <c r="D211" s="9" t="str" cm="1">
        <f t="array" ref="D211">IF(A211="","",IF(ISNUMBER(MATCH(TRUE,ISNUMBER(SEARCH($Q$2:$Q$51, $A211)),0))=TRUE,"",IF(ISNUMBER(MATCH(TRUE,ISNUMBER(SEARCH($S$2:$S$199, $A211)),0))=TRUE,"","미국 확인 필요")))</f>
        <v/>
      </c>
    </row>
    <row r="212" spans="3:4">
      <c r="C212" s="9" t="str" cm="1">
        <f t="array" ref="C212">IFERROR(IF(A212="","",IF(ISNUMBER(MATCH(TRUE,ISNUMBER(SEARCH($Q$2:$Q$51, $A212)),0))=TRUE,"United States of America",INDEX($S$2:$S$199,MATCH(TRUE,ISNUMBER(SEARCH($S$2:$S$199, $A212)),0)))),"United States of America")</f>
        <v/>
      </c>
      <c r="D212" s="9" t="str" cm="1">
        <f t="array" ref="D212">IF(A212="","",IF(ISNUMBER(MATCH(TRUE,ISNUMBER(SEARCH($Q$2:$Q$51, $A212)),0))=TRUE,"",IF(ISNUMBER(MATCH(TRUE,ISNUMBER(SEARCH($S$2:$S$199, $A212)),0))=TRUE,"","미국 확인 필요")))</f>
        <v/>
      </c>
    </row>
    <row r="213" spans="3:4">
      <c r="C213" s="9" t="str" cm="1">
        <f t="array" ref="C213">IFERROR(IF(A213="","",IF(ISNUMBER(MATCH(TRUE,ISNUMBER(SEARCH($Q$2:$Q$51, $A213)),0))=TRUE,"United States of America",INDEX($S$2:$S$199,MATCH(TRUE,ISNUMBER(SEARCH($S$2:$S$199, $A213)),0)))),"United States of America")</f>
        <v/>
      </c>
      <c r="D213" s="9" t="str" cm="1">
        <f t="array" ref="D213">IF(A213="","",IF(ISNUMBER(MATCH(TRUE,ISNUMBER(SEARCH($Q$2:$Q$51, $A213)),0))=TRUE,"",IF(ISNUMBER(MATCH(TRUE,ISNUMBER(SEARCH($S$2:$S$199, $A213)),0))=TRUE,"","미국 확인 필요")))</f>
        <v/>
      </c>
    </row>
    <row r="214" spans="3:4">
      <c r="C214" s="9" t="str" cm="1">
        <f t="array" ref="C214">IFERROR(IF(A214="","",IF(ISNUMBER(MATCH(TRUE,ISNUMBER(SEARCH($Q$2:$Q$51, $A214)),0))=TRUE,"United States of America",INDEX($S$2:$S$199,MATCH(TRUE,ISNUMBER(SEARCH($S$2:$S$199, $A214)),0)))),"United States of America")</f>
        <v/>
      </c>
      <c r="D214" s="9" t="str" cm="1">
        <f t="array" ref="D214">IF(A214="","",IF(ISNUMBER(MATCH(TRUE,ISNUMBER(SEARCH($Q$2:$Q$51, $A214)),0))=TRUE,"",IF(ISNUMBER(MATCH(TRUE,ISNUMBER(SEARCH($S$2:$S$199, $A214)),0))=TRUE,"","미국 확인 필요")))</f>
        <v/>
      </c>
    </row>
    <row r="215" spans="3:4">
      <c r="C215" s="9" t="str" cm="1">
        <f t="array" ref="C215">IFERROR(IF(A215="","",IF(ISNUMBER(MATCH(TRUE,ISNUMBER(SEARCH($Q$2:$Q$51, $A215)),0))=TRUE,"United States of America",INDEX($S$2:$S$199,MATCH(TRUE,ISNUMBER(SEARCH($S$2:$S$199, $A215)),0)))),"United States of America")</f>
        <v/>
      </c>
      <c r="D215" s="9" t="str" cm="1">
        <f t="array" ref="D215">IF(A215="","",IF(ISNUMBER(MATCH(TRUE,ISNUMBER(SEARCH($Q$2:$Q$51, $A215)),0))=TRUE,"",IF(ISNUMBER(MATCH(TRUE,ISNUMBER(SEARCH($S$2:$S$199, $A215)),0))=TRUE,"","미국 확인 필요")))</f>
        <v/>
      </c>
    </row>
    <row r="216" spans="3:4">
      <c r="C216" s="9" t="str" cm="1">
        <f t="array" ref="C216">IFERROR(IF(A216="","",IF(ISNUMBER(MATCH(TRUE,ISNUMBER(SEARCH($Q$2:$Q$51, $A216)),0))=TRUE,"United States of America",INDEX($S$2:$S$199,MATCH(TRUE,ISNUMBER(SEARCH($S$2:$S$199, $A216)),0)))),"United States of America")</f>
        <v/>
      </c>
      <c r="D216" s="9" t="str" cm="1">
        <f t="array" ref="D216">IF(A216="","",IF(ISNUMBER(MATCH(TRUE,ISNUMBER(SEARCH($Q$2:$Q$51, $A216)),0))=TRUE,"",IF(ISNUMBER(MATCH(TRUE,ISNUMBER(SEARCH($S$2:$S$199, $A216)),0))=TRUE,"","미국 확인 필요")))</f>
        <v/>
      </c>
    </row>
    <row r="217" spans="3:4">
      <c r="C217" s="9" t="str" cm="1">
        <f t="array" ref="C217">IFERROR(IF(A217="","",IF(ISNUMBER(MATCH(TRUE,ISNUMBER(SEARCH($Q$2:$Q$51, $A217)),0))=TRUE,"United States of America",INDEX($S$2:$S$199,MATCH(TRUE,ISNUMBER(SEARCH($S$2:$S$199, $A217)),0)))),"United States of America")</f>
        <v/>
      </c>
      <c r="D217" s="9" t="str" cm="1">
        <f t="array" ref="D217">IF(A217="","",IF(ISNUMBER(MATCH(TRUE,ISNUMBER(SEARCH($Q$2:$Q$51, $A217)),0))=TRUE,"",IF(ISNUMBER(MATCH(TRUE,ISNUMBER(SEARCH($S$2:$S$199, $A217)),0))=TRUE,"","미국 확인 필요")))</f>
        <v/>
      </c>
    </row>
    <row r="218" spans="3:4">
      <c r="C218" s="9" t="str" cm="1">
        <f t="array" ref="C218">IFERROR(IF(A218="","",IF(ISNUMBER(MATCH(TRUE,ISNUMBER(SEARCH($Q$2:$Q$51, $A218)),0))=TRUE,"United States of America",INDEX($S$2:$S$199,MATCH(TRUE,ISNUMBER(SEARCH($S$2:$S$199, $A218)),0)))),"United States of America")</f>
        <v/>
      </c>
      <c r="D218" s="9" t="str" cm="1">
        <f t="array" ref="D218">IF(A218="","",IF(ISNUMBER(MATCH(TRUE,ISNUMBER(SEARCH($Q$2:$Q$51, $A218)),0))=TRUE,"",IF(ISNUMBER(MATCH(TRUE,ISNUMBER(SEARCH($S$2:$S$199, $A218)),0))=TRUE,"","미국 확인 필요")))</f>
        <v/>
      </c>
    </row>
    <row r="219" spans="3:4">
      <c r="C219" s="9" t="str" cm="1">
        <f t="array" ref="C219">IFERROR(IF(A219="","",IF(ISNUMBER(MATCH(TRUE,ISNUMBER(SEARCH($Q$2:$Q$51, $A219)),0))=TRUE,"United States of America",INDEX($S$2:$S$199,MATCH(TRUE,ISNUMBER(SEARCH($S$2:$S$199, $A219)),0)))),"United States of America")</f>
        <v/>
      </c>
      <c r="D219" s="9" t="str" cm="1">
        <f t="array" ref="D219">IF(A219="","",IF(ISNUMBER(MATCH(TRUE,ISNUMBER(SEARCH($Q$2:$Q$51, $A219)),0))=TRUE,"",IF(ISNUMBER(MATCH(TRUE,ISNUMBER(SEARCH($S$2:$S$199, $A219)),0))=TRUE,"","미국 확인 필요")))</f>
        <v/>
      </c>
    </row>
    <row r="220" spans="3:4">
      <c r="C220" s="9" t="str" cm="1">
        <f t="array" ref="C220">IFERROR(IF(A220="","",IF(ISNUMBER(MATCH(TRUE,ISNUMBER(SEARCH($Q$2:$Q$51, $A220)),0))=TRUE,"United States of America",INDEX($S$2:$S$199,MATCH(TRUE,ISNUMBER(SEARCH($S$2:$S$199, $A220)),0)))),"United States of America")</f>
        <v/>
      </c>
      <c r="D220" s="9" t="str" cm="1">
        <f t="array" ref="D220">IF(A220="","",IF(ISNUMBER(MATCH(TRUE,ISNUMBER(SEARCH($Q$2:$Q$51, $A220)),0))=TRUE,"",IF(ISNUMBER(MATCH(TRUE,ISNUMBER(SEARCH($S$2:$S$199, $A220)),0))=TRUE,"","미국 확인 필요")))</f>
        <v/>
      </c>
    </row>
    <row r="221" spans="3:4">
      <c r="C221" s="9" t="str" cm="1">
        <f t="array" ref="C221">IFERROR(IF(A221="","",IF(ISNUMBER(MATCH(TRUE,ISNUMBER(SEARCH($Q$2:$Q$51, $A221)),0))=TRUE,"United States of America",INDEX($S$2:$S$199,MATCH(TRUE,ISNUMBER(SEARCH($S$2:$S$199, $A221)),0)))),"United States of America")</f>
        <v/>
      </c>
      <c r="D221" s="9" t="str" cm="1">
        <f t="array" ref="D221">IF(A221="","",IF(ISNUMBER(MATCH(TRUE,ISNUMBER(SEARCH($Q$2:$Q$51, $A221)),0))=TRUE,"",IF(ISNUMBER(MATCH(TRUE,ISNUMBER(SEARCH($S$2:$S$199, $A221)),0))=TRUE,"","미국 확인 필요")))</f>
        <v/>
      </c>
    </row>
    <row r="222" spans="3:4">
      <c r="C222" s="9" t="str" cm="1">
        <f t="array" ref="C222">IFERROR(IF(A222="","",IF(ISNUMBER(MATCH(TRUE,ISNUMBER(SEARCH($Q$2:$Q$51, $A222)),0))=TRUE,"United States of America",INDEX($S$2:$S$199,MATCH(TRUE,ISNUMBER(SEARCH($S$2:$S$199, $A222)),0)))),"United States of America")</f>
        <v/>
      </c>
      <c r="D222" s="9" t="str" cm="1">
        <f t="array" ref="D222">IF(A222="","",IF(ISNUMBER(MATCH(TRUE,ISNUMBER(SEARCH($Q$2:$Q$51, $A222)),0))=TRUE,"",IF(ISNUMBER(MATCH(TRUE,ISNUMBER(SEARCH($S$2:$S$199, $A222)),0))=TRUE,"","미국 확인 필요")))</f>
        <v/>
      </c>
    </row>
    <row r="223" spans="3:4">
      <c r="C223" s="9" t="str" cm="1">
        <f t="array" ref="C223">IFERROR(IF(A223="","",IF(ISNUMBER(MATCH(TRUE,ISNUMBER(SEARCH($Q$2:$Q$51, $A223)),0))=TRUE,"United States of America",INDEX($S$2:$S$199,MATCH(TRUE,ISNUMBER(SEARCH($S$2:$S$199, $A223)),0)))),"United States of America")</f>
        <v/>
      </c>
      <c r="D223" s="9" t="str" cm="1">
        <f t="array" ref="D223">IF(A223="","",IF(ISNUMBER(MATCH(TRUE,ISNUMBER(SEARCH($Q$2:$Q$51, $A223)),0))=TRUE,"",IF(ISNUMBER(MATCH(TRUE,ISNUMBER(SEARCH($S$2:$S$199, $A223)),0))=TRUE,"","미국 확인 필요")))</f>
        <v/>
      </c>
    </row>
    <row r="224" spans="3:4">
      <c r="C224" s="9" t="str" cm="1">
        <f t="array" ref="C224">IFERROR(IF(A224="","",IF(ISNUMBER(MATCH(TRUE,ISNUMBER(SEARCH($Q$2:$Q$51, $A224)),0))=TRUE,"United States of America",INDEX($S$2:$S$199,MATCH(TRUE,ISNUMBER(SEARCH($S$2:$S$199, $A224)),0)))),"United States of America")</f>
        <v/>
      </c>
      <c r="D224" s="9" t="str" cm="1">
        <f t="array" ref="D224">IF(A224="","",IF(ISNUMBER(MATCH(TRUE,ISNUMBER(SEARCH($Q$2:$Q$51, $A224)),0))=TRUE,"",IF(ISNUMBER(MATCH(TRUE,ISNUMBER(SEARCH($S$2:$S$199, $A224)),0))=TRUE,"","미국 확인 필요")))</f>
        <v/>
      </c>
    </row>
    <row r="225" spans="3:4">
      <c r="C225" s="9" t="str" cm="1">
        <f t="array" ref="C225">IFERROR(IF(A225="","",IF(ISNUMBER(MATCH(TRUE,ISNUMBER(SEARCH($Q$2:$Q$51, $A225)),0))=TRUE,"United States of America",INDEX($S$2:$S$199,MATCH(TRUE,ISNUMBER(SEARCH($S$2:$S$199, $A225)),0)))),"United States of America")</f>
        <v/>
      </c>
      <c r="D225" s="9" t="str" cm="1">
        <f t="array" ref="D225">IF(A225="","",IF(ISNUMBER(MATCH(TRUE,ISNUMBER(SEARCH($Q$2:$Q$51, $A225)),0))=TRUE,"",IF(ISNUMBER(MATCH(TRUE,ISNUMBER(SEARCH($S$2:$S$199, $A225)),0))=TRUE,"","미국 확인 필요")))</f>
        <v/>
      </c>
    </row>
    <row r="226" spans="3:4">
      <c r="C226" s="9" t="str" cm="1">
        <f t="array" ref="C226">IFERROR(IF(A226="","",IF(ISNUMBER(MATCH(TRUE,ISNUMBER(SEARCH($Q$2:$Q$51, $A226)),0))=TRUE,"United States of America",INDEX($S$2:$S$199,MATCH(TRUE,ISNUMBER(SEARCH($S$2:$S$199, $A226)),0)))),"United States of America")</f>
        <v/>
      </c>
      <c r="D226" s="9" t="str" cm="1">
        <f t="array" ref="D226">IF(A226="","",IF(ISNUMBER(MATCH(TRUE,ISNUMBER(SEARCH($Q$2:$Q$51, $A226)),0))=TRUE,"",IF(ISNUMBER(MATCH(TRUE,ISNUMBER(SEARCH($S$2:$S$199, $A226)),0))=TRUE,"","미국 확인 필요")))</f>
        <v/>
      </c>
    </row>
    <row r="227" spans="3:4">
      <c r="C227" s="9" t="str" cm="1">
        <f t="array" ref="C227">IFERROR(IF(A227="","",IF(ISNUMBER(MATCH(TRUE,ISNUMBER(SEARCH($Q$2:$Q$51, $A227)),0))=TRUE,"United States of America",INDEX($S$2:$S$199,MATCH(TRUE,ISNUMBER(SEARCH($S$2:$S$199, $A227)),0)))),"United States of America")</f>
        <v/>
      </c>
      <c r="D227" s="9" t="str" cm="1">
        <f t="array" ref="D227">IF(A227="","",IF(ISNUMBER(MATCH(TRUE,ISNUMBER(SEARCH($Q$2:$Q$51, $A227)),0))=TRUE,"",IF(ISNUMBER(MATCH(TRUE,ISNUMBER(SEARCH($S$2:$S$199, $A227)),0))=TRUE,"","미국 확인 필요")))</f>
        <v/>
      </c>
    </row>
    <row r="228" spans="3:4">
      <c r="C228" s="9" t="str" cm="1">
        <f t="array" ref="C228">IFERROR(IF(A228="","",IF(ISNUMBER(MATCH(TRUE,ISNUMBER(SEARCH($Q$2:$Q$51, $A228)),0))=TRUE,"United States of America",INDEX($S$2:$S$199,MATCH(TRUE,ISNUMBER(SEARCH($S$2:$S$199, $A228)),0)))),"United States of America")</f>
        <v/>
      </c>
      <c r="D228" s="9" t="str" cm="1">
        <f t="array" ref="D228">IF(A228="","",IF(ISNUMBER(MATCH(TRUE,ISNUMBER(SEARCH($Q$2:$Q$51, $A228)),0))=TRUE,"",IF(ISNUMBER(MATCH(TRUE,ISNUMBER(SEARCH($S$2:$S$199, $A228)),0))=TRUE,"","미국 확인 필요")))</f>
        <v/>
      </c>
    </row>
    <row r="229" spans="3:4">
      <c r="C229" s="9" t="str" cm="1">
        <f t="array" ref="C229">IFERROR(IF(A229="","",IF(ISNUMBER(MATCH(TRUE,ISNUMBER(SEARCH($Q$2:$Q$51, $A229)),0))=TRUE,"United States of America",INDEX($S$2:$S$199,MATCH(TRUE,ISNUMBER(SEARCH($S$2:$S$199, $A229)),0)))),"United States of America")</f>
        <v/>
      </c>
      <c r="D229" s="9" t="str" cm="1">
        <f t="array" ref="D229">IF(A229="","",IF(ISNUMBER(MATCH(TRUE,ISNUMBER(SEARCH($Q$2:$Q$51, $A229)),0))=TRUE,"",IF(ISNUMBER(MATCH(TRUE,ISNUMBER(SEARCH($S$2:$S$199, $A229)),0))=TRUE,"","미국 확인 필요")))</f>
        <v/>
      </c>
    </row>
    <row r="230" spans="3:4">
      <c r="C230" s="9" t="str" cm="1">
        <f t="array" ref="C230">IFERROR(IF(A230="","",IF(ISNUMBER(MATCH(TRUE,ISNUMBER(SEARCH($Q$2:$Q$51, $A230)),0))=TRUE,"United States of America",INDEX($S$2:$S$199,MATCH(TRUE,ISNUMBER(SEARCH($S$2:$S$199, $A230)),0)))),"United States of America")</f>
        <v/>
      </c>
      <c r="D230" s="9" t="str" cm="1">
        <f t="array" ref="D230">IF(A230="","",IF(ISNUMBER(MATCH(TRUE,ISNUMBER(SEARCH($Q$2:$Q$51, $A230)),0))=TRUE,"",IF(ISNUMBER(MATCH(TRUE,ISNUMBER(SEARCH($S$2:$S$199, $A230)),0))=TRUE,"","미국 확인 필요")))</f>
        <v/>
      </c>
    </row>
    <row r="231" spans="3:4">
      <c r="C231" s="9" t="str" cm="1">
        <f t="array" ref="C231">IFERROR(IF(A231="","",IF(ISNUMBER(MATCH(TRUE,ISNUMBER(SEARCH($Q$2:$Q$51, $A231)),0))=TRUE,"United States of America",INDEX($S$2:$S$199,MATCH(TRUE,ISNUMBER(SEARCH($S$2:$S$199, $A231)),0)))),"United States of America")</f>
        <v/>
      </c>
      <c r="D231" s="9" t="str" cm="1">
        <f t="array" ref="D231">IF(A231="","",IF(ISNUMBER(MATCH(TRUE,ISNUMBER(SEARCH($Q$2:$Q$51, $A231)),0))=TRUE,"",IF(ISNUMBER(MATCH(TRUE,ISNUMBER(SEARCH($S$2:$S$199, $A231)),0))=TRUE,"","미국 확인 필요")))</f>
        <v/>
      </c>
    </row>
    <row r="232" spans="3:4">
      <c r="C232" s="9" t="str" cm="1">
        <f t="array" ref="C232">IFERROR(IF(A232="","",IF(ISNUMBER(MATCH(TRUE,ISNUMBER(SEARCH($Q$2:$Q$51, $A232)),0))=TRUE,"United States of America",INDEX($S$2:$S$199,MATCH(TRUE,ISNUMBER(SEARCH($S$2:$S$199, $A232)),0)))),"United States of America")</f>
        <v/>
      </c>
      <c r="D232" s="9" t="str" cm="1">
        <f t="array" ref="D232">IF(A232="","",IF(ISNUMBER(MATCH(TRUE,ISNUMBER(SEARCH($Q$2:$Q$51, $A232)),0))=TRUE,"",IF(ISNUMBER(MATCH(TRUE,ISNUMBER(SEARCH($S$2:$S$199, $A232)),0))=TRUE,"","미국 확인 필요")))</f>
        <v/>
      </c>
    </row>
    <row r="233" spans="3:4">
      <c r="C233" s="9" t="str" cm="1">
        <f t="array" ref="C233">IFERROR(IF(A233="","",IF(ISNUMBER(MATCH(TRUE,ISNUMBER(SEARCH($Q$2:$Q$51, $A233)),0))=TRUE,"United States of America",INDEX($S$2:$S$199,MATCH(TRUE,ISNUMBER(SEARCH($S$2:$S$199, $A233)),0)))),"United States of America")</f>
        <v/>
      </c>
      <c r="D233" s="9" t="str" cm="1">
        <f t="array" ref="D233">IF(A233="","",IF(ISNUMBER(MATCH(TRUE,ISNUMBER(SEARCH($Q$2:$Q$51, $A233)),0))=TRUE,"",IF(ISNUMBER(MATCH(TRUE,ISNUMBER(SEARCH($S$2:$S$199, $A233)),0))=TRUE,"","미국 확인 필요")))</f>
        <v/>
      </c>
    </row>
    <row r="234" spans="3:4">
      <c r="C234" s="9" t="str" cm="1">
        <f t="array" ref="C234">IFERROR(IF(A234="","",IF(ISNUMBER(MATCH(TRUE,ISNUMBER(SEARCH($Q$2:$Q$51, $A234)),0))=TRUE,"United States of America",INDEX($S$2:$S$199,MATCH(TRUE,ISNUMBER(SEARCH($S$2:$S$199, $A234)),0)))),"United States of America")</f>
        <v/>
      </c>
      <c r="D234" s="9" t="str" cm="1">
        <f t="array" ref="D234">IF(A234="","",IF(ISNUMBER(MATCH(TRUE,ISNUMBER(SEARCH($Q$2:$Q$51, $A234)),0))=TRUE,"",IF(ISNUMBER(MATCH(TRUE,ISNUMBER(SEARCH($S$2:$S$199, $A234)),0))=TRUE,"","미국 확인 필요")))</f>
        <v/>
      </c>
    </row>
    <row r="235" spans="3:4">
      <c r="C235" s="9" t="str" cm="1">
        <f t="array" ref="C235">IFERROR(IF(A235="","",IF(ISNUMBER(MATCH(TRUE,ISNUMBER(SEARCH($Q$2:$Q$51, $A235)),0))=TRUE,"United States of America",INDEX($S$2:$S$199,MATCH(TRUE,ISNUMBER(SEARCH($S$2:$S$199, $A235)),0)))),"United States of America")</f>
        <v/>
      </c>
      <c r="D235" s="9" t="str" cm="1">
        <f t="array" ref="D235">IF(A235="","",IF(ISNUMBER(MATCH(TRUE,ISNUMBER(SEARCH($Q$2:$Q$51, $A235)),0))=TRUE,"",IF(ISNUMBER(MATCH(TRUE,ISNUMBER(SEARCH($S$2:$S$199, $A235)),0))=TRUE,"","미국 확인 필요")))</f>
        <v/>
      </c>
    </row>
    <row r="236" spans="3:4">
      <c r="C236" s="9" t="str" cm="1">
        <f t="array" ref="C236">IFERROR(IF(A236="","",IF(ISNUMBER(MATCH(TRUE,ISNUMBER(SEARCH($Q$2:$Q$51, $A236)),0))=TRUE,"United States of America",INDEX($S$2:$S$199,MATCH(TRUE,ISNUMBER(SEARCH($S$2:$S$199, $A236)),0)))),"United States of America")</f>
        <v/>
      </c>
      <c r="D236" s="9" t="str" cm="1">
        <f t="array" ref="D236">IF(A236="","",IF(ISNUMBER(MATCH(TRUE,ISNUMBER(SEARCH($Q$2:$Q$51, $A236)),0))=TRUE,"",IF(ISNUMBER(MATCH(TRUE,ISNUMBER(SEARCH($S$2:$S$199, $A236)),0))=TRUE,"","미국 확인 필요")))</f>
        <v/>
      </c>
    </row>
    <row r="237" spans="3:4">
      <c r="C237" s="9" t="str" cm="1">
        <f t="array" ref="C237">IFERROR(IF(A237="","",IF(ISNUMBER(MATCH(TRUE,ISNUMBER(SEARCH($Q$2:$Q$51, $A237)),0))=TRUE,"United States of America",INDEX($S$2:$S$199,MATCH(TRUE,ISNUMBER(SEARCH($S$2:$S$199, $A237)),0)))),"United States of America")</f>
        <v/>
      </c>
      <c r="D237" s="9" t="str" cm="1">
        <f t="array" ref="D237">IF(A237="","",IF(ISNUMBER(MATCH(TRUE,ISNUMBER(SEARCH($Q$2:$Q$51, $A237)),0))=TRUE,"",IF(ISNUMBER(MATCH(TRUE,ISNUMBER(SEARCH($S$2:$S$199, $A237)),0))=TRUE,"","미국 확인 필요")))</f>
        <v/>
      </c>
    </row>
    <row r="238" spans="3:4">
      <c r="C238" s="9" t="str" cm="1">
        <f t="array" ref="C238">IFERROR(IF(A238="","",IF(ISNUMBER(MATCH(TRUE,ISNUMBER(SEARCH($Q$2:$Q$51, $A238)),0))=TRUE,"United States of America",INDEX($S$2:$S$199,MATCH(TRUE,ISNUMBER(SEARCH($S$2:$S$199, $A238)),0)))),"United States of America")</f>
        <v/>
      </c>
      <c r="D238" s="9" t="str" cm="1">
        <f t="array" ref="D238">IF(A238="","",IF(ISNUMBER(MATCH(TRUE,ISNUMBER(SEARCH($Q$2:$Q$51, $A238)),0))=TRUE,"",IF(ISNUMBER(MATCH(TRUE,ISNUMBER(SEARCH($S$2:$S$199, $A238)),0))=TRUE,"","미국 확인 필요")))</f>
        <v/>
      </c>
    </row>
    <row r="239" spans="3:4">
      <c r="C239" s="9" t="str" cm="1">
        <f t="array" ref="C239">IFERROR(IF(A239="","",IF(ISNUMBER(MATCH(TRUE,ISNUMBER(SEARCH($Q$2:$Q$51, $A239)),0))=TRUE,"United States of America",INDEX($S$2:$S$199,MATCH(TRUE,ISNUMBER(SEARCH($S$2:$S$199, $A239)),0)))),"United States of America")</f>
        <v/>
      </c>
      <c r="D239" s="9" t="str" cm="1">
        <f t="array" ref="D239">IF(A239="","",IF(ISNUMBER(MATCH(TRUE,ISNUMBER(SEARCH($Q$2:$Q$51, $A239)),0))=TRUE,"",IF(ISNUMBER(MATCH(TRUE,ISNUMBER(SEARCH($S$2:$S$199, $A239)),0))=TRUE,"","미국 확인 필요")))</f>
        <v/>
      </c>
    </row>
    <row r="240" spans="3:4">
      <c r="C240" s="9" t="str" cm="1">
        <f t="array" ref="C240">IFERROR(IF(A240="","",IF(ISNUMBER(MATCH(TRUE,ISNUMBER(SEARCH($Q$2:$Q$51, $A240)),0))=TRUE,"United States of America",INDEX($S$2:$S$199,MATCH(TRUE,ISNUMBER(SEARCH($S$2:$S$199, $A240)),0)))),"United States of America")</f>
        <v/>
      </c>
      <c r="D240" s="9" t="str" cm="1">
        <f t="array" ref="D240">IF(A240="","",IF(ISNUMBER(MATCH(TRUE,ISNUMBER(SEARCH($Q$2:$Q$51, $A240)),0))=TRUE,"",IF(ISNUMBER(MATCH(TRUE,ISNUMBER(SEARCH($S$2:$S$199, $A240)),0))=TRUE,"","미국 확인 필요")))</f>
        <v/>
      </c>
    </row>
    <row r="241" spans="3:4">
      <c r="C241" s="9" t="str" cm="1">
        <f t="array" ref="C241">IFERROR(IF(A241="","",IF(ISNUMBER(MATCH(TRUE,ISNUMBER(SEARCH($Q$2:$Q$51, $A241)),0))=TRUE,"United States of America",INDEX($S$2:$S$199,MATCH(TRUE,ISNUMBER(SEARCH($S$2:$S$199, $A241)),0)))),"United States of America")</f>
        <v/>
      </c>
      <c r="D241" s="9" t="str" cm="1">
        <f t="array" ref="D241">IF(A241="","",IF(ISNUMBER(MATCH(TRUE,ISNUMBER(SEARCH($Q$2:$Q$51, $A241)),0))=TRUE,"",IF(ISNUMBER(MATCH(TRUE,ISNUMBER(SEARCH($S$2:$S$199, $A241)),0))=TRUE,"","미국 확인 필요")))</f>
        <v/>
      </c>
    </row>
    <row r="242" spans="3:4">
      <c r="C242" s="9" t="str" cm="1">
        <f t="array" ref="C242">IFERROR(IF(A242="","",IF(ISNUMBER(MATCH(TRUE,ISNUMBER(SEARCH($Q$2:$Q$51, $A242)),0))=TRUE,"United States of America",INDEX($S$2:$S$199,MATCH(TRUE,ISNUMBER(SEARCH($S$2:$S$199, $A242)),0)))),"United States of America")</f>
        <v/>
      </c>
      <c r="D242" s="9" t="str" cm="1">
        <f t="array" ref="D242">IF(A242="","",IF(ISNUMBER(MATCH(TRUE,ISNUMBER(SEARCH($Q$2:$Q$51, $A242)),0))=TRUE,"",IF(ISNUMBER(MATCH(TRUE,ISNUMBER(SEARCH($S$2:$S$199, $A242)),0))=TRUE,"","미국 확인 필요")))</f>
        <v/>
      </c>
    </row>
    <row r="243" spans="3:4">
      <c r="C243" s="9" t="str" cm="1">
        <f t="array" ref="C243">IFERROR(IF(A243="","",IF(ISNUMBER(MATCH(TRUE,ISNUMBER(SEARCH($Q$2:$Q$51, $A243)),0))=TRUE,"United States of America",INDEX($S$2:$S$199,MATCH(TRUE,ISNUMBER(SEARCH($S$2:$S$199, $A243)),0)))),"United States of America")</f>
        <v/>
      </c>
      <c r="D243" s="9" t="str" cm="1">
        <f t="array" ref="D243">IF(A243="","",IF(ISNUMBER(MATCH(TRUE,ISNUMBER(SEARCH($Q$2:$Q$51, $A243)),0))=TRUE,"",IF(ISNUMBER(MATCH(TRUE,ISNUMBER(SEARCH($S$2:$S$199, $A243)),0))=TRUE,"","미국 확인 필요")))</f>
        <v/>
      </c>
    </row>
    <row r="244" spans="3:4">
      <c r="C244" s="9" t="str" cm="1">
        <f t="array" ref="C244">IFERROR(IF(A244="","",IF(ISNUMBER(MATCH(TRUE,ISNUMBER(SEARCH($Q$2:$Q$51, $A244)),0))=TRUE,"United States of America",INDEX($S$2:$S$199,MATCH(TRUE,ISNUMBER(SEARCH($S$2:$S$199, $A244)),0)))),"United States of America")</f>
        <v/>
      </c>
      <c r="D244" s="9" t="str" cm="1">
        <f t="array" ref="D244">IF(A244="","",IF(ISNUMBER(MATCH(TRUE,ISNUMBER(SEARCH($Q$2:$Q$51, $A244)),0))=TRUE,"",IF(ISNUMBER(MATCH(TRUE,ISNUMBER(SEARCH($S$2:$S$199, $A244)),0))=TRUE,"","미국 확인 필요")))</f>
        <v/>
      </c>
    </row>
    <row r="245" spans="3:4">
      <c r="C245" s="9" t="str" cm="1">
        <f t="array" ref="C245">IFERROR(IF(A245="","",IF(ISNUMBER(MATCH(TRUE,ISNUMBER(SEARCH($Q$2:$Q$51, $A245)),0))=TRUE,"United States of America",INDEX($S$2:$S$199,MATCH(TRUE,ISNUMBER(SEARCH($S$2:$S$199, $A245)),0)))),"United States of America")</f>
        <v/>
      </c>
      <c r="D245" s="9" t="str" cm="1">
        <f t="array" ref="D245">IF(A245="","",IF(ISNUMBER(MATCH(TRUE,ISNUMBER(SEARCH($Q$2:$Q$51, $A245)),0))=TRUE,"",IF(ISNUMBER(MATCH(TRUE,ISNUMBER(SEARCH($S$2:$S$199, $A245)),0))=TRUE,"","미국 확인 필요")))</f>
        <v/>
      </c>
    </row>
    <row r="246" spans="3:4">
      <c r="C246" s="9" t="str" cm="1">
        <f t="array" ref="C246">IFERROR(IF(A246="","",IF(ISNUMBER(MATCH(TRUE,ISNUMBER(SEARCH($Q$2:$Q$51, $A246)),0))=TRUE,"United States of America",INDEX($S$2:$S$199,MATCH(TRUE,ISNUMBER(SEARCH($S$2:$S$199, $A246)),0)))),"United States of America")</f>
        <v/>
      </c>
      <c r="D246" s="9" t="str" cm="1">
        <f t="array" ref="D246">IF(A246="","",IF(ISNUMBER(MATCH(TRUE,ISNUMBER(SEARCH($Q$2:$Q$51, $A246)),0))=TRUE,"",IF(ISNUMBER(MATCH(TRUE,ISNUMBER(SEARCH($S$2:$S$199, $A246)),0))=TRUE,"","미국 확인 필요")))</f>
        <v/>
      </c>
    </row>
    <row r="247" spans="3:4">
      <c r="C247" s="9" t="str" cm="1">
        <f t="array" ref="C247">IFERROR(IF(A247="","",IF(ISNUMBER(MATCH(TRUE,ISNUMBER(SEARCH($Q$2:$Q$51, $A247)),0))=TRUE,"United States of America",INDEX($S$2:$S$199,MATCH(TRUE,ISNUMBER(SEARCH($S$2:$S$199, $A247)),0)))),"United States of America")</f>
        <v/>
      </c>
      <c r="D247" s="9" t="str" cm="1">
        <f t="array" ref="D247">IF(A247="","",IF(ISNUMBER(MATCH(TRUE,ISNUMBER(SEARCH($Q$2:$Q$51, $A247)),0))=TRUE,"",IF(ISNUMBER(MATCH(TRUE,ISNUMBER(SEARCH($S$2:$S$199, $A247)),0))=TRUE,"","미국 확인 필요")))</f>
        <v/>
      </c>
    </row>
    <row r="248" spans="3:4">
      <c r="C248" s="9" t="str" cm="1">
        <f t="array" ref="C248">IFERROR(IF(A248="","",IF(ISNUMBER(MATCH(TRUE,ISNUMBER(SEARCH($Q$2:$Q$51, $A248)),0))=TRUE,"United States of America",INDEX($S$2:$S$199,MATCH(TRUE,ISNUMBER(SEARCH($S$2:$S$199, $A248)),0)))),"United States of America")</f>
        <v/>
      </c>
      <c r="D248" s="9" t="str" cm="1">
        <f t="array" ref="D248">IF(A248="","",IF(ISNUMBER(MATCH(TRUE,ISNUMBER(SEARCH($Q$2:$Q$51, $A248)),0))=TRUE,"",IF(ISNUMBER(MATCH(TRUE,ISNUMBER(SEARCH($S$2:$S$199, $A248)),0))=TRUE,"","미국 확인 필요")))</f>
        <v/>
      </c>
    </row>
    <row r="249" spans="3:4">
      <c r="C249" s="9" t="str" cm="1">
        <f t="array" ref="C249">IFERROR(IF(A249="","",IF(ISNUMBER(MATCH(TRUE,ISNUMBER(SEARCH($Q$2:$Q$51, $A249)),0))=TRUE,"United States of America",INDEX($S$2:$S$199,MATCH(TRUE,ISNUMBER(SEARCH($S$2:$S$199, $A249)),0)))),"United States of America")</f>
        <v/>
      </c>
      <c r="D249" s="9" t="str" cm="1">
        <f t="array" ref="D249">IF(A249="","",IF(ISNUMBER(MATCH(TRUE,ISNUMBER(SEARCH($Q$2:$Q$51, $A249)),0))=TRUE,"",IF(ISNUMBER(MATCH(TRUE,ISNUMBER(SEARCH($S$2:$S$199, $A249)),0))=TRUE,"","미국 확인 필요")))</f>
        <v/>
      </c>
    </row>
    <row r="250" spans="3:4">
      <c r="C250" s="9" t="str" cm="1">
        <f t="array" ref="C250">IFERROR(IF(A250="","",IF(ISNUMBER(MATCH(TRUE,ISNUMBER(SEARCH($Q$2:$Q$51, $A250)),0))=TRUE,"United States of America",INDEX($S$2:$S$199,MATCH(TRUE,ISNUMBER(SEARCH($S$2:$S$199, $A250)),0)))),"United States of America")</f>
        <v/>
      </c>
      <c r="D250" s="9" t="str" cm="1">
        <f t="array" ref="D250">IF(A250="","",IF(ISNUMBER(MATCH(TRUE,ISNUMBER(SEARCH($Q$2:$Q$51, $A250)),0))=TRUE,"",IF(ISNUMBER(MATCH(TRUE,ISNUMBER(SEARCH($S$2:$S$199, $A250)),0))=TRUE,"","미국 확인 필요")))</f>
        <v/>
      </c>
    </row>
    <row r="251" spans="3:4">
      <c r="C251" s="9" t="str" cm="1">
        <f t="array" ref="C251">IFERROR(IF(A251="","",IF(ISNUMBER(MATCH(TRUE,ISNUMBER(SEARCH($Q$2:$Q$51, $A251)),0))=TRUE,"United States of America",INDEX($S$2:$S$199,MATCH(TRUE,ISNUMBER(SEARCH($S$2:$S$199, $A251)),0)))),"United States of America")</f>
        <v/>
      </c>
      <c r="D251" s="9" t="str" cm="1">
        <f t="array" ref="D251">IF(A251="","",IF(ISNUMBER(MATCH(TRUE,ISNUMBER(SEARCH($Q$2:$Q$51, $A251)),0))=TRUE,"",IF(ISNUMBER(MATCH(TRUE,ISNUMBER(SEARCH($S$2:$S$199, $A251)),0))=TRUE,"","미국 확인 필요")))</f>
        <v/>
      </c>
    </row>
    <row r="252" spans="3:4">
      <c r="C252" s="9" t="str" cm="1">
        <f t="array" ref="C252">IFERROR(IF(A252="","",IF(ISNUMBER(MATCH(TRUE,ISNUMBER(SEARCH($Q$2:$Q$51, $A252)),0))=TRUE,"United States of America",INDEX($S$2:$S$199,MATCH(TRUE,ISNUMBER(SEARCH($S$2:$S$199, $A252)),0)))),"United States of America")</f>
        <v/>
      </c>
      <c r="D252" s="9" t="str" cm="1">
        <f t="array" ref="D252">IF(A252="","",IF(ISNUMBER(MATCH(TRUE,ISNUMBER(SEARCH($Q$2:$Q$51, $A252)),0))=TRUE,"",IF(ISNUMBER(MATCH(TRUE,ISNUMBER(SEARCH($S$2:$S$199, $A252)),0))=TRUE,"","미국 확인 필요")))</f>
        <v/>
      </c>
    </row>
    <row r="253" spans="3:4">
      <c r="C253" s="9" t="str" cm="1">
        <f t="array" ref="C253">IFERROR(IF(A253="","",IF(ISNUMBER(MATCH(TRUE,ISNUMBER(SEARCH($Q$2:$Q$51, $A253)),0))=TRUE,"United States of America",INDEX($S$2:$S$199,MATCH(TRUE,ISNUMBER(SEARCH($S$2:$S$199, $A253)),0)))),"United States of America")</f>
        <v/>
      </c>
      <c r="D253" s="9" t="str" cm="1">
        <f t="array" ref="D253">IF(A253="","",IF(ISNUMBER(MATCH(TRUE,ISNUMBER(SEARCH($Q$2:$Q$51, $A253)),0))=TRUE,"",IF(ISNUMBER(MATCH(TRUE,ISNUMBER(SEARCH($S$2:$S$199, $A253)),0))=TRUE,"","미국 확인 필요")))</f>
        <v/>
      </c>
    </row>
    <row r="254" spans="3:4">
      <c r="C254" s="9" t="str" cm="1">
        <f t="array" ref="C254">IFERROR(IF(A254="","",IF(ISNUMBER(MATCH(TRUE,ISNUMBER(SEARCH($Q$2:$Q$51, $A254)),0))=TRUE,"United States of America",INDEX($S$2:$S$199,MATCH(TRUE,ISNUMBER(SEARCH($S$2:$S$199, $A254)),0)))),"United States of America")</f>
        <v/>
      </c>
      <c r="D254" s="9" t="str" cm="1">
        <f t="array" ref="D254">IF(A254="","",IF(ISNUMBER(MATCH(TRUE,ISNUMBER(SEARCH($Q$2:$Q$51, $A254)),0))=TRUE,"",IF(ISNUMBER(MATCH(TRUE,ISNUMBER(SEARCH($S$2:$S$199, $A254)),0))=TRUE,"","미국 확인 필요")))</f>
        <v/>
      </c>
    </row>
    <row r="255" spans="3:4">
      <c r="C255" s="9" t="str" cm="1">
        <f t="array" ref="C255">IFERROR(IF(A255="","",IF(ISNUMBER(MATCH(TRUE,ISNUMBER(SEARCH($Q$2:$Q$51, $A255)),0))=TRUE,"United States of America",INDEX($S$2:$S$199,MATCH(TRUE,ISNUMBER(SEARCH($S$2:$S$199, $A255)),0)))),"United States of America")</f>
        <v/>
      </c>
      <c r="D255" s="9" t="str" cm="1">
        <f t="array" ref="D255">IF(A255="","",IF(ISNUMBER(MATCH(TRUE,ISNUMBER(SEARCH($Q$2:$Q$51, $A255)),0))=TRUE,"",IF(ISNUMBER(MATCH(TRUE,ISNUMBER(SEARCH($S$2:$S$199, $A255)),0))=TRUE,"","미국 확인 필요")))</f>
        <v/>
      </c>
    </row>
    <row r="256" spans="3:4">
      <c r="C256" s="9" t="str" cm="1">
        <f t="array" ref="C256">IFERROR(IF(A256="","",IF(ISNUMBER(MATCH(TRUE,ISNUMBER(SEARCH($Q$2:$Q$51, $A256)),0))=TRUE,"United States of America",INDEX($S$2:$S$199,MATCH(TRUE,ISNUMBER(SEARCH($S$2:$S$199, $A256)),0)))),"United States of America")</f>
        <v/>
      </c>
      <c r="D256" s="9" t="str" cm="1">
        <f t="array" ref="D256">IF(A256="","",IF(ISNUMBER(MATCH(TRUE,ISNUMBER(SEARCH($Q$2:$Q$51, $A256)),0))=TRUE,"",IF(ISNUMBER(MATCH(TRUE,ISNUMBER(SEARCH($S$2:$S$199, $A256)),0))=TRUE,"","미국 확인 필요")))</f>
        <v/>
      </c>
    </row>
    <row r="257" spans="3:4">
      <c r="C257" s="9" t="str" cm="1">
        <f t="array" ref="C257">IFERROR(IF(A257="","",IF(ISNUMBER(MATCH(TRUE,ISNUMBER(SEARCH($Q$2:$Q$51, $A257)),0))=TRUE,"United States of America",INDEX($S$2:$S$199,MATCH(TRUE,ISNUMBER(SEARCH($S$2:$S$199, $A257)),0)))),"United States of America")</f>
        <v/>
      </c>
      <c r="D257" s="9" t="str" cm="1">
        <f t="array" ref="D257">IF(A257="","",IF(ISNUMBER(MATCH(TRUE,ISNUMBER(SEARCH($Q$2:$Q$51, $A257)),0))=TRUE,"",IF(ISNUMBER(MATCH(TRUE,ISNUMBER(SEARCH($S$2:$S$199, $A257)),0))=TRUE,"","미국 확인 필요")))</f>
        <v/>
      </c>
    </row>
    <row r="258" spans="3:4">
      <c r="C258" s="9" t="str" cm="1">
        <f t="array" ref="C258">IFERROR(IF(A258="","",IF(ISNUMBER(MATCH(TRUE,ISNUMBER(SEARCH($Q$2:$Q$51, $A258)),0))=TRUE,"United States of America",INDEX($S$2:$S$199,MATCH(TRUE,ISNUMBER(SEARCH($S$2:$S$199, $A258)),0)))),"United States of America")</f>
        <v/>
      </c>
      <c r="D258" s="9" t="str" cm="1">
        <f t="array" ref="D258">IF(A258="","",IF(ISNUMBER(MATCH(TRUE,ISNUMBER(SEARCH($Q$2:$Q$51, $A258)),0))=TRUE,"",IF(ISNUMBER(MATCH(TRUE,ISNUMBER(SEARCH($S$2:$S$199, $A258)),0))=TRUE,"","미국 확인 필요")))</f>
        <v/>
      </c>
    </row>
    <row r="259" spans="3:4">
      <c r="C259" s="9" t="str" cm="1">
        <f t="array" ref="C259">IFERROR(IF(A259="","",IF(ISNUMBER(MATCH(TRUE,ISNUMBER(SEARCH($Q$2:$Q$51, $A259)),0))=TRUE,"United States of America",INDEX($S$2:$S$199,MATCH(TRUE,ISNUMBER(SEARCH($S$2:$S$199, $A259)),0)))),"United States of America")</f>
        <v/>
      </c>
      <c r="D259" s="9" t="str" cm="1">
        <f t="array" ref="D259">IF(A259="","",IF(ISNUMBER(MATCH(TRUE,ISNUMBER(SEARCH($Q$2:$Q$51, $A259)),0))=TRUE,"",IF(ISNUMBER(MATCH(TRUE,ISNUMBER(SEARCH($S$2:$S$199, $A259)),0))=TRUE,"","미국 확인 필요")))</f>
        <v/>
      </c>
    </row>
    <row r="260" spans="3:4">
      <c r="C260" s="9" t="str" cm="1">
        <f t="array" ref="C260">IFERROR(IF(A260="","",IF(ISNUMBER(MATCH(TRUE,ISNUMBER(SEARCH($Q$2:$Q$51, $A260)),0))=TRUE,"United States of America",INDEX($S$2:$S$199,MATCH(TRUE,ISNUMBER(SEARCH($S$2:$S$199, $A260)),0)))),"United States of America")</f>
        <v/>
      </c>
      <c r="D260" s="9" t="str" cm="1">
        <f t="array" ref="D260">IF(A260="","",IF(ISNUMBER(MATCH(TRUE,ISNUMBER(SEARCH($Q$2:$Q$51, $A260)),0))=TRUE,"",IF(ISNUMBER(MATCH(TRUE,ISNUMBER(SEARCH($S$2:$S$199, $A260)),0))=TRUE,"","미국 확인 필요")))</f>
        <v/>
      </c>
    </row>
    <row r="261" spans="3:4">
      <c r="C261" s="9" t="str" cm="1">
        <f t="array" ref="C261">IFERROR(IF(A261="","",IF(ISNUMBER(MATCH(TRUE,ISNUMBER(SEARCH($Q$2:$Q$51, $A261)),0))=TRUE,"United States of America",INDEX($S$2:$S$199,MATCH(TRUE,ISNUMBER(SEARCH($S$2:$S$199, $A261)),0)))),"United States of America")</f>
        <v/>
      </c>
      <c r="D261" s="9" t="str" cm="1">
        <f t="array" ref="D261">IF(A261="","",IF(ISNUMBER(MATCH(TRUE,ISNUMBER(SEARCH($Q$2:$Q$51, $A261)),0))=TRUE,"",IF(ISNUMBER(MATCH(TRUE,ISNUMBER(SEARCH($S$2:$S$199, $A261)),0))=TRUE,"","미국 확인 필요")))</f>
        <v/>
      </c>
    </row>
    <row r="262" spans="3:4">
      <c r="C262" s="9" t="str" cm="1">
        <f t="array" ref="C262">IFERROR(IF(A262="","",IF(ISNUMBER(MATCH(TRUE,ISNUMBER(SEARCH($Q$2:$Q$51, $A262)),0))=TRUE,"United States of America",INDEX($S$2:$S$199,MATCH(TRUE,ISNUMBER(SEARCH($S$2:$S$199, $A262)),0)))),"United States of America")</f>
        <v/>
      </c>
      <c r="D262" s="9" t="str" cm="1">
        <f t="array" ref="D262">IF(A262="","",IF(ISNUMBER(MATCH(TRUE,ISNUMBER(SEARCH($Q$2:$Q$51, $A262)),0))=TRUE,"",IF(ISNUMBER(MATCH(TRUE,ISNUMBER(SEARCH($S$2:$S$199, $A262)),0))=TRUE,"","미국 확인 필요")))</f>
        <v/>
      </c>
    </row>
    <row r="263" spans="3:4">
      <c r="C263" s="9" t="str" cm="1">
        <f t="array" ref="C263">IFERROR(IF(A263="","",IF(ISNUMBER(MATCH(TRUE,ISNUMBER(SEARCH($Q$2:$Q$51, $A263)),0))=TRUE,"United States of America",INDEX($S$2:$S$199,MATCH(TRUE,ISNUMBER(SEARCH($S$2:$S$199, $A263)),0)))),"United States of America")</f>
        <v/>
      </c>
      <c r="D263" s="9" t="str" cm="1">
        <f t="array" ref="D263">IF(A263="","",IF(ISNUMBER(MATCH(TRUE,ISNUMBER(SEARCH($Q$2:$Q$51, $A263)),0))=TRUE,"",IF(ISNUMBER(MATCH(TRUE,ISNUMBER(SEARCH($S$2:$S$199, $A263)),0))=TRUE,"","미국 확인 필요")))</f>
        <v/>
      </c>
    </row>
    <row r="264" spans="3:4">
      <c r="C264" s="9" t="str" cm="1">
        <f t="array" ref="C264">IFERROR(IF(A264="","",IF(ISNUMBER(MATCH(TRUE,ISNUMBER(SEARCH($Q$2:$Q$51, $A264)),0))=TRUE,"United States of America",INDEX($S$2:$S$199,MATCH(TRUE,ISNUMBER(SEARCH($S$2:$S$199, $A264)),0)))),"United States of America")</f>
        <v/>
      </c>
      <c r="D264" s="9" t="str" cm="1">
        <f t="array" ref="D264">IF(A264="","",IF(ISNUMBER(MATCH(TRUE,ISNUMBER(SEARCH($Q$2:$Q$51, $A264)),0))=TRUE,"",IF(ISNUMBER(MATCH(TRUE,ISNUMBER(SEARCH($S$2:$S$199, $A264)),0))=TRUE,"","미국 확인 필요")))</f>
        <v/>
      </c>
    </row>
    <row r="265" spans="3:4">
      <c r="C265" s="9" t="str" cm="1">
        <f t="array" ref="C265">IFERROR(IF(A265="","",IF(ISNUMBER(MATCH(TRUE,ISNUMBER(SEARCH($Q$2:$Q$51, $A265)),0))=TRUE,"United States of America",INDEX($S$2:$S$199,MATCH(TRUE,ISNUMBER(SEARCH($S$2:$S$199, $A265)),0)))),"United States of America")</f>
        <v/>
      </c>
      <c r="D265" s="9" t="str" cm="1">
        <f t="array" ref="D265">IF(A265="","",IF(ISNUMBER(MATCH(TRUE,ISNUMBER(SEARCH($Q$2:$Q$51, $A265)),0))=TRUE,"",IF(ISNUMBER(MATCH(TRUE,ISNUMBER(SEARCH($S$2:$S$199, $A265)),0))=TRUE,"","미국 확인 필요")))</f>
        <v/>
      </c>
    </row>
    <row r="266" spans="3:4">
      <c r="C266" s="9" t="str" cm="1">
        <f t="array" ref="C266">IFERROR(IF(A266="","",IF(ISNUMBER(MATCH(TRUE,ISNUMBER(SEARCH($Q$2:$Q$51, $A266)),0))=TRUE,"United States of America",INDEX($S$2:$S$199,MATCH(TRUE,ISNUMBER(SEARCH($S$2:$S$199, $A266)),0)))),"United States of America")</f>
        <v/>
      </c>
      <c r="D266" s="9" t="str" cm="1">
        <f t="array" ref="D266">IF(A266="","",IF(ISNUMBER(MATCH(TRUE,ISNUMBER(SEARCH($Q$2:$Q$51, $A266)),0))=TRUE,"",IF(ISNUMBER(MATCH(TRUE,ISNUMBER(SEARCH($S$2:$S$199, $A266)),0))=TRUE,"","미국 확인 필요")))</f>
        <v/>
      </c>
    </row>
    <row r="267" spans="3:4">
      <c r="C267" s="9" t="str" cm="1">
        <f t="array" ref="C267">IFERROR(IF(A267="","",IF(ISNUMBER(MATCH(TRUE,ISNUMBER(SEARCH($Q$2:$Q$51, $A267)),0))=TRUE,"United States of America",INDEX($S$2:$S$199,MATCH(TRUE,ISNUMBER(SEARCH($S$2:$S$199, $A267)),0)))),"United States of America")</f>
        <v/>
      </c>
      <c r="D267" s="9" t="str" cm="1">
        <f t="array" ref="D267">IF(A267="","",IF(ISNUMBER(MATCH(TRUE,ISNUMBER(SEARCH($Q$2:$Q$51, $A267)),0))=TRUE,"",IF(ISNUMBER(MATCH(TRUE,ISNUMBER(SEARCH($S$2:$S$199, $A267)),0))=TRUE,"","미국 확인 필요")))</f>
        <v/>
      </c>
    </row>
    <row r="268" spans="3:4">
      <c r="C268" s="9" t="str" cm="1">
        <f t="array" ref="C268">IFERROR(IF(A268="","",IF(ISNUMBER(MATCH(TRUE,ISNUMBER(SEARCH($Q$2:$Q$51, $A268)),0))=TRUE,"United States of America",INDEX($S$2:$S$199,MATCH(TRUE,ISNUMBER(SEARCH($S$2:$S$199, $A268)),0)))),"United States of America")</f>
        <v/>
      </c>
      <c r="D268" s="9" t="str" cm="1">
        <f t="array" ref="D268">IF(A268="","",IF(ISNUMBER(MATCH(TRUE,ISNUMBER(SEARCH($Q$2:$Q$51, $A268)),0))=TRUE,"",IF(ISNUMBER(MATCH(TRUE,ISNUMBER(SEARCH($S$2:$S$199, $A268)),0))=TRUE,"","미국 확인 필요")))</f>
        <v/>
      </c>
    </row>
    <row r="269" spans="3:4">
      <c r="C269" s="9" t="str" cm="1">
        <f t="array" ref="C269">IFERROR(IF(A269="","",IF(ISNUMBER(MATCH(TRUE,ISNUMBER(SEARCH($Q$2:$Q$51, $A269)),0))=TRUE,"United States of America",INDEX($S$2:$S$199,MATCH(TRUE,ISNUMBER(SEARCH($S$2:$S$199, $A269)),0)))),"United States of America")</f>
        <v/>
      </c>
      <c r="D269" s="9" t="str" cm="1">
        <f t="array" ref="D269">IF(A269="","",IF(ISNUMBER(MATCH(TRUE,ISNUMBER(SEARCH($Q$2:$Q$51, $A269)),0))=TRUE,"",IF(ISNUMBER(MATCH(TRUE,ISNUMBER(SEARCH($S$2:$S$199, $A269)),0))=TRUE,"","미국 확인 필요")))</f>
        <v/>
      </c>
    </row>
    <row r="270" spans="3:4">
      <c r="C270" s="9" t="str" cm="1">
        <f t="array" ref="C270">IFERROR(IF(A270="","",IF(ISNUMBER(MATCH(TRUE,ISNUMBER(SEARCH($Q$2:$Q$51, $A270)),0))=TRUE,"United States of America",INDEX($S$2:$S$199,MATCH(TRUE,ISNUMBER(SEARCH($S$2:$S$199, $A270)),0)))),"United States of America")</f>
        <v/>
      </c>
      <c r="D270" s="9" t="str" cm="1">
        <f t="array" ref="D270">IF(A270="","",IF(ISNUMBER(MATCH(TRUE,ISNUMBER(SEARCH($Q$2:$Q$51, $A270)),0))=TRUE,"",IF(ISNUMBER(MATCH(TRUE,ISNUMBER(SEARCH($S$2:$S$199, $A270)),0))=TRUE,"","미국 확인 필요")))</f>
        <v/>
      </c>
    </row>
    <row r="271" spans="3:4">
      <c r="C271" s="9" t="str" cm="1">
        <f t="array" ref="C271">IFERROR(IF(A271="","",IF(ISNUMBER(MATCH(TRUE,ISNUMBER(SEARCH($Q$2:$Q$51, $A271)),0))=TRUE,"United States of America",INDEX($S$2:$S$199,MATCH(TRUE,ISNUMBER(SEARCH($S$2:$S$199, $A271)),0)))),"United States of America")</f>
        <v/>
      </c>
      <c r="D271" s="9" t="str" cm="1">
        <f t="array" ref="D271">IF(A271="","",IF(ISNUMBER(MATCH(TRUE,ISNUMBER(SEARCH($Q$2:$Q$51, $A271)),0))=TRUE,"",IF(ISNUMBER(MATCH(TRUE,ISNUMBER(SEARCH($S$2:$S$199, $A271)),0))=TRUE,"","미국 확인 필요")))</f>
        <v/>
      </c>
    </row>
    <row r="272" spans="3:4">
      <c r="C272" s="9" t="str" cm="1">
        <f t="array" ref="C272">IFERROR(IF(A272="","",IF(ISNUMBER(MATCH(TRUE,ISNUMBER(SEARCH($Q$2:$Q$51, $A272)),0))=TRUE,"United States of America",INDEX($S$2:$S$199,MATCH(TRUE,ISNUMBER(SEARCH($S$2:$S$199, $A272)),0)))),"United States of America")</f>
        <v/>
      </c>
      <c r="D272" s="9" t="str" cm="1">
        <f t="array" ref="D272">IF(A272="","",IF(ISNUMBER(MATCH(TRUE,ISNUMBER(SEARCH($Q$2:$Q$51, $A272)),0))=TRUE,"",IF(ISNUMBER(MATCH(TRUE,ISNUMBER(SEARCH($S$2:$S$199, $A272)),0))=TRUE,"","미국 확인 필요")))</f>
        <v/>
      </c>
    </row>
    <row r="273" spans="3:4">
      <c r="C273" s="9" t="str" cm="1">
        <f t="array" ref="C273">IFERROR(IF(A273="","",IF(ISNUMBER(MATCH(TRUE,ISNUMBER(SEARCH($Q$2:$Q$51, $A273)),0))=TRUE,"United States of America",INDEX($S$2:$S$199,MATCH(TRUE,ISNUMBER(SEARCH($S$2:$S$199, $A273)),0)))),"United States of America")</f>
        <v/>
      </c>
      <c r="D273" s="9" t="str" cm="1">
        <f t="array" ref="D273">IF(A273="","",IF(ISNUMBER(MATCH(TRUE,ISNUMBER(SEARCH($Q$2:$Q$51, $A273)),0))=TRUE,"",IF(ISNUMBER(MATCH(TRUE,ISNUMBER(SEARCH($S$2:$S$199, $A273)),0))=TRUE,"","미국 확인 필요")))</f>
        <v/>
      </c>
    </row>
    <row r="274" spans="3:4">
      <c r="C274" s="9" t="str" cm="1">
        <f t="array" ref="C274">IFERROR(IF(A274="","",IF(ISNUMBER(MATCH(TRUE,ISNUMBER(SEARCH($Q$2:$Q$51, $A274)),0))=TRUE,"United States of America",INDEX($S$2:$S$199,MATCH(TRUE,ISNUMBER(SEARCH($S$2:$S$199, $A274)),0)))),"United States of America")</f>
        <v/>
      </c>
      <c r="D274" s="9" t="str" cm="1">
        <f t="array" ref="D274">IF(A274="","",IF(ISNUMBER(MATCH(TRUE,ISNUMBER(SEARCH($Q$2:$Q$51, $A274)),0))=TRUE,"",IF(ISNUMBER(MATCH(TRUE,ISNUMBER(SEARCH($S$2:$S$199, $A274)),0))=TRUE,"","미국 확인 필요")))</f>
        <v/>
      </c>
    </row>
    <row r="275" spans="3:4">
      <c r="C275" s="9" t="str" cm="1">
        <f t="array" ref="C275">IFERROR(IF(A275="","",IF(ISNUMBER(MATCH(TRUE,ISNUMBER(SEARCH($Q$2:$Q$51, $A275)),0))=TRUE,"United States of America",INDEX($S$2:$S$199,MATCH(TRUE,ISNUMBER(SEARCH($S$2:$S$199, $A275)),0)))),"United States of America")</f>
        <v/>
      </c>
      <c r="D275" s="9" t="str" cm="1">
        <f t="array" ref="D275">IF(A275="","",IF(ISNUMBER(MATCH(TRUE,ISNUMBER(SEARCH($Q$2:$Q$51, $A275)),0))=TRUE,"",IF(ISNUMBER(MATCH(TRUE,ISNUMBER(SEARCH($S$2:$S$199, $A275)),0))=TRUE,"","미국 확인 필요")))</f>
        <v/>
      </c>
    </row>
    <row r="276" spans="3:4">
      <c r="C276" s="9" t="str" cm="1">
        <f t="array" ref="C276">IFERROR(IF(A276="","",IF(ISNUMBER(MATCH(TRUE,ISNUMBER(SEARCH($Q$2:$Q$51, $A276)),0))=TRUE,"United States of America",INDEX($S$2:$S$199,MATCH(TRUE,ISNUMBER(SEARCH($S$2:$S$199, $A276)),0)))),"United States of America")</f>
        <v/>
      </c>
      <c r="D276" s="9" t="str" cm="1">
        <f t="array" ref="D276">IF(A276="","",IF(ISNUMBER(MATCH(TRUE,ISNUMBER(SEARCH($Q$2:$Q$51, $A276)),0))=TRUE,"",IF(ISNUMBER(MATCH(TRUE,ISNUMBER(SEARCH($S$2:$S$199, $A276)),0))=TRUE,"","미국 확인 필요")))</f>
        <v/>
      </c>
    </row>
    <row r="277" spans="3:4">
      <c r="C277" s="9" t="str" cm="1">
        <f t="array" ref="C277">IFERROR(IF(A277="","",IF(ISNUMBER(MATCH(TRUE,ISNUMBER(SEARCH($Q$2:$Q$51, $A277)),0))=TRUE,"United States of America",INDEX($S$2:$S$199,MATCH(TRUE,ISNUMBER(SEARCH($S$2:$S$199, $A277)),0)))),"United States of America")</f>
        <v/>
      </c>
      <c r="D277" s="9" t="str" cm="1">
        <f t="array" ref="D277">IF(A277="","",IF(ISNUMBER(MATCH(TRUE,ISNUMBER(SEARCH($Q$2:$Q$51, $A277)),0))=TRUE,"",IF(ISNUMBER(MATCH(TRUE,ISNUMBER(SEARCH($S$2:$S$199, $A277)),0))=TRUE,"","미국 확인 필요")))</f>
        <v/>
      </c>
    </row>
    <row r="278" spans="3:4">
      <c r="C278" s="9" t="str" cm="1">
        <f t="array" ref="C278">IFERROR(IF(A278="","",IF(ISNUMBER(MATCH(TRUE,ISNUMBER(SEARCH($Q$2:$Q$51, $A278)),0))=TRUE,"United States of America",INDEX($S$2:$S$199,MATCH(TRUE,ISNUMBER(SEARCH($S$2:$S$199, $A278)),0)))),"United States of America")</f>
        <v/>
      </c>
      <c r="D278" s="9" t="str" cm="1">
        <f t="array" ref="D278">IF(A278="","",IF(ISNUMBER(MATCH(TRUE,ISNUMBER(SEARCH($Q$2:$Q$51, $A278)),0))=TRUE,"",IF(ISNUMBER(MATCH(TRUE,ISNUMBER(SEARCH($S$2:$S$199, $A278)),0))=TRUE,"","미국 확인 필요")))</f>
        <v/>
      </c>
    </row>
    <row r="279" spans="3:4">
      <c r="C279" s="9" t="str" cm="1">
        <f t="array" ref="C279">IFERROR(IF(A279="","",IF(ISNUMBER(MATCH(TRUE,ISNUMBER(SEARCH($Q$2:$Q$51, $A279)),0))=TRUE,"United States of America",INDEX($S$2:$S$199,MATCH(TRUE,ISNUMBER(SEARCH($S$2:$S$199, $A279)),0)))),"United States of America")</f>
        <v/>
      </c>
      <c r="D279" s="9" t="str" cm="1">
        <f t="array" ref="D279">IF(A279="","",IF(ISNUMBER(MATCH(TRUE,ISNUMBER(SEARCH($Q$2:$Q$51, $A279)),0))=TRUE,"",IF(ISNUMBER(MATCH(TRUE,ISNUMBER(SEARCH($S$2:$S$199, $A279)),0))=TRUE,"","미국 확인 필요")))</f>
        <v/>
      </c>
    </row>
    <row r="280" spans="3:4">
      <c r="C280" s="9" t="str" cm="1">
        <f t="array" ref="C280">IFERROR(IF(A280="","",IF(ISNUMBER(MATCH(TRUE,ISNUMBER(SEARCH($Q$2:$Q$51, $A280)),0))=TRUE,"United States of America",INDEX($S$2:$S$199,MATCH(TRUE,ISNUMBER(SEARCH($S$2:$S$199, $A280)),0)))),"United States of America")</f>
        <v/>
      </c>
      <c r="D280" s="9" t="str" cm="1">
        <f t="array" ref="D280">IF(A280="","",IF(ISNUMBER(MATCH(TRUE,ISNUMBER(SEARCH($Q$2:$Q$51, $A280)),0))=TRUE,"",IF(ISNUMBER(MATCH(TRUE,ISNUMBER(SEARCH($S$2:$S$199, $A280)),0))=TRUE,"","미국 확인 필요")))</f>
        <v/>
      </c>
    </row>
    <row r="281" spans="3:4">
      <c r="C281" s="9" t="str" cm="1">
        <f t="array" ref="C281">IFERROR(IF(A281="","",IF(ISNUMBER(MATCH(TRUE,ISNUMBER(SEARCH($Q$2:$Q$51, $A281)),0))=TRUE,"United States of America",INDEX($S$2:$S$199,MATCH(TRUE,ISNUMBER(SEARCH($S$2:$S$199, $A281)),0)))),"United States of America")</f>
        <v/>
      </c>
      <c r="D281" s="9" t="str" cm="1">
        <f t="array" ref="D281">IF(A281="","",IF(ISNUMBER(MATCH(TRUE,ISNUMBER(SEARCH($Q$2:$Q$51, $A281)),0))=TRUE,"",IF(ISNUMBER(MATCH(TRUE,ISNUMBER(SEARCH($S$2:$S$199, $A281)),0))=TRUE,"","미국 확인 필요")))</f>
        <v/>
      </c>
    </row>
    <row r="282" spans="3:4">
      <c r="C282" s="9" t="str" cm="1">
        <f t="array" ref="C282">IFERROR(IF(A282="","",IF(ISNUMBER(MATCH(TRUE,ISNUMBER(SEARCH($Q$2:$Q$51, $A282)),0))=TRUE,"United States of America",INDEX($S$2:$S$199,MATCH(TRUE,ISNUMBER(SEARCH($S$2:$S$199, $A282)),0)))),"United States of America")</f>
        <v/>
      </c>
      <c r="D282" s="9" t="str" cm="1">
        <f t="array" ref="D282">IF(A282="","",IF(ISNUMBER(MATCH(TRUE,ISNUMBER(SEARCH($Q$2:$Q$51, $A282)),0))=TRUE,"",IF(ISNUMBER(MATCH(TRUE,ISNUMBER(SEARCH($S$2:$S$199, $A282)),0))=TRUE,"","미국 확인 필요")))</f>
        <v/>
      </c>
    </row>
    <row r="283" spans="3:4">
      <c r="C283" s="9" t="str" cm="1">
        <f t="array" ref="C283">IFERROR(IF(A283="","",IF(ISNUMBER(MATCH(TRUE,ISNUMBER(SEARCH($Q$2:$Q$51, $A283)),0))=TRUE,"United States of America",INDEX($S$2:$S$199,MATCH(TRUE,ISNUMBER(SEARCH($S$2:$S$199, $A283)),0)))),"United States of America")</f>
        <v/>
      </c>
      <c r="D283" s="9" t="str" cm="1">
        <f t="array" ref="D283">IF(A283="","",IF(ISNUMBER(MATCH(TRUE,ISNUMBER(SEARCH($Q$2:$Q$51, $A283)),0))=TRUE,"",IF(ISNUMBER(MATCH(TRUE,ISNUMBER(SEARCH($S$2:$S$199, $A283)),0))=TRUE,"","미국 확인 필요")))</f>
        <v/>
      </c>
    </row>
    <row r="284" spans="3:4">
      <c r="C284" s="9" t="str" cm="1">
        <f t="array" ref="C284">IFERROR(IF(A284="","",IF(ISNUMBER(MATCH(TRUE,ISNUMBER(SEARCH($Q$2:$Q$51, $A284)),0))=TRUE,"United States of America",INDEX($S$2:$S$199,MATCH(TRUE,ISNUMBER(SEARCH($S$2:$S$199, $A284)),0)))),"United States of America")</f>
        <v/>
      </c>
      <c r="D284" s="9" t="str" cm="1">
        <f t="array" ref="D284">IF(A284="","",IF(ISNUMBER(MATCH(TRUE,ISNUMBER(SEARCH($Q$2:$Q$51, $A284)),0))=TRUE,"",IF(ISNUMBER(MATCH(TRUE,ISNUMBER(SEARCH($S$2:$S$199, $A284)),0))=TRUE,"","미국 확인 필요")))</f>
        <v/>
      </c>
    </row>
    <row r="285" spans="3:4">
      <c r="C285" s="9" t="str" cm="1">
        <f t="array" ref="C285">IFERROR(IF(A285="","",IF(ISNUMBER(MATCH(TRUE,ISNUMBER(SEARCH($Q$2:$Q$51, $A285)),0))=TRUE,"United States of America",INDEX($S$2:$S$199,MATCH(TRUE,ISNUMBER(SEARCH($S$2:$S$199, $A285)),0)))),"United States of America")</f>
        <v/>
      </c>
      <c r="D285" s="9" t="str" cm="1">
        <f t="array" ref="D285">IF(A285="","",IF(ISNUMBER(MATCH(TRUE,ISNUMBER(SEARCH($Q$2:$Q$51, $A285)),0))=TRUE,"",IF(ISNUMBER(MATCH(TRUE,ISNUMBER(SEARCH($S$2:$S$199, $A285)),0))=TRUE,"","미국 확인 필요")))</f>
        <v/>
      </c>
    </row>
    <row r="286" spans="3:4">
      <c r="C286" s="9" t="str" cm="1">
        <f t="array" ref="C286">IFERROR(IF(A286="","",IF(ISNUMBER(MATCH(TRUE,ISNUMBER(SEARCH($Q$2:$Q$51, $A286)),0))=TRUE,"United States of America",INDEX($S$2:$S$199,MATCH(TRUE,ISNUMBER(SEARCH($S$2:$S$199, $A286)),0)))),"United States of America")</f>
        <v/>
      </c>
      <c r="D286" s="9" t="str" cm="1">
        <f t="array" ref="D286">IF(A286="","",IF(ISNUMBER(MATCH(TRUE,ISNUMBER(SEARCH($Q$2:$Q$51, $A286)),0))=TRUE,"",IF(ISNUMBER(MATCH(TRUE,ISNUMBER(SEARCH($S$2:$S$199, $A286)),0))=TRUE,"","미국 확인 필요")))</f>
        <v/>
      </c>
    </row>
    <row r="287" spans="3:4">
      <c r="C287" s="9" t="str" cm="1">
        <f t="array" ref="C287">IFERROR(IF(A287="","",IF(ISNUMBER(MATCH(TRUE,ISNUMBER(SEARCH($Q$2:$Q$51, $A287)),0))=TRUE,"United States of America",INDEX($S$2:$S$199,MATCH(TRUE,ISNUMBER(SEARCH($S$2:$S$199, $A287)),0)))),"United States of America")</f>
        <v/>
      </c>
      <c r="D287" s="9" t="str" cm="1">
        <f t="array" ref="D287">IF(A287="","",IF(ISNUMBER(MATCH(TRUE,ISNUMBER(SEARCH($Q$2:$Q$51, $A287)),0))=TRUE,"",IF(ISNUMBER(MATCH(TRUE,ISNUMBER(SEARCH($S$2:$S$199, $A287)),0))=TRUE,"","미국 확인 필요")))</f>
        <v/>
      </c>
    </row>
    <row r="288" spans="3:4">
      <c r="C288" s="9" t="str" cm="1">
        <f t="array" ref="C288">IFERROR(IF(A288="","",IF(ISNUMBER(MATCH(TRUE,ISNUMBER(SEARCH($Q$2:$Q$51, $A288)),0))=TRUE,"United States of America",INDEX($S$2:$S$199,MATCH(TRUE,ISNUMBER(SEARCH($S$2:$S$199, $A288)),0)))),"United States of America")</f>
        <v/>
      </c>
      <c r="D288" s="9" t="str" cm="1">
        <f t="array" ref="D288">IF(A288="","",IF(ISNUMBER(MATCH(TRUE,ISNUMBER(SEARCH($Q$2:$Q$51, $A288)),0))=TRUE,"",IF(ISNUMBER(MATCH(TRUE,ISNUMBER(SEARCH($S$2:$S$199, $A288)),0))=TRUE,"","미국 확인 필요")))</f>
        <v/>
      </c>
    </row>
    <row r="289" spans="3:4">
      <c r="C289" s="9" t="str" cm="1">
        <f t="array" ref="C289">IFERROR(IF(A289="","",IF(ISNUMBER(MATCH(TRUE,ISNUMBER(SEARCH($Q$2:$Q$51, $A289)),0))=TRUE,"United States of America",INDEX($S$2:$S$199,MATCH(TRUE,ISNUMBER(SEARCH($S$2:$S$199, $A289)),0)))),"United States of America")</f>
        <v/>
      </c>
      <c r="D289" s="9" t="str" cm="1">
        <f t="array" ref="D289">IF(A289="","",IF(ISNUMBER(MATCH(TRUE,ISNUMBER(SEARCH($Q$2:$Q$51, $A289)),0))=TRUE,"",IF(ISNUMBER(MATCH(TRUE,ISNUMBER(SEARCH($S$2:$S$199, $A289)),0))=TRUE,"","미국 확인 필요")))</f>
        <v/>
      </c>
    </row>
    <row r="290" spans="3:4">
      <c r="C290" s="9" t="str" cm="1">
        <f t="array" ref="C290">IFERROR(IF(A290="","",IF(ISNUMBER(MATCH(TRUE,ISNUMBER(SEARCH($Q$2:$Q$51, $A290)),0))=TRUE,"United States of America",INDEX($S$2:$S$199,MATCH(TRUE,ISNUMBER(SEARCH($S$2:$S$199, $A290)),0)))),"United States of America")</f>
        <v/>
      </c>
      <c r="D290" s="9" t="str" cm="1">
        <f t="array" ref="D290">IF(A290="","",IF(ISNUMBER(MATCH(TRUE,ISNUMBER(SEARCH($Q$2:$Q$51, $A290)),0))=TRUE,"",IF(ISNUMBER(MATCH(TRUE,ISNUMBER(SEARCH($S$2:$S$199, $A290)),0))=TRUE,"","미국 확인 필요")))</f>
        <v/>
      </c>
    </row>
    <row r="291" spans="3:4">
      <c r="C291" s="9" t="str" cm="1">
        <f t="array" ref="C291">IFERROR(IF(A291="","",IF(ISNUMBER(MATCH(TRUE,ISNUMBER(SEARCH($Q$2:$Q$51, $A291)),0))=TRUE,"United States of America",INDEX($S$2:$S$199,MATCH(TRUE,ISNUMBER(SEARCH($S$2:$S$199, $A291)),0)))),"United States of America")</f>
        <v/>
      </c>
      <c r="D291" s="9" t="str" cm="1">
        <f t="array" ref="D291">IF(A291="","",IF(ISNUMBER(MATCH(TRUE,ISNUMBER(SEARCH($Q$2:$Q$51, $A291)),0))=TRUE,"",IF(ISNUMBER(MATCH(TRUE,ISNUMBER(SEARCH($S$2:$S$199, $A291)),0))=TRUE,"","미국 확인 필요")))</f>
        <v/>
      </c>
    </row>
    <row r="292" spans="3:4">
      <c r="C292" s="9" t="str" cm="1">
        <f t="array" ref="C292">IFERROR(IF(A292="","",IF(ISNUMBER(MATCH(TRUE,ISNUMBER(SEARCH($Q$2:$Q$51, $A292)),0))=TRUE,"United States of America",INDEX($S$2:$S$199,MATCH(TRUE,ISNUMBER(SEARCH($S$2:$S$199, $A292)),0)))),"United States of America")</f>
        <v/>
      </c>
      <c r="D292" s="9" t="str" cm="1">
        <f t="array" ref="D292">IF(A292="","",IF(ISNUMBER(MATCH(TRUE,ISNUMBER(SEARCH($Q$2:$Q$51, $A292)),0))=TRUE,"",IF(ISNUMBER(MATCH(TRUE,ISNUMBER(SEARCH($S$2:$S$199, $A292)),0))=TRUE,"","미국 확인 필요")))</f>
        <v/>
      </c>
    </row>
    <row r="293" spans="3:4">
      <c r="C293" s="9" t="str" cm="1">
        <f t="array" ref="C293">IFERROR(IF(A293="","",IF(ISNUMBER(MATCH(TRUE,ISNUMBER(SEARCH($Q$2:$Q$51, $A293)),0))=TRUE,"United States of America",INDEX($S$2:$S$199,MATCH(TRUE,ISNUMBER(SEARCH($S$2:$S$199, $A293)),0)))),"United States of America")</f>
        <v/>
      </c>
      <c r="D293" s="9" t="str" cm="1">
        <f t="array" ref="D293">IF(A293="","",IF(ISNUMBER(MATCH(TRUE,ISNUMBER(SEARCH($Q$2:$Q$51, $A293)),0))=TRUE,"",IF(ISNUMBER(MATCH(TRUE,ISNUMBER(SEARCH($S$2:$S$199, $A293)),0))=TRUE,"","미국 확인 필요")))</f>
        <v/>
      </c>
    </row>
    <row r="294" spans="3:4">
      <c r="C294" s="9" t="str" cm="1">
        <f t="array" ref="C294">IFERROR(IF(A294="","",IF(ISNUMBER(MATCH(TRUE,ISNUMBER(SEARCH($Q$2:$Q$51, $A294)),0))=TRUE,"United States of America",INDEX($S$2:$S$199,MATCH(TRUE,ISNUMBER(SEARCH($S$2:$S$199, $A294)),0)))),"United States of America")</f>
        <v/>
      </c>
      <c r="D294" s="9" t="str" cm="1">
        <f t="array" ref="D294">IF(A294="","",IF(ISNUMBER(MATCH(TRUE,ISNUMBER(SEARCH($Q$2:$Q$51, $A294)),0))=TRUE,"",IF(ISNUMBER(MATCH(TRUE,ISNUMBER(SEARCH($S$2:$S$199, $A294)),0))=TRUE,"","미국 확인 필요")))</f>
        <v/>
      </c>
    </row>
    <row r="295" spans="3:4">
      <c r="C295" s="9" t="str" cm="1">
        <f t="array" ref="C295">IFERROR(IF(A295="","",IF(ISNUMBER(MATCH(TRUE,ISNUMBER(SEARCH($Q$2:$Q$51, $A295)),0))=TRUE,"United States of America",INDEX($S$2:$S$199,MATCH(TRUE,ISNUMBER(SEARCH($S$2:$S$199, $A295)),0)))),"United States of America")</f>
        <v/>
      </c>
      <c r="D295" s="9" t="str" cm="1">
        <f t="array" ref="D295">IF(A295="","",IF(ISNUMBER(MATCH(TRUE,ISNUMBER(SEARCH($Q$2:$Q$51, $A295)),0))=TRUE,"",IF(ISNUMBER(MATCH(TRUE,ISNUMBER(SEARCH($S$2:$S$199, $A295)),0))=TRUE,"","미국 확인 필요")))</f>
        <v/>
      </c>
    </row>
    <row r="296" spans="3:4">
      <c r="C296" s="9" t="str" cm="1">
        <f t="array" ref="C296">IFERROR(IF(A296="","",IF(ISNUMBER(MATCH(TRUE,ISNUMBER(SEARCH($Q$2:$Q$51, $A296)),0))=TRUE,"United States of America",INDEX($S$2:$S$199,MATCH(TRUE,ISNUMBER(SEARCH($S$2:$S$199, $A296)),0)))),"United States of America")</f>
        <v/>
      </c>
      <c r="D296" s="9" t="str" cm="1">
        <f t="array" ref="D296">IF(A296="","",IF(ISNUMBER(MATCH(TRUE,ISNUMBER(SEARCH($Q$2:$Q$51, $A296)),0))=TRUE,"",IF(ISNUMBER(MATCH(TRUE,ISNUMBER(SEARCH($S$2:$S$199, $A296)),0))=TRUE,"","미국 확인 필요")))</f>
        <v/>
      </c>
    </row>
    <row r="297" spans="3:4">
      <c r="C297" s="9" t="str" cm="1">
        <f t="array" ref="C297">IFERROR(IF(A297="","",IF(ISNUMBER(MATCH(TRUE,ISNUMBER(SEARCH($Q$2:$Q$51, $A297)),0))=TRUE,"United States of America",INDEX($S$2:$S$199,MATCH(TRUE,ISNUMBER(SEARCH($S$2:$S$199, $A297)),0)))),"United States of America")</f>
        <v/>
      </c>
      <c r="D297" s="9" t="str" cm="1">
        <f t="array" ref="D297">IF(A297="","",IF(ISNUMBER(MATCH(TRUE,ISNUMBER(SEARCH($Q$2:$Q$51, $A297)),0))=TRUE,"",IF(ISNUMBER(MATCH(TRUE,ISNUMBER(SEARCH($S$2:$S$199, $A297)),0))=TRUE,"","미국 확인 필요")))</f>
        <v/>
      </c>
    </row>
    <row r="298" spans="3:4">
      <c r="C298" s="9" t="str" cm="1">
        <f t="array" ref="C298">IFERROR(IF(A298="","",IF(ISNUMBER(MATCH(TRUE,ISNUMBER(SEARCH($Q$2:$Q$51, $A298)),0))=TRUE,"United States of America",INDEX($S$2:$S$199,MATCH(TRUE,ISNUMBER(SEARCH($S$2:$S$199, $A298)),0)))),"United States of America")</f>
        <v/>
      </c>
      <c r="D298" s="9" t="str" cm="1">
        <f t="array" ref="D298">IF(A298="","",IF(ISNUMBER(MATCH(TRUE,ISNUMBER(SEARCH($Q$2:$Q$51, $A298)),0))=TRUE,"",IF(ISNUMBER(MATCH(TRUE,ISNUMBER(SEARCH($S$2:$S$199, $A298)),0))=TRUE,"","미국 확인 필요")))</f>
        <v/>
      </c>
    </row>
    <row r="299" spans="3:4">
      <c r="C299" s="9" t="str" cm="1">
        <f t="array" ref="C299">IFERROR(IF(A299="","",IF(ISNUMBER(MATCH(TRUE,ISNUMBER(SEARCH($Q$2:$Q$51, $A299)),0))=TRUE,"United States of America",INDEX($S$2:$S$199,MATCH(TRUE,ISNUMBER(SEARCH($S$2:$S$199, $A299)),0)))),"United States of America")</f>
        <v/>
      </c>
      <c r="D299" s="9" t="str" cm="1">
        <f t="array" ref="D299">IF(A299="","",IF(ISNUMBER(MATCH(TRUE,ISNUMBER(SEARCH($Q$2:$Q$51, $A299)),0))=TRUE,"",IF(ISNUMBER(MATCH(TRUE,ISNUMBER(SEARCH($S$2:$S$199, $A299)),0))=TRUE,"","미국 확인 필요")))</f>
        <v/>
      </c>
    </row>
    <row r="300" spans="3:4">
      <c r="C300" s="9" t="str" cm="1">
        <f t="array" ref="C300">IFERROR(IF(A300="","",IF(ISNUMBER(MATCH(TRUE,ISNUMBER(SEARCH($Q$2:$Q$51, $A300)),0))=TRUE,"United States of America",INDEX($S$2:$S$199,MATCH(TRUE,ISNUMBER(SEARCH($S$2:$S$199, $A300)),0)))),"United States of America")</f>
        <v/>
      </c>
      <c r="D300" s="9" t="str" cm="1">
        <f t="array" ref="D300">IF(A300="","",IF(ISNUMBER(MATCH(TRUE,ISNUMBER(SEARCH($Q$2:$Q$51, $A300)),0))=TRUE,"",IF(ISNUMBER(MATCH(TRUE,ISNUMBER(SEARCH($S$2:$S$199, $A300)),0))=TRUE,"","미국 확인 필요")))</f>
        <v/>
      </c>
    </row>
    <row r="301" spans="3:4">
      <c r="C301" s="9" t="str" cm="1">
        <f t="array" ref="C301">IFERROR(IF(A301="","",IF(ISNUMBER(MATCH(TRUE,ISNUMBER(SEARCH($Q$2:$Q$51, $A301)),0))=TRUE,"United States of America",INDEX($S$2:$S$199,MATCH(TRUE,ISNUMBER(SEARCH($S$2:$S$199, $A301)),0)))),"United States of America")</f>
        <v/>
      </c>
      <c r="D301" s="9" t="str" cm="1">
        <f t="array" ref="D301">IF(A301="","",IF(ISNUMBER(MATCH(TRUE,ISNUMBER(SEARCH($Q$2:$Q$51, $A301)),0))=TRUE,"",IF(ISNUMBER(MATCH(TRUE,ISNUMBER(SEARCH($S$2:$S$199, $A301)),0))=TRUE,"","미국 확인 필요")))</f>
        <v/>
      </c>
    </row>
    <row r="302" spans="3:4">
      <c r="C302" s="9" t="str" cm="1">
        <f t="array" ref="C302">IFERROR(IF(A302="","",IF(ISNUMBER(MATCH(TRUE,ISNUMBER(SEARCH($Q$2:$Q$51, $A302)),0))=TRUE,"United States of America",INDEX($S$2:$S$199,MATCH(TRUE,ISNUMBER(SEARCH($S$2:$S$199, $A302)),0)))),"United States of America")</f>
        <v/>
      </c>
      <c r="D302" s="9" t="str" cm="1">
        <f t="array" ref="D302">IF(A302="","",IF(ISNUMBER(MATCH(TRUE,ISNUMBER(SEARCH($Q$2:$Q$51, $A302)),0))=TRUE,"",IF(ISNUMBER(MATCH(TRUE,ISNUMBER(SEARCH($S$2:$S$199, $A302)),0))=TRUE,"","미국 확인 필요")))</f>
        <v/>
      </c>
    </row>
    <row r="303" spans="3:4">
      <c r="C303" s="9" t="str" cm="1">
        <f t="array" ref="C303">IFERROR(IF(A303="","",IF(ISNUMBER(MATCH(TRUE,ISNUMBER(SEARCH($Q$2:$Q$51, $A303)),0))=TRUE,"United States of America",INDEX($S$2:$S$199,MATCH(TRUE,ISNUMBER(SEARCH($S$2:$S$199, $A303)),0)))),"United States of America")</f>
        <v/>
      </c>
      <c r="D303" s="9" t="str" cm="1">
        <f t="array" ref="D303">IF(A303="","",IF(ISNUMBER(MATCH(TRUE,ISNUMBER(SEARCH($Q$2:$Q$51, $A303)),0))=TRUE,"",IF(ISNUMBER(MATCH(TRUE,ISNUMBER(SEARCH($S$2:$S$199, $A303)),0))=TRUE,"","미국 확인 필요")))</f>
        <v/>
      </c>
    </row>
    <row r="304" spans="3:4">
      <c r="C304" s="9" t="str" cm="1">
        <f t="array" ref="C304">IFERROR(IF(A304="","",IF(ISNUMBER(MATCH(TRUE,ISNUMBER(SEARCH($Q$2:$Q$51, $A304)),0))=TRUE,"United States of America",INDEX($S$2:$S$199,MATCH(TRUE,ISNUMBER(SEARCH($S$2:$S$199, $A304)),0)))),"United States of America")</f>
        <v/>
      </c>
      <c r="D304" s="9" t="str" cm="1">
        <f t="array" ref="D304">IF(A304="","",IF(ISNUMBER(MATCH(TRUE,ISNUMBER(SEARCH($Q$2:$Q$51, $A304)),0))=TRUE,"",IF(ISNUMBER(MATCH(TRUE,ISNUMBER(SEARCH($S$2:$S$199, $A304)),0))=TRUE,"","미국 확인 필요")))</f>
        <v/>
      </c>
    </row>
    <row r="305" spans="3:4">
      <c r="C305" s="9" t="str" cm="1">
        <f t="array" ref="C305">IFERROR(IF(A305="","",IF(ISNUMBER(MATCH(TRUE,ISNUMBER(SEARCH($Q$2:$Q$51, $A305)),0))=TRUE,"United States of America",INDEX($S$2:$S$199,MATCH(TRUE,ISNUMBER(SEARCH($S$2:$S$199, $A305)),0)))),"United States of America")</f>
        <v/>
      </c>
      <c r="D305" s="9" t="str" cm="1">
        <f t="array" ref="D305">IF(A305="","",IF(ISNUMBER(MATCH(TRUE,ISNUMBER(SEARCH($Q$2:$Q$51, $A305)),0))=TRUE,"",IF(ISNUMBER(MATCH(TRUE,ISNUMBER(SEARCH($S$2:$S$199, $A305)),0))=TRUE,"","미국 확인 필요")))</f>
        <v/>
      </c>
    </row>
    <row r="306" spans="3:4">
      <c r="C306" s="9" t="str" cm="1">
        <f t="array" ref="C306">IFERROR(IF(A306="","",IF(ISNUMBER(MATCH(TRUE,ISNUMBER(SEARCH($Q$2:$Q$51, $A306)),0))=TRUE,"United States of America",INDEX($S$2:$S$199,MATCH(TRUE,ISNUMBER(SEARCH($S$2:$S$199, $A306)),0)))),"United States of America")</f>
        <v/>
      </c>
      <c r="D306" s="9" t="str" cm="1">
        <f t="array" ref="D306">IF(A306="","",IF(ISNUMBER(MATCH(TRUE,ISNUMBER(SEARCH($Q$2:$Q$51, $A306)),0))=TRUE,"",IF(ISNUMBER(MATCH(TRUE,ISNUMBER(SEARCH($S$2:$S$199, $A306)),0))=TRUE,"","미국 확인 필요")))</f>
        <v/>
      </c>
    </row>
    <row r="307" spans="3:4">
      <c r="C307" s="9" t="str" cm="1">
        <f t="array" ref="C307">IFERROR(IF(A307="","",IF(ISNUMBER(MATCH(TRUE,ISNUMBER(SEARCH($Q$2:$Q$51, $A307)),0))=TRUE,"United States of America",INDEX($S$2:$S$199,MATCH(TRUE,ISNUMBER(SEARCH($S$2:$S$199, $A307)),0)))),"United States of America")</f>
        <v/>
      </c>
      <c r="D307" s="9" t="str" cm="1">
        <f t="array" ref="D307">IF(A307="","",IF(ISNUMBER(MATCH(TRUE,ISNUMBER(SEARCH($Q$2:$Q$51, $A307)),0))=TRUE,"",IF(ISNUMBER(MATCH(TRUE,ISNUMBER(SEARCH($S$2:$S$199, $A307)),0))=TRUE,"","미국 확인 필요")))</f>
        <v/>
      </c>
    </row>
    <row r="308" spans="3:4">
      <c r="C308" s="9" t="str" cm="1">
        <f t="array" ref="C308">IFERROR(IF(A308="","",IF(ISNUMBER(MATCH(TRUE,ISNUMBER(SEARCH($Q$2:$Q$51, $A308)),0))=TRUE,"United States of America",INDEX($S$2:$S$199,MATCH(TRUE,ISNUMBER(SEARCH($S$2:$S$199, $A308)),0)))),"United States of America")</f>
        <v/>
      </c>
      <c r="D308" s="9" t="str" cm="1">
        <f t="array" ref="D308">IF(A308="","",IF(ISNUMBER(MATCH(TRUE,ISNUMBER(SEARCH($Q$2:$Q$51, $A308)),0))=TRUE,"",IF(ISNUMBER(MATCH(TRUE,ISNUMBER(SEARCH($S$2:$S$199, $A308)),0))=TRUE,"","미국 확인 필요")))</f>
        <v/>
      </c>
    </row>
    <row r="309" spans="3:4">
      <c r="C309" s="9" t="str" cm="1">
        <f t="array" ref="C309">IFERROR(IF(A309="","",IF(ISNUMBER(MATCH(TRUE,ISNUMBER(SEARCH($Q$2:$Q$51, $A309)),0))=TRUE,"United States of America",INDEX($S$2:$S$199,MATCH(TRUE,ISNUMBER(SEARCH($S$2:$S$199, $A309)),0)))),"United States of America")</f>
        <v/>
      </c>
      <c r="D309" s="9" t="str" cm="1">
        <f t="array" ref="D309">IF(A309="","",IF(ISNUMBER(MATCH(TRUE,ISNUMBER(SEARCH($Q$2:$Q$51, $A309)),0))=TRUE,"",IF(ISNUMBER(MATCH(TRUE,ISNUMBER(SEARCH($S$2:$S$199, $A309)),0))=TRUE,"","미국 확인 필요")))</f>
        <v/>
      </c>
    </row>
    <row r="310" spans="3:4">
      <c r="C310" s="9" t="str" cm="1">
        <f t="array" ref="C310">IFERROR(IF(A310="","",IF(ISNUMBER(MATCH(TRUE,ISNUMBER(SEARCH($Q$2:$Q$51, $A310)),0))=TRUE,"United States of America",INDEX($S$2:$S$199,MATCH(TRUE,ISNUMBER(SEARCH($S$2:$S$199, $A310)),0)))),"United States of America")</f>
        <v/>
      </c>
      <c r="D310" s="9" t="str" cm="1">
        <f t="array" ref="D310">IF(A310="","",IF(ISNUMBER(MATCH(TRUE,ISNUMBER(SEARCH($Q$2:$Q$51, $A310)),0))=TRUE,"",IF(ISNUMBER(MATCH(TRUE,ISNUMBER(SEARCH($S$2:$S$199, $A310)),0))=TRUE,"","미국 확인 필요")))</f>
        <v/>
      </c>
    </row>
    <row r="311" spans="3:4">
      <c r="C311" s="9" t="str" cm="1">
        <f t="array" ref="C311">IFERROR(IF(A311="","",IF(ISNUMBER(MATCH(TRUE,ISNUMBER(SEARCH($Q$2:$Q$51, $A311)),0))=TRUE,"United States of America",INDEX($S$2:$S$199,MATCH(TRUE,ISNUMBER(SEARCH($S$2:$S$199, $A311)),0)))),"United States of America")</f>
        <v/>
      </c>
      <c r="D311" s="9" t="str" cm="1">
        <f t="array" ref="D311">IF(A311="","",IF(ISNUMBER(MATCH(TRUE,ISNUMBER(SEARCH($Q$2:$Q$51, $A311)),0))=TRUE,"",IF(ISNUMBER(MATCH(TRUE,ISNUMBER(SEARCH($S$2:$S$199, $A311)),0))=TRUE,"","미국 확인 필요")))</f>
        <v/>
      </c>
    </row>
    <row r="312" spans="3:4">
      <c r="C312" s="9" t="str" cm="1">
        <f t="array" ref="C312">IFERROR(IF(A312="","",IF(ISNUMBER(MATCH(TRUE,ISNUMBER(SEARCH($Q$2:$Q$51, $A312)),0))=TRUE,"United States of America",INDEX($S$2:$S$199,MATCH(TRUE,ISNUMBER(SEARCH($S$2:$S$199, $A312)),0)))),"United States of America")</f>
        <v/>
      </c>
      <c r="D312" s="9" t="str" cm="1">
        <f t="array" ref="D312">IF(A312="","",IF(ISNUMBER(MATCH(TRUE,ISNUMBER(SEARCH($Q$2:$Q$51, $A312)),0))=TRUE,"",IF(ISNUMBER(MATCH(TRUE,ISNUMBER(SEARCH($S$2:$S$199, $A312)),0))=TRUE,"","미국 확인 필요")))</f>
        <v/>
      </c>
    </row>
    <row r="313" spans="3:4">
      <c r="C313" s="9" t="str" cm="1">
        <f t="array" ref="C313">IFERROR(IF(A313="","",IF(ISNUMBER(MATCH(TRUE,ISNUMBER(SEARCH($Q$2:$Q$51, $A313)),0))=TRUE,"United States of America",INDEX($S$2:$S$199,MATCH(TRUE,ISNUMBER(SEARCH($S$2:$S$199, $A313)),0)))),"United States of America")</f>
        <v/>
      </c>
      <c r="D313" s="9" t="str" cm="1">
        <f t="array" ref="D313">IF(A313="","",IF(ISNUMBER(MATCH(TRUE,ISNUMBER(SEARCH($Q$2:$Q$51, $A313)),0))=TRUE,"",IF(ISNUMBER(MATCH(TRUE,ISNUMBER(SEARCH($S$2:$S$199, $A313)),0))=TRUE,"","미국 확인 필요")))</f>
        <v/>
      </c>
    </row>
    <row r="314" spans="3:4">
      <c r="C314" s="9" t="str" cm="1">
        <f t="array" ref="C314">IFERROR(IF(A314="","",IF(ISNUMBER(MATCH(TRUE,ISNUMBER(SEARCH($Q$2:$Q$51, $A314)),0))=TRUE,"United States of America",INDEX($S$2:$S$199,MATCH(TRUE,ISNUMBER(SEARCH($S$2:$S$199, $A314)),0)))),"United States of America")</f>
        <v/>
      </c>
      <c r="D314" s="9" t="str" cm="1">
        <f t="array" ref="D314">IF(A314="","",IF(ISNUMBER(MATCH(TRUE,ISNUMBER(SEARCH($Q$2:$Q$51, $A314)),0))=TRUE,"",IF(ISNUMBER(MATCH(TRUE,ISNUMBER(SEARCH($S$2:$S$199, $A314)),0))=TRUE,"","미국 확인 필요")))</f>
        <v/>
      </c>
    </row>
    <row r="315" spans="3:4">
      <c r="C315" s="9" t="str" cm="1">
        <f t="array" ref="C315">IFERROR(IF(A315="","",IF(ISNUMBER(MATCH(TRUE,ISNUMBER(SEARCH($Q$2:$Q$51, $A315)),0))=TRUE,"United States of America",INDEX($S$2:$S$199,MATCH(TRUE,ISNUMBER(SEARCH($S$2:$S$199, $A315)),0)))),"United States of America")</f>
        <v/>
      </c>
      <c r="D315" s="9" t="str" cm="1">
        <f t="array" ref="D315">IF(A315="","",IF(ISNUMBER(MATCH(TRUE,ISNUMBER(SEARCH($Q$2:$Q$51, $A315)),0))=TRUE,"",IF(ISNUMBER(MATCH(TRUE,ISNUMBER(SEARCH($S$2:$S$199, $A315)),0))=TRUE,"","미국 확인 필요")))</f>
        <v/>
      </c>
    </row>
    <row r="316" spans="3:4">
      <c r="C316" s="9" t="str" cm="1">
        <f t="array" ref="C316">IFERROR(IF(A316="","",IF(ISNUMBER(MATCH(TRUE,ISNUMBER(SEARCH($Q$2:$Q$51, $A316)),0))=TRUE,"United States of America",INDEX($S$2:$S$199,MATCH(TRUE,ISNUMBER(SEARCH($S$2:$S$199, $A316)),0)))),"United States of America")</f>
        <v/>
      </c>
      <c r="D316" s="9" t="str" cm="1">
        <f t="array" ref="D316">IF(A316="","",IF(ISNUMBER(MATCH(TRUE,ISNUMBER(SEARCH($Q$2:$Q$51, $A316)),0))=TRUE,"",IF(ISNUMBER(MATCH(TRUE,ISNUMBER(SEARCH($S$2:$S$199, $A316)),0))=TRUE,"","미국 확인 필요")))</f>
        <v/>
      </c>
    </row>
    <row r="317" spans="3:4">
      <c r="C317" s="9" t="str" cm="1">
        <f t="array" ref="C317">IFERROR(IF(A317="","",IF(ISNUMBER(MATCH(TRUE,ISNUMBER(SEARCH($Q$2:$Q$51, $A317)),0))=TRUE,"United States of America",INDEX($S$2:$S$199,MATCH(TRUE,ISNUMBER(SEARCH($S$2:$S$199, $A317)),0)))),"United States of America")</f>
        <v/>
      </c>
      <c r="D317" s="9" t="str" cm="1">
        <f t="array" ref="D317">IF(A317="","",IF(ISNUMBER(MATCH(TRUE,ISNUMBER(SEARCH($Q$2:$Q$51, $A317)),0))=TRUE,"",IF(ISNUMBER(MATCH(TRUE,ISNUMBER(SEARCH($S$2:$S$199, $A317)),0))=TRUE,"","미국 확인 필요")))</f>
        <v/>
      </c>
    </row>
    <row r="318" spans="3:4">
      <c r="C318" s="9" t="str" cm="1">
        <f t="array" ref="C318">IFERROR(IF(A318="","",IF(ISNUMBER(MATCH(TRUE,ISNUMBER(SEARCH($Q$2:$Q$51, $A318)),0))=TRUE,"United States of America",INDEX($S$2:$S$199,MATCH(TRUE,ISNUMBER(SEARCH($S$2:$S$199, $A318)),0)))),"United States of America")</f>
        <v/>
      </c>
      <c r="D318" s="9" t="str" cm="1">
        <f t="array" ref="D318">IF(A318="","",IF(ISNUMBER(MATCH(TRUE,ISNUMBER(SEARCH($Q$2:$Q$51, $A318)),0))=TRUE,"",IF(ISNUMBER(MATCH(TRUE,ISNUMBER(SEARCH($S$2:$S$199, $A318)),0))=TRUE,"","미국 확인 필요")))</f>
        <v/>
      </c>
    </row>
    <row r="319" spans="3:4">
      <c r="C319" s="9" t="str" cm="1">
        <f t="array" ref="C319">IFERROR(IF(A319="","",IF(ISNUMBER(MATCH(TRUE,ISNUMBER(SEARCH($Q$2:$Q$51, $A319)),0))=TRUE,"United States of America",INDEX($S$2:$S$199,MATCH(TRUE,ISNUMBER(SEARCH($S$2:$S$199, $A319)),0)))),"United States of America")</f>
        <v/>
      </c>
      <c r="D319" s="9" t="str" cm="1">
        <f t="array" ref="D319">IF(A319="","",IF(ISNUMBER(MATCH(TRUE,ISNUMBER(SEARCH($Q$2:$Q$51, $A319)),0))=TRUE,"",IF(ISNUMBER(MATCH(TRUE,ISNUMBER(SEARCH($S$2:$S$199, $A319)),0))=TRUE,"","미국 확인 필요")))</f>
        <v/>
      </c>
    </row>
    <row r="320" spans="3:4">
      <c r="C320" s="9" t="str" cm="1">
        <f t="array" ref="C320">IFERROR(IF(A320="","",IF(ISNUMBER(MATCH(TRUE,ISNUMBER(SEARCH($Q$2:$Q$51, $A320)),0))=TRUE,"United States of America",INDEX($S$2:$S$199,MATCH(TRUE,ISNUMBER(SEARCH($S$2:$S$199, $A320)),0)))),"United States of America")</f>
        <v/>
      </c>
      <c r="D320" s="9" t="str" cm="1">
        <f t="array" ref="D320">IF(A320="","",IF(ISNUMBER(MATCH(TRUE,ISNUMBER(SEARCH($Q$2:$Q$51, $A320)),0))=TRUE,"",IF(ISNUMBER(MATCH(TRUE,ISNUMBER(SEARCH($S$2:$S$199, $A320)),0))=TRUE,"","미국 확인 필요")))</f>
        <v/>
      </c>
    </row>
    <row r="321" spans="3:4">
      <c r="C321" s="9" t="str" cm="1">
        <f t="array" ref="C321">IFERROR(IF(A321="","",IF(ISNUMBER(MATCH(TRUE,ISNUMBER(SEARCH($Q$2:$Q$51, $A321)),0))=TRUE,"United States of America",INDEX($S$2:$S$199,MATCH(TRUE,ISNUMBER(SEARCH($S$2:$S$199, $A321)),0)))),"United States of America")</f>
        <v/>
      </c>
      <c r="D321" s="9" t="str" cm="1">
        <f t="array" ref="D321">IF(A321="","",IF(ISNUMBER(MATCH(TRUE,ISNUMBER(SEARCH($Q$2:$Q$51, $A321)),0))=TRUE,"",IF(ISNUMBER(MATCH(TRUE,ISNUMBER(SEARCH($S$2:$S$199, $A321)),0))=TRUE,"","미국 확인 필요")))</f>
        <v/>
      </c>
    </row>
    <row r="322" spans="3:4">
      <c r="C322" s="9" t="str" cm="1">
        <f t="array" ref="C322">IFERROR(IF(A322="","",IF(ISNUMBER(MATCH(TRUE,ISNUMBER(SEARCH($Q$2:$Q$51, $A322)),0))=TRUE,"United States of America",INDEX($S$2:$S$199,MATCH(TRUE,ISNUMBER(SEARCH($S$2:$S$199, $A322)),0)))),"United States of America")</f>
        <v/>
      </c>
      <c r="D322" s="9" t="str" cm="1">
        <f t="array" ref="D322">IF(A322="","",IF(ISNUMBER(MATCH(TRUE,ISNUMBER(SEARCH($Q$2:$Q$51, $A322)),0))=TRUE,"",IF(ISNUMBER(MATCH(TRUE,ISNUMBER(SEARCH($S$2:$S$199, $A322)),0))=TRUE,"","미국 확인 필요")))</f>
        <v/>
      </c>
    </row>
    <row r="323" spans="3:4">
      <c r="C323" s="9" t="str" cm="1">
        <f t="array" ref="C323">IFERROR(IF(A323="","",IF(ISNUMBER(MATCH(TRUE,ISNUMBER(SEARCH($Q$2:$Q$51, $A323)),0))=TRUE,"United States of America",INDEX($S$2:$S$199,MATCH(TRUE,ISNUMBER(SEARCH($S$2:$S$199, $A323)),0)))),"United States of America")</f>
        <v/>
      </c>
      <c r="D323" s="9" t="str" cm="1">
        <f t="array" ref="D323">IF(A323="","",IF(ISNUMBER(MATCH(TRUE,ISNUMBER(SEARCH($Q$2:$Q$51, $A323)),0))=TRUE,"",IF(ISNUMBER(MATCH(TRUE,ISNUMBER(SEARCH($S$2:$S$199, $A323)),0))=TRUE,"","미국 확인 필요")))</f>
        <v/>
      </c>
    </row>
    <row r="324" spans="3:4">
      <c r="C324" s="9" t="str" cm="1">
        <f t="array" ref="C324">IFERROR(IF(A324="","",IF(ISNUMBER(MATCH(TRUE,ISNUMBER(SEARCH($Q$2:$Q$51, $A324)),0))=TRUE,"United States of America",INDEX($S$2:$S$199,MATCH(TRUE,ISNUMBER(SEARCH($S$2:$S$199, $A324)),0)))),"United States of America")</f>
        <v/>
      </c>
      <c r="D324" s="9" t="str" cm="1">
        <f t="array" ref="D324">IF(A324="","",IF(ISNUMBER(MATCH(TRUE,ISNUMBER(SEARCH($Q$2:$Q$51, $A324)),0))=TRUE,"",IF(ISNUMBER(MATCH(TRUE,ISNUMBER(SEARCH($S$2:$S$199, $A324)),0))=TRUE,"","미국 확인 필요")))</f>
        <v/>
      </c>
    </row>
    <row r="325" spans="3:4">
      <c r="C325" s="9" t="str" cm="1">
        <f t="array" ref="C325">IFERROR(IF(A325="","",IF(ISNUMBER(MATCH(TRUE,ISNUMBER(SEARCH($Q$2:$Q$51, $A325)),0))=TRUE,"United States of America",INDEX($S$2:$S$199,MATCH(TRUE,ISNUMBER(SEARCH($S$2:$S$199, $A325)),0)))),"United States of America")</f>
        <v/>
      </c>
      <c r="D325" s="9" t="str" cm="1">
        <f t="array" ref="D325">IF(A325="","",IF(ISNUMBER(MATCH(TRUE,ISNUMBER(SEARCH($Q$2:$Q$51, $A325)),0))=TRUE,"",IF(ISNUMBER(MATCH(TRUE,ISNUMBER(SEARCH($S$2:$S$199, $A325)),0))=TRUE,"","미국 확인 필요")))</f>
        <v/>
      </c>
    </row>
    <row r="326" spans="3:4">
      <c r="C326" s="9" t="str" cm="1">
        <f t="array" ref="C326">IFERROR(IF(A326="","",IF(ISNUMBER(MATCH(TRUE,ISNUMBER(SEARCH($Q$2:$Q$51, $A326)),0))=TRUE,"United States of America",INDEX($S$2:$S$199,MATCH(TRUE,ISNUMBER(SEARCH($S$2:$S$199, $A326)),0)))),"United States of America")</f>
        <v/>
      </c>
      <c r="D326" s="9" t="str" cm="1">
        <f t="array" ref="D326">IF(A326="","",IF(ISNUMBER(MATCH(TRUE,ISNUMBER(SEARCH($Q$2:$Q$51, $A326)),0))=TRUE,"",IF(ISNUMBER(MATCH(TRUE,ISNUMBER(SEARCH($S$2:$S$199, $A326)),0))=TRUE,"","미국 확인 필요")))</f>
        <v/>
      </c>
    </row>
    <row r="327" spans="3:4">
      <c r="C327" s="9" t="str" cm="1">
        <f t="array" ref="C327">IFERROR(IF(A327="","",IF(ISNUMBER(MATCH(TRUE,ISNUMBER(SEARCH($Q$2:$Q$51, $A327)),0))=TRUE,"United States of America",INDEX($S$2:$S$199,MATCH(TRUE,ISNUMBER(SEARCH($S$2:$S$199, $A327)),0)))),"United States of America")</f>
        <v/>
      </c>
      <c r="D327" s="9" t="str" cm="1">
        <f t="array" ref="D327">IF(A327="","",IF(ISNUMBER(MATCH(TRUE,ISNUMBER(SEARCH($Q$2:$Q$51, $A327)),0))=TRUE,"",IF(ISNUMBER(MATCH(TRUE,ISNUMBER(SEARCH($S$2:$S$199, $A327)),0))=TRUE,"","미국 확인 필요")))</f>
        <v/>
      </c>
    </row>
    <row r="328" spans="3:4">
      <c r="C328" s="9" t="str" cm="1">
        <f t="array" ref="C328">IFERROR(IF(A328="","",IF(ISNUMBER(MATCH(TRUE,ISNUMBER(SEARCH($Q$2:$Q$51, $A328)),0))=TRUE,"United States of America",INDEX($S$2:$S$199,MATCH(TRUE,ISNUMBER(SEARCH($S$2:$S$199, $A328)),0)))),"United States of America")</f>
        <v/>
      </c>
      <c r="D328" s="9" t="str" cm="1">
        <f t="array" ref="D328">IF(A328="","",IF(ISNUMBER(MATCH(TRUE,ISNUMBER(SEARCH($Q$2:$Q$51, $A328)),0))=TRUE,"",IF(ISNUMBER(MATCH(TRUE,ISNUMBER(SEARCH($S$2:$S$199, $A328)),0))=TRUE,"","미국 확인 필요")))</f>
        <v/>
      </c>
    </row>
    <row r="329" spans="3:4">
      <c r="C329" s="9" t="str" cm="1">
        <f t="array" ref="C329">IFERROR(IF(A329="","",IF(ISNUMBER(MATCH(TRUE,ISNUMBER(SEARCH($Q$2:$Q$51, $A329)),0))=TRUE,"United States of America",INDEX($S$2:$S$199,MATCH(TRUE,ISNUMBER(SEARCH($S$2:$S$199, $A329)),0)))),"United States of America")</f>
        <v/>
      </c>
      <c r="D329" s="9" t="str" cm="1">
        <f t="array" ref="D329">IF(A329="","",IF(ISNUMBER(MATCH(TRUE,ISNUMBER(SEARCH($Q$2:$Q$51, $A329)),0))=TRUE,"",IF(ISNUMBER(MATCH(TRUE,ISNUMBER(SEARCH($S$2:$S$199, $A329)),0))=TRUE,"","미국 확인 필요")))</f>
        <v/>
      </c>
    </row>
    <row r="330" spans="3:4">
      <c r="C330" s="9" t="str" cm="1">
        <f t="array" ref="C330">IFERROR(IF(A330="","",IF(ISNUMBER(MATCH(TRUE,ISNUMBER(SEARCH($Q$2:$Q$51, $A330)),0))=TRUE,"United States of America",INDEX($S$2:$S$199,MATCH(TRUE,ISNUMBER(SEARCH($S$2:$S$199, $A330)),0)))),"United States of America")</f>
        <v/>
      </c>
      <c r="D330" s="9" t="str" cm="1">
        <f t="array" ref="D330">IF(A330="","",IF(ISNUMBER(MATCH(TRUE,ISNUMBER(SEARCH($Q$2:$Q$51, $A330)),0))=TRUE,"",IF(ISNUMBER(MATCH(TRUE,ISNUMBER(SEARCH($S$2:$S$199, $A330)),0))=TRUE,"","미국 확인 필요")))</f>
        <v/>
      </c>
    </row>
    <row r="331" spans="3:4">
      <c r="C331" s="9" t="str" cm="1">
        <f t="array" ref="C331">IFERROR(IF(A331="","",IF(ISNUMBER(MATCH(TRUE,ISNUMBER(SEARCH($Q$2:$Q$51, $A331)),0))=TRUE,"United States of America",INDEX($S$2:$S$199,MATCH(TRUE,ISNUMBER(SEARCH($S$2:$S$199, $A331)),0)))),"United States of America")</f>
        <v/>
      </c>
      <c r="D331" s="9" t="str" cm="1">
        <f t="array" ref="D331">IF(A331="","",IF(ISNUMBER(MATCH(TRUE,ISNUMBER(SEARCH($Q$2:$Q$51, $A331)),0))=TRUE,"",IF(ISNUMBER(MATCH(TRUE,ISNUMBER(SEARCH($S$2:$S$199, $A331)),0))=TRUE,"","미국 확인 필요")))</f>
        <v/>
      </c>
    </row>
    <row r="332" spans="3:4">
      <c r="C332" s="9" t="str" cm="1">
        <f t="array" ref="C332">IFERROR(IF(A332="","",IF(ISNUMBER(MATCH(TRUE,ISNUMBER(SEARCH($Q$2:$Q$51, $A332)),0))=TRUE,"United States of America",INDEX($S$2:$S$199,MATCH(TRUE,ISNUMBER(SEARCH($S$2:$S$199, $A332)),0)))),"United States of America")</f>
        <v/>
      </c>
      <c r="D332" s="9" t="str" cm="1">
        <f t="array" ref="D332">IF(A332="","",IF(ISNUMBER(MATCH(TRUE,ISNUMBER(SEARCH($Q$2:$Q$51, $A332)),0))=TRUE,"",IF(ISNUMBER(MATCH(TRUE,ISNUMBER(SEARCH($S$2:$S$199, $A332)),0))=TRUE,"","미국 확인 필요")))</f>
        <v/>
      </c>
    </row>
    <row r="333" spans="3:4">
      <c r="C333" s="9" t="str" cm="1">
        <f t="array" ref="C333">IFERROR(IF(A333="","",IF(ISNUMBER(MATCH(TRUE,ISNUMBER(SEARCH($Q$2:$Q$51, $A333)),0))=TRUE,"United States of America",INDEX($S$2:$S$199,MATCH(TRUE,ISNUMBER(SEARCH($S$2:$S$199, $A333)),0)))),"United States of America")</f>
        <v/>
      </c>
      <c r="D333" s="9" t="str" cm="1">
        <f t="array" ref="D333">IF(A333="","",IF(ISNUMBER(MATCH(TRUE,ISNUMBER(SEARCH($Q$2:$Q$51, $A333)),0))=TRUE,"",IF(ISNUMBER(MATCH(TRUE,ISNUMBER(SEARCH($S$2:$S$199, $A333)),0))=TRUE,"","미국 확인 필요")))</f>
        <v/>
      </c>
    </row>
    <row r="334" spans="3:4">
      <c r="C334" s="9" t="str" cm="1">
        <f t="array" ref="C334">IFERROR(IF(A334="","",IF(ISNUMBER(MATCH(TRUE,ISNUMBER(SEARCH($Q$2:$Q$51, $A334)),0))=TRUE,"United States of America",INDEX($S$2:$S$199,MATCH(TRUE,ISNUMBER(SEARCH($S$2:$S$199, $A334)),0)))),"United States of America")</f>
        <v/>
      </c>
      <c r="D334" s="9" t="str" cm="1">
        <f t="array" ref="D334">IF(A334="","",IF(ISNUMBER(MATCH(TRUE,ISNUMBER(SEARCH($Q$2:$Q$51, $A334)),0))=TRUE,"",IF(ISNUMBER(MATCH(TRUE,ISNUMBER(SEARCH($S$2:$S$199, $A334)),0))=TRUE,"","미국 확인 필요")))</f>
        <v/>
      </c>
    </row>
    <row r="335" spans="3:4">
      <c r="C335" s="9" t="str" cm="1">
        <f t="array" ref="C335">IFERROR(IF(A335="","",IF(ISNUMBER(MATCH(TRUE,ISNUMBER(SEARCH($Q$2:$Q$51, $A335)),0))=TRUE,"United States of America",INDEX($S$2:$S$199,MATCH(TRUE,ISNUMBER(SEARCH($S$2:$S$199, $A335)),0)))),"United States of America")</f>
        <v/>
      </c>
      <c r="D335" s="9" t="str" cm="1">
        <f t="array" ref="D335">IF(A335="","",IF(ISNUMBER(MATCH(TRUE,ISNUMBER(SEARCH($Q$2:$Q$51, $A335)),0))=TRUE,"",IF(ISNUMBER(MATCH(TRUE,ISNUMBER(SEARCH($S$2:$S$199, $A335)),0))=TRUE,"","미국 확인 필요")))</f>
        <v/>
      </c>
    </row>
    <row r="336" spans="3:4">
      <c r="C336" s="9" t="str" cm="1">
        <f t="array" ref="C336">IFERROR(IF(A336="","",IF(ISNUMBER(MATCH(TRUE,ISNUMBER(SEARCH($Q$2:$Q$51, $A336)),0))=TRUE,"United States of America",INDEX($S$2:$S$199,MATCH(TRUE,ISNUMBER(SEARCH($S$2:$S$199, $A336)),0)))),"United States of America")</f>
        <v/>
      </c>
      <c r="D336" s="9" t="str" cm="1">
        <f t="array" ref="D336">IF(A336="","",IF(ISNUMBER(MATCH(TRUE,ISNUMBER(SEARCH($Q$2:$Q$51, $A336)),0))=TRUE,"",IF(ISNUMBER(MATCH(TRUE,ISNUMBER(SEARCH($S$2:$S$199, $A336)),0))=TRUE,"","미국 확인 필요")))</f>
        <v/>
      </c>
    </row>
    <row r="337" spans="3:4">
      <c r="C337" s="9" t="str" cm="1">
        <f t="array" ref="C337">IFERROR(IF(A337="","",IF(ISNUMBER(MATCH(TRUE,ISNUMBER(SEARCH($Q$2:$Q$51, $A337)),0))=TRUE,"United States of America",INDEX($S$2:$S$199,MATCH(TRUE,ISNUMBER(SEARCH($S$2:$S$199, $A337)),0)))),"United States of America")</f>
        <v/>
      </c>
      <c r="D337" s="9" t="str" cm="1">
        <f t="array" ref="D337">IF(A337="","",IF(ISNUMBER(MATCH(TRUE,ISNUMBER(SEARCH($Q$2:$Q$51, $A337)),0))=TRUE,"",IF(ISNUMBER(MATCH(TRUE,ISNUMBER(SEARCH($S$2:$S$199, $A337)),0))=TRUE,"","미국 확인 필요")))</f>
        <v/>
      </c>
    </row>
    <row r="338" spans="3:4">
      <c r="C338" s="9" t="str" cm="1">
        <f t="array" ref="C338">IFERROR(IF(A338="","",IF(ISNUMBER(MATCH(TRUE,ISNUMBER(SEARCH($Q$2:$Q$51, $A338)),0))=TRUE,"United States of America",INDEX($S$2:$S$199,MATCH(TRUE,ISNUMBER(SEARCH($S$2:$S$199, $A338)),0)))),"United States of America")</f>
        <v/>
      </c>
      <c r="D338" s="9" t="str" cm="1">
        <f t="array" ref="D338">IF(A338="","",IF(ISNUMBER(MATCH(TRUE,ISNUMBER(SEARCH($Q$2:$Q$51, $A338)),0))=TRUE,"",IF(ISNUMBER(MATCH(TRUE,ISNUMBER(SEARCH($S$2:$S$199, $A338)),0))=TRUE,"","미국 확인 필요")))</f>
        <v/>
      </c>
    </row>
    <row r="339" spans="3:4">
      <c r="C339" s="9" t="str" cm="1">
        <f t="array" ref="C339">IFERROR(IF(A339="","",IF(ISNUMBER(MATCH(TRUE,ISNUMBER(SEARCH($Q$2:$Q$51, $A339)),0))=TRUE,"United States of America",INDEX($S$2:$S$199,MATCH(TRUE,ISNUMBER(SEARCH($S$2:$S$199, $A339)),0)))),"United States of America")</f>
        <v/>
      </c>
      <c r="D339" s="9" t="str" cm="1">
        <f t="array" ref="D339">IF(A339="","",IF(ISNUMBER(MATCH(TRUE,ISNUMBER(SEARCH($Q$2:$Q$51, $A339)),0))=TRUE,"",IF(ISNUMBER(MATCH(TRUE,ISNUMBER(SEARCH($S$2:$S$199, $A339)),0))=TRUE,"","미국 확인 필요")))</f>
        <v/>
      </c>
    </row>
    <row r="340" spans="3:4">
      <c r="C340" s="9" t="str" cm="1">
        <f t="array" ref="C340">IFERROR(IF(A340="","",IF(ISNUMBER(MATCH(TRUE,ISNUMBER(SEARCH($Q$2:$Q$51, $A340)),0))=TRUE,"United States of America",INDEX($S$2:$S$199,MATCH(TRUE,ISNUMBER(SEARCH($S$2:$S$199, $A340)),0)))),"United States of America")</f>
        <v/>
      </c>
      <c r="D340" s="9" t="str" cm="1">
        <f t="array" ref="D340">IF(A340="","",IF(ISNUMBER(MATCH(TRUE,ISNUMBER(SEARCH($Q$2:$Q$51, $A340)),0))=TRUE,"",IF(ISNUMBER(MATCH(TRUE,ISNUMBER(SEARCH($S$2:$S$199, $A340)),0))=TRUE,"","미국 확인 필요")))</f>
        <v/>
      </c>
    </row>
    <row r="341" spans="3:4">
      <c r="C341" s="9" t="str" cm="1">
        <f t="array" ref="C341">IFERROR(IF(A341="","",IF(ISNUMBER(MATCH(TRUE,ISNUMBER(SEARCH($Q$2:$Q$51, $A341)),0))=TRUE,"United States of America",INDEX($S$2:$S$199,MATCH(TRUE,ISNUMBER(SEARCH($S$2:$S$199, $A341)),0)))),"United States of America")</f>
        <v/>
      </c>
      <c r="D341" s="9" t="str" cm="1">
        <f t="array" ref="D341">IF(A341="","",IF(ISNUMBER(MATCH(TRUE,ISNUMBER(SEARCH($Q$2:$Q$51, $A341)),0))=TRUE,"",IF(ISNUMBER(MATCH(TRUE,ISNUMBER(SEARCH($S$2:$S$199, $A341)),0))=TRUE,"","미국 확인 필요")))</f>
        <v/>
      </c>
    </row>
    <row r="342" spans="3:4">
      <c r="C342" s="9" t="str" cm="1">
        <f t="array" ref="C342">IFERROR(IF(A342="","",IF(ISNUMBER(MATCH(TRUE,ISNUMBER(SEARCH($Q$2:$Q$51, $A342)),0))=TRUE,"United States of America",INDEX($S$2:$S$199,MATCH(TRUE,ISNUMBER(SEARCH($S$2:$S$199, $A342)),0)))),"United States of America")</f>
        <v/>
      </c>
      <c r="D342" s="9" t="str" cm="1">
        <f t="array" ref="D342">IF(A342="","",IF(ISNUMBER(MATCH(TRUE,ISNUMBER(SEARCH($Q$2:$Q$51, $A342)),0))=TRUE,"",IF(ISNUMBER(MATCH(TRUE,ISNUMBER(SEARCH($S$2:$S$199, $A342)),0))=TRUE,"","미국 확인 필요")))</f>
        <v/>
      </c>
    </row>
    <row r="343" spans="3:4">
      <c r="C343" s="9" t="str" cm="1">
        <f t="array" ref="C343">IFERROR(IF(A343="","",IF(ISNUMBER(MATCH(TRUE,ISNUMBER(SEARCH($Q$2:$Q$51, $A343)),0))=TRUE,"United States of America",INDEX($S$2:$S$199,MATCH(TRUE,ISNUMBER(SEARCH($S$2:$S$199, $A343)),0)))),"United States of America")</f>
        <v/>
      </c>
      <c r="D343" s="9" t="str" cm="1">
        <f t="array" ref="D343">IF(A343="","",IF(ISNUMBER(MATCH(TRUE,ISNUMBER(SEARCH($Q$2:$Q$51, $A343)),0))=TRUE,"",IF(ISNUMBER(MATCH(TRUE,ISNUMBER(SEARCH($S$2:$S$199, $A343)),0))=TRUE,"","미국 확인 필요")))</f>
        <v/>
      </c>
    </row>
    <row r="344" spans="3:4">
      <c r="C344" s="9" t="str" cm="1">
        <f t="array" ref="C344">IFERROR(IF(A344="","",IF(ISNUMBER(MATCH(TRUE,ISNUMBER(SEARCH($Q$2:$Q$51, $A344)),0))=TRUE,"United States of America",INDEX($S$2:$S$199,MATCH(TRUE,ISNUMBER(SEARCH($S$2:$S$199, $A344)),0)))),"United States of America")</f>
        <v/>
      </c>
      <c r="D344" s="9" t="str" cm="1">
        <f t="array" ref="D344">IF(A344="","",IF(ISNUMBER(MATCH(TRUE,ISNUMBER(SEARCH($Q$2:$Q$51, $A344)),0))=TRUE,"",IF(ISNUMBER(MATCH(TRUE,ISNUMBER(SEARCH($S$2:$S$199, $A344)),0))=TRUE,"","미국 확인 필요")))</f>
        <v/>
      </c>
    </row>
    <row r="345" spans="3:4">
      <c r="C345" s="9" t="str" cm="1">
        <f t="array" ref="C345">IFERROR(IF(A345="","",IF(ISNUMBER(MATCH(TRUE,ISNUMBER(SEARCH($Q$2:$Q$51, $A345)),0))=TRUE,"United States of America",INDEX($S$2:$S$199,MATCH(TRUE,ISNUMBER(SEARCH($S$2:$S$199, $A345)),0)))),"United States of America")</f>
        <v/>
      </c>
      <c r="D345" s="9" t="str" cm="1">
        <f t="array" ref="D345">IF(A345="","",IF(ISNUMBER(MATCH(TRUE,ISNUMBER(SEARCH($Q$2:$Q$51, $A345)),0))=TRUE,"",IF(ISNUMBER(MATCH(TRUE,ISNUMBER(SEARCH($S$2:$S$199, $A345)),0))=TRUE,"","미국 확인 필요")))</f>
        <v/>
      </c>
    </row>
    <row r="346" spans="3:4">
      <c r="C346" s="9" t="str" cm="1">
        <f t="array" ref="C346">IFERROR(IF(A346="","",IF(ISNUMBER(MATCH(TRUE,ISNUMBER(SEARCH($Q$2:$Q$51, $A346)),0))=TRUE,"United States of America",INDEX($S$2:$S$199,MATCH(TRUE,ISNUMBER(SEARCH($S$2:$S$199, $A346)),0)))),"United States of America")</f>
        <v/>
      </c>
      <c r="D346" s="9" t="str" cm="1">
        <f t="array" ref="D346">IF(A346="","",IF(ISNUMBER(MATCH(TRUE,ISNUMBER(SEARCH($Q$2:$Q$51, $A346)),0))=TRUE,"",IF(ISNUMBER(MATCH(TRUE,ISNUMBER(SEARCH($S$2:$S$199, $A346)),0))=TRUE,"","미국 확인 필요")))</f>
        <v/>
      </c>
    </row>
    <row r="347" spans="3:4">
      <c r="C347" s="9" t="str" cm="1">
        <f t="array" ref="C347">IFERROR(IF(A347="","",IF(ISNUMBER(MATCH(TRUE,ISNUMBER(SEARCH($Q$2:$Q$51, $A347)),0))=TRUE,"United States of America",INDEX($S$2:$S$199,MATCH(TRUE,ISNUMBER(SEARCH($S$2:$S$199, $A347)),0)))),"United States of America")</f>
        <v/>
      </c>
      <c r="D347" s="9" t="str" cm="1">
        <f t="array" ref="D347">IF(A347="","",IF(ISNUMBER(MATCH(TRUE,ISNUMBER(SEARCH($Q$2:$Q$51, $A347)),0))=TRUE,"",IF(ISNUMBER(MATCH(TRUE,ISNUMBER(SEARCH($S$2:$S$199, $A347)),0))=TRUE,"","미국 확인 필요")))</f>
        <v/>
      </c>
    </row>
    <row r="348" spans="3:4">
      <c r="C348" s="9" t="str" cm="1">
        <f t="array" ref="C348">IFERROR(IF(A348="","",IF(ISNUMBER(MATCH(TRUE,ISNUMBER(SEARCH($Q$2:$Q$51, $A348)),0))=TRUE,"United States of America",INDEX($S$2:$S$199,MATCH(TRUE,ISNUMBER(SEARCH($S$2:$S$199, $A348)),0)))),"United States of America")</f>
        <v/>
      </c>
      <c r="D348" s="9" t="str" cm="1">
        <f t="array" ref="D348">IF(A348="","",IF(ISNUMBER(MATCH(TRUE,ISNUMBER(SEARCH($Q$2:$Q$51, $A348)),0))=TRUE,"",IF(ISNUMBER(MATCH(TRUE,ISNUMBER(SEARCH($S$2:$S$199, $A348)),0))=TRUE,"","미국 확인 필요")))</f>
        <v/>
      </c>
    </row>
    <row r="349" spans="3:4">
      <c r="C349" s="9" t="str" cm="1">
        <f t="array" ref="C349">IFERROR(IF(A349="","",IF(ISNUMBER(MATCH(TRUE,ISNUMBER(SEARCH($Q$2:$Q$51, $A349)),0))=TRUE,"United States of America",INDEX($S$2:$S$199,MATCH(TRUE,ISNUMBER(SEARCH($S$2:$S$199, $A349)),0)))),"United States of America")</f>
        <v/>
      </c>
      <c r="D349" s="9" t="str" cm="1">
        <f t="array" ref="D349">IF(A349="","",IF(ISNUMBER(MATCH(TRUE,ISNUMBER(SEARCH($Q$2:$Q$51, $A349)),0))=TRUE,"",IF(ISNUMBER(MATCH(TRUE,ISNUMBER(SEARCH($S$2:$S$199, $A349)),0))=TRUE,"","미국 확인 필요")))</f>
        <v/>
      </c>
    </row>
    <row r="350" spans="3:4">
      <c r="C350" s="9" t="str" cm="1">
        <f t="array" ref="C350">IFERROR(IF(A350="","",IF(ISNUMBER(MATCH(TRUE,ISNUMBER(SEARCH($Q$2:$Q$51, $A350)),0))=TRUE,"United States of America",INDEX($S$2:$S$199,MATCH(TRUE,ISNUMBER(SEARCH($S$2:$S$199, $A350)),0)))),"United States of America")</f>
        <v/>
      </c>
      <c r="D350" s="9" t="str" cm="1">
        <f t="array" ref="D350">IF(A350="","",IF(ISNUMBER(MATCH(TRUE,ISNUMBER(SEARCH($Q$2:$Q$51, $A350)),0))=TRUE,"",IF(ISNUMBER(MATCH(TRUE,ISNUMBER(SEARCH($S$2:$S$199, $A350)),0))=TRUE,"","미국 확인 필요")))</f>
        <v/>
      </c>
    </row>
    <row r="351" spans="3:4">
      <c r="C351" s="9" t="str" cm="1">
        <f t="array" ref="C351">IFERROR(IF(A351="","",IF(ISNUMBER(MATCH(TRUE,ISNUMBER(SEARCH($Q$2:$Q$51, $A351)),0))=TRUE,"United States of America",INDEX($S$2:$S$199,MATCH(TRUE,ISNUMBER(SEARCH($S$2:$S$199, $A351)),0)))),"United States of America")</f>
        <v/>
      </c>
      <c r="D351" s="9" t="str" cm="1">
        <f t="array" ref="D351">IF(A351="","",IF(ISNUMBER(MATCH(TRUE,ISNUMBER(SEARCH($Q$2:$Q$51, $A351)),0))=TRUE,"",IF(ISNUMBER(MATCH(TRUE,ISNUMBER(SEARCH($S$2:$S$199, $A351)),0))=TRUE,"","미국 확인 필요")))</f>
        <v/>
      </c>
    </row>
    <row r="352" spans="3:4">
      <c r="C352" s="9" t="str" cm="1">
        <f t="array" ref="C352">IFERROR(IF(A352="","",IF(ISNUMBER(MATCH(TRUE,ISNUMBER(SEARCH($Q$2:$Q$51, $A352)),0))=TRUE,"United States of America",INDEX($S$2:$S$199,MATCH(TRUE,ISNUMBER(SEARCH($S$2:$S$199, $A352)),0)))),"United States of America")</f>
        <v/>
      </c>
      <c r="D352" s="9" t="str" cm="1">
        <f t="array" ref="D352">IF(A352="","",IF(ISNUMBER(MATCH(TRUE,ISNUMBER(SEARCH($Q$2:$Q$51, $A352)),0))=TRUE,"",IF(ISNUMBER(MATCH(TRUE,ISNUMBER(SEARCH($S$2:$S$199, $A352)),0))=TRUE,"","미국 확인 필요")))</f>
        <v/>
      </c>
    </row>
    <row r="353" spans="3:4">
      <c r="C353" s="9" t="str" cm="1">
        <f t="array" ref="C353">IFERROR(IF(A353="","",IF(ISNUMBER(MATCH(TRUE,ISNUMBER(SEARCH($Q$2:$Q$51, $A353)),0))=TRUE,"United States of America",INDEX($S$2:$S$199,MATCH(TRUE,ISNUMBER(SEARCH($S$2:$S$199, $A353)),0)))),"United States of America")</f>
        <v/>
      </c>
      <c r="D353" s="9" t="str" cm="1">
        <f t="array" ref="D353">IF(A353="","",IF(ISNUMBER(MATCH(TRUE,ISNUMBER(SEARCH($Q$2:$Q$51, $A353)),0))=TRUE,"",IF(ISNUMBER(MATCH(TRUE,ISNUMBER(SEARCH($S$2:$S$199, $A353)),0))=TRUE,"","미국 확인 필요")))</f>
        <v/>
      </c>
    </row>
    <row r="354" spans="3:4">
      <c r="C354" s="9" t="str" cm="1">
        <f t="array" ref="C354">IFERROR(IF(A354="","",IF(ISNUMBER(MATCH(TRUE,ISNUMBER(SEARCH($Q$2:$Q$51, $A354)),0))=TRUE,"United States of America",INDEX($S$2:$S$199,MATCH(TRUE,ISNUMBER(SEARCH($S$2:$S$199, $A354)),0)))),"United States of America")</f>
        <v/>
      </c>
      <c r="D354" s="9" t="str" cm="1">
        <f t="array" ref="D354">IF(A354="","",IF(ISNUMBER(MATCH(TRUE,ISNUMBER(SEARCH($Q$2:$Q$51, $A354)),0))=TRUE,"",IF(ISNUMBER(MATCH(TRUE,ISNUMBER(SEARCH($S$2:$S$199, $A354)),0))=TRUE,"","미국 확인 필요")))</f>
        <v/>
      </c>
    </row>
    <row r="355" spans="3:4">
      <c r="C355" s="9" t="str" cm="1">
        <f t="array" ref="C355">IFERROR(IF(A355="","",IF(ISNUMBER(MATCH(TRUE,ISNUMBER(SEARCH($Q$2:$Q$51, $A355)),0))=TRUE,"United States of America",INDEX($S$2:$S$199,MATCH(TRUE,ISNUMBER(SEARCH($S$2:$S$199, $A355)),0)))),"United States of America")</f>
        <v/>
      </c>
      <c r="D355" s="9" t="str" cm="1">
        <f t="array" ref="D355">IF(A355="","",IF(ISNUMBER(MATCH(TRUE,ISNUMBER(SEARCH($Q$2:$Q$51, $A355)),0))=TRUE,"",IF(ISNUMBER(MATCH(TRUE,ISNUMBER(SEARCH($S$2:$S$199, $A355)),0))=TRUE,"","미국 확인 필요")))</f>
        <v/>
      </c>
    </row>
    <row r="356" spans="3:4">
      <c r="C356" s="9" t="str" cm="1">
        <f t="array" ref="C356">IFERROR(IF(A356="","",IF(ISNUMBER(MATCH(TRUE,ISNUMBER(SEARCH($Q$2:$Q$51, $A356)),0))=TRUE,"United States of America",INDEX($S$2:$S$199,MATCH(TRUE,ISNUMBER(SEARCH($S$2:$S$199, $A356)),0)))),"United States of America")</f>
        <v/>
      </c>
      <c r="D356" s="9" t="str" cm="1">
        <f t="array" ref="D356">IF(A356="","",IF(ISNUMBER(MATCH(TRUE,ISNUMBER(SEARCH($Q$2:$Q$51, $A356)),0))=TRUE,"",IF(ISNUMBER(MATCH(TRUE,ISNUMBER(SEARCH($S$2:$S$199, $A356)),0))=TRUE,"","미국 확인 필요")))</f>
        <v/>
      </c>
    </row>
    <row r="357" spans="3:4">
      <c r="C357" s="9" t="str" cm="1">
        <f t="array" ref="C357">IFERROR(IF(A357="","",IF(ISNUMBER(MATCH(TRUE,ISNUMBER(SEARCH($Q$2:$Q$51, $A357)),0))=TRUE,"United States of America",INDEX($S$2:$S$199,MATCH(TRUE,ISNUMBER(SEARCH($S$2:$S$199, $A357)),0)))),"United States of America")</f>
        <v/>
      </c>
      <c r="D357" s="9" t="str" cm="1">
        <f t="array" ref="D357">IF(A357="","",IF(ISNUMBER(MATCH(TRUE,ISNUMBER(SEARCH($Q$2:$Q$51, $A357)),0))=TRUE,"",IF(ISNUMBER(MATCH(TRUE,ISNUMBER(SEARCH($S$2:$S$199, $A357)),0))=TRUE,"","미국 확인 필요")))</f>
        <v/>
      </c>
    </row>
    <row r="358" spans="3:4">
      <c r="C358" s="9" t="str" cm="1">
        <f t="array" ref="C358">IFERROR(IF(A358="","",IF(ISNUMBER(MATCH(TRUE,ISNUMBER(SEARCH($Q$2:$Q$51, $A358)),0))=TRUE,"United States of America",INDEX($S$2:$S$199,MATCH(TRUE,ISNUMBER(SEARCH($S$2:$S$199, $A358)),0)))),"United States of America")</f>
        <v/>
      </c>
      <c r="D358" s="9" t="str" cm="1">
        <f t="array" ref="D358">IF(A358="","",IF(ISNUMBER(MATCH(TRUE,ISNUMBER(SEARCH($Q$2:$Q$51, $A358)),0))=TRUE,"",IF(ISNUMBER(MATCH(TRUE,ISNUMBER(SEARCH($S$2:$S$199, $A358)),0))=TRUE,"","미국 확인 필요")))</f>
        <v/>
      </c>
    </row>
    <row r="359" spans="3:4">
      <c r="C359" s="9" t="str" cm="1">
        <f t="array" ref="C359">IFERROR(IF(A359="","",IF(ISNUMBER(MATCH(TRUE,ISNUMBER(SEARCH($Q$2:$Q$51, $A359)),0))=TRUE,"United States of America",INDEX($S$2:$S$199,MATCH(TRUE,ISNUMBER(SEARCH($S$2:$S$199, $A359)),0)))),"United States of America")</f>
        <v/>
      </c>
      <c r="D359" s="9" t="str" cm="1">
        <f t="array" ref="D359">IF(A359="","",IF(ISNUMBER(MATCH(TRUE,ISNUMBER(SEARCH($Q$2:$Q$51, $A359)),0))=TRUE,"",IF(ISNUMBER(MATCH(TRUE,ISNUMBER(SEARCH($S$2:$S$199, $A359)),0))=TRUE,"","미국 확인 필요")))</f>
        <v/>
      </c>
    </row>
    <row r="360" spans="3:4">
      <c r="C360" s="9" t="str" cm="1">
        <f t="array" ref="C360">IFERROR(IF(A360="","",IF(ISNUMBER(MATCH(TRUE,ISNUMBER(SEARCH($Q$2:$Q$51, $A360)),0))=TRUE,"United States of America",INDEX($S$2:$S$199,MATCH(TRUE,ISNUMBER(SEARCH($S$2:$S$199, $A360)),0)))),"United States of America")</f>
        <v/>
      </c>
      <c r="D360" s="9" t="str" cm="1">
        <f t="array" ref="D360">IF(A360="","",IF(ISNUMBER(MATCH(TRUE,ISNUMBER(SEARCH($Q$2:$Q$51, $A360)),0))=TRUE,"",IF(ISNUMBER(MATCH(TRUE,ISNUMBER(SEARCH($S$2:$S$199, $A360)),0))=TRUE,"","미국 확인 필요")))</f>
        <v/>
      </c>
    </row>
    <row r="361" spans="3:4">
      <c r="C361" s="9" t="str" cm="1">
        <f t="array" ref="C361">IFERROR(IF(A361="","",IF(ISNUMBER(MATCH(TRUE,ISNUMBER(SEARCH($Q$2:$Q$51, $A361)),0))=TRUE,"United States of America",INDEX($S$2:$S$199,MATCH(TRUE,ISNUMBER(SEARCH($S$2:$S$199, $A361)),0)))),"United States of America")</f>
        <v/>
      </c>
      <c r="D361" s="9" t="str" cm="1">
        <f t="array" ref="D361">IF(A361="","",IF(ISNUMBER(MATCH(TRUE,ISNUMBER(SEARCH($Q$2:$Q$51, $A361)),0))=TRUE,"",IF(ISNUMBER(MATCH(TRUE,ISNUMBER(SEARCH($S$2:$S$199, $A361)),0))=TRUE,"","미국 확인 필요")))</f>
        <v/>
      </c>
    </row>
    <row r="362" spans="3:4">
      <c r="C362" s="9" t="str" cm="1">
        <f t="array" ref="C362">IFERROR(IF(A362="","",IF(ISNUMBER(MATCH(TRUE,ISNUMBER(SEARCH($Q$2:$Q$51, $A362)),0))=TRUE,"United States of America",INDEX($S$2:$S$199,MATCH(TRUE,ISNUMBER(SEARCH($S$2:$S$199, $A362)),0)))),"United States of America")</f>
        <v/>
      </c>
      <c r="D362" s="9" t="str" cm="1">
        <f t="array" ref="D362">IF(A362="","",IF(ISNUMBER(MATCH(TRUE,ISNUMBER(SEARCH($Q$2:$Q$51, $A362)),0))=TRUE,"",IF(ISNUMBER(MATCH(TRUE,ISNUMBER(SEARCH($S$2:$S$199, $A362)),0))=TRUE,"","미국 확인 필요")))</f>
        <v/>
      </c>
    </row>
    <row r="363" spans="3:4">
      <c r="C363" s="9" t="str" cm="1">
        <f t="array" ref="C363">IFERROR(IF(A363="","",IF(ISNUMBER(MATCH(TRUE,ISNUMBER(SEARCH($Q$2:$Q$51, $A363)),0))=TRUE,"United States of America",INDEX($S$2:$S$199,MATCH(TRUE,ISNUMBER(SEARCH($S$2:$S$199, $A363)),0)))),"United States of America")</f>
        <v/>
      </c>
      <c r="D363" s="9" t="str" cm="1">
        <f t="array" ref="D363">IF(A363="","",IF(ISNUMBER(MATCH(TRUE,ISNUMBER(SEARCH($Q$2:$Q$51, $A363)),0))=TRUE,"",IF(ISNUMBER(MATCH(TRUE,ISNUMBER(SEARCH($S$2:$S$199, $A363)),0))=TRUE,"","미국 확인 필요")))</f>
        <v/>
      </c>
    </row>
    <row r="364" spans="3:4">
      <c r="C364" s="9" t="str" cm="1">
        <f t="array" ref="C364">IFERROR(IF(A364="","",IF(ISNUMBER(MATCH(TRUE,ISNUMBER(SEARCH($Q$2:$Q$51, $A364)),0))=TRUE,"United States of America",INDEX($S$2:$S$199,MATCH(TRUE,ISNUMBER(SEARCH($S$2:$S$199, $A364)),0)))),"United States of America")</f>
        <v/>
      </c>
      <c r="D364" s="9" t="str" cm="1">
        <f t="array" ref="D364">IF(A364="","",IF(ISNUMBER(MATCH(TRUE,ISNUMBER(SEARCH($Q$2:$Q$51, $A364)),0))=TRUE,"",IF(ISNUMBER(MATCH(TRUE,ISNUMBER(SEARCH($S$2:$S$199, $A364)),0))=TRUE,"","미국 확인 필요")))</f>
        <v/>
      </c>
    </row>
    <row r="365" spans="3:4">
      <c r="C365" s="9" t="str" cm="1">
        <f t="array" ref="C365">IFERROR(IF(A365="","",IF(ISNUMBER(MATCH(TRUE,ISNUMBER(SEARCH($Q$2:$Q$51, $A365)),0))=TRUE,"United States of America",INDEX($S$2:$S$199,MATCH(TRUE,ISNUMBER(SEARCH($S$2:$S$199, $A365)),0)))),"United States of America")</f>
        <v/>
      </c>
      <c r="D365" s="9" t="str" cm="1">
        <f t="array" ref="D365">IF(A365="","",IF(ISNUMBER(MATCH(TRUE,ISNUMBER(SEARCH($Q$2:$Q$51, $A365)),0))=TRUE,"",IF(ISNUMBER(MATCH(TRUE,ISNUMBER(SEARCH($S$2:$S$199, $A365)),0))=TRUE,"","미국 확인 필요")))</f>
        <v/>
      </c>
    </row>
    <row r="366" spans="3:4">
      <c r="C366" s="9" t="str" cm="1">
        <f t="array" ref="C366">IFERROR(IF(A366="","",IF(ISNUMBER(MATCH(TRUE,ISNUMBER(SEARCH($Q$2:$Q$51, $A366)),0))=TRUE,"United States of America",INDEX($S$2:$S$199,MATCH(TRUE,ISNUMBER(SEARCH($S$2:$S$199, $A366)),0)))),"United States of America")</f>
        <v/>
      </c>
      <c r="D366" s="9" t="str" cm="1">
        <f t="array" ref="D366">IF(A366="","",IF(ISNUMBER(MATCH(TRUE,ISNUMBER(SEARCH($Q$2:$Q$51, $A366)),0))=TRUE,"",IF(ISNUMBER(MATCH(TRUE,ISNUMBER(SEARCH($S$2:$S$199, $A366)),0))=TRUE,"","미국 확인 필요")))</f>
        <v/>
      </c>
    </row>
    <row r="367" spans="3:4">
      <c r="C367" s="9" t="str" cm="1">
        <f t="array" ref="C367">IFERROR(IF(A367="","",IF(ISNUMBER(MATCH(TRUE,ISNUMBER(SEARCH($Q$2:$Q$51, $A367)),0))=TRUE,"United States of America",INDEX($S$2:$S$199,MATCH(TRUE,ISNUMBER(SEARCH($S$2:$S$199, $A367)),0)))),"United States of America")</f>
        <v/>
      </c>
      <c r="D367" s="9" t="str" cm="1">
        <f t="array" ref="D367">IF(A367="","",IF(ISNUMBER(MATCH(TRUE,ISNUMBER(SEARCH($Q$2:$Q$51, $A367)),0))=TRUE,"",IF(ISNUMBER(MATCH(TRUE,ISNUMBER(SEARCH($S$2:$S$199, $A367)),0))=TRUE,"","미국 확인 필요")))</f>
        <v/>
      </c>
    </row>
    <row r="368" spans="3:4">
      <c r="C368" s="9" t="str" cm="1">
        <f t="array" ref="C368">IFERROR(IF(A368="","",IF(ISNUMBER(MATCH(TRUE,ISNUMBER(SEARCH($Q$2:$Q$51, $A368)),0))=TRUE,"United States of America",INDEX($S$2:$S$199,MATCH(TRUE,ISNUMBER(SEARCH($S$2:$S$199, $A368)),0)))),"United States of America")</f>
        <v/>
      </c>
      <c r="D368" s="9" t="str" cm="1">
        <f t="array" ref="D368">IF(A368="","",IF(ISNUMBER(MATCH(TRUE,ISNUMBER(SEARCH($Q$2:$Q$51, $A368)),0))=TRUE,"",IF(ISNUMBER(MATCH(TRUE,ISNUMBER(SEARCH($S$2:$S$199, $A368)),0))=TRUE,"","미국 확인 필요")))</f>
        <v/>
      </c>
    </row>
    <row r="369" spans="3:4">
      <c r="C369" s="9" t="str" cm="1">
        <f t="array" ref="C369">IFERROR(IF(A369="","",IF(ISNUMBER(MATCH(TRUE,ISNUMBER(SEARCH($Q$2:$Q$51, $A369)),0))=TRUE,"United States of America",INDEX($S$2:$S$199,MATCH(TRUE,ISNUMBER(SEARCH($S$2:$S$199, $A369)),0)))),"United States of America")</f>
        <v/>
      </c>
      <c r="D369" s="9" t="str" cm="1">
        <f t="array" ref="D369">IF(A369="","",IF(ISNUMBER(MATCH(TRUE,ISNUMBER(SEARCH($Q$2:$Q$51, $A369)),0))=TRUE,"",IF(ISNUMBER(MATCH(TRUE,ISNUMBER(SEARCH($S$2:$S$199, $A369)),0))=TRUE,"","미국 확인 필요")))</f>
        <v/>
      </c>
    </row>
    <row r="370" spans="3:4">
      <c r="C370" s="9" t="str" cm="1">
        <f t="array" ref="C370">IFERROR(IF(A370="","",IF(ISNUMBER(MATCH(TRUE,ISNUMBER(SEARCH($Q$2:$Q$51, $A370)),0))=TRUE,"United States of America",INDEX($S$2:$S$199,MATCH(TRUE,ISNUMBER(SEARCH($S$2:$S$199, $A370)),0)))),"United States of America")</f>
        <v/>
      </c>
      <c r="D370" s="9" t="str" cm="1">
        <f t="array" ref="D370">IF(A370="","",IF(ISNUMBER(MATCH(TRUE,ISNUMBER(SEARCH($Q$2:$Q$51, $A370)),0))=TRUE,"",IF(ISNUMBER(MATCH(TRUE,ISNUMBER(SEARCH($S$2:$S$199, $A370)),0))=TRUE,"","미국 확인 필요")))</f>
        <v/>
      </c>
    </row>
    <row r="371" spans="3:4">
      <c r="C371" s="9" t="str" cm="1">
        <f t="array" ref="C371">IFERROR(IF(A371="","",IF(ISNUMBER(MATCH(TRUE,ISNUMBER(SEARCH($Q$2:$Q$51, $A371)),0))=TRUE,"United States of America",INDEX($S$2:$S$199,MATCH(TRUE,ISNUMBER(SEARCH($S$2:$S$199, $A371)),0)))),"United States of America")</f>
        <v/>
      </c>
      <c r="D371" s="9" t="str" cm="1">
        <f t="array" ref="D371">IF(A371="","",IF(ISNUMBER(MATCH(TRUE,ISNUMBER(SEARCH($Q$2:$Q$51, $A371)),0))=TRUE,"",IF(ISNUMBER(MATCH(TRUE,ISNUMBER(SEARCH($S$2:$S$199, $A371)),0))=TRUE,"","미국 확인 필요")))</f>
        <v/>
      </c>
    </row>
    <row r="372" spans="3:4">
      <c r="C372" s="9" t="str" cm="1">
        <f t="array" ref="C372">IFERROR(IF(A372="","",IF(ISNUMBER(MATCH(TRUE,ISNUMBER(SEARCH($Q$2:$Q$51, $A372)),0))=TRUE,"United States of America",INDEX($S$2:$S$199,MATCH(TRUE,ISNUMBER(SEARCH($S$2:$S$199, $A372)),0)))),"United States of America")</f>
        <v/>
      </c>
      <c r="D372" s="9" t="str" cm="1">
        <f t="array" ref="D372">IF(A372="","",IF(ISNUMBER(MATCH(TRUE,ISNUMBER(SEARCH($Q$2:$Q$51, $A372)),0))=TRUE,"",IF(ISNUMBER(MATCH(TRUE,ISNUMBER(SEARCH($S$2:$S$199, $A372)),0))=TRUE,"","미국 확인 필요")))</f>
        <v/>
      </c>
    </row>
    <row r="373" spans="3:4">
      <c r="C373" s="9" t="str" cm="1">
        <f t="array" ref="C373">IFERROR(IF(A373="","",IF(ISNUMBER(MATCH(TRUE,ISNUMBER(SEARCH($Q$2:$Q$51, $A373)),0))=TRUE,"United States of America",INDEX($S$2:$S$199,MATCH(TRUE,ISNUMBER(SEARCH($S$2:$S$199, $A373)),0)))),"United States of America")</f>
        <v/>
      </c>
      <c r="D373" s="9" t="str" cm="1">
        <f t="array" ref="D373">IF(A373="","",IF(ISNUMBER(MATCH(TRUE,ISNUMBER(SEARCH($Q$2:$Q$51, $A373)),0))=TRUE,"",IF(ISNUMBER(MATCH(TRUE,ISNUMBER(SEARCH($S$2:$S$199, $A373)),0))=TRUE,"","미국 확인 필요")))</f>
        <v/>
      </c>
    </row>
    <row r="374" spans="3:4">
      <c r="C374" s="9" t="str" cm="1">
        <f t="array" ref="C374">IFERROR(IF(A374="","",IF(ISNUMBER(MATCH(TRUE,ISNUMBER(SEARCH($Q$2:$Q$51, $A374)),0))=TRUE,"United States of America",INDEX($S$2:$S$199,MATCH(TRUE,ISNUMBER(SEARCH($S$2:$S$199, $A374)),0)))),"United States of America")</f>
        <v/>
      </c>
      <c r="D374" s="9" t="str" cm="1">
        <f t="array" ref="D374">IF(A374="","",IF(ISNUMBER(MATCH(TRUE,ISNUMBER(SEARCH($Q$2:$Q$51, $A374)),0))=TRUE,"",IF(ISNUMBER(MATCH(TRUE,ISNUMBER(SEARCH($S$2:$S$199, $A374)),0))=TRUE,"","미국 확인 필요")))</f>
        <v/>
      </c>
    </row>
    <row r="375" spans="3:4">
      <c r="C375" s="9" t="str" cm="1">
        <f t="array" ref="C375">IFERROR(IF(A375="","",IF(ISNUMBER(MATCH(TRUE,ISNUMBER(SEARCH($Q$2:$Q$51, $A375)),0))=TRUE,"United States of America",INDEX($S$2:$S$199,MATCH(TRUE,ISNUMBER(SEARCH($S$2:$S$199, $A375)),0)))),"United States of America")</f>
        <v/>
      </c>
      <c r="D375" s="9" t="str" cm="1">
        <f t="array" ref="D375">IF(A375="","",IF(ISNUMBER(MATCH(TRUE,ISNUMBER(SEARCH($Q$2:$Q$51, $A375)),0))=TRUE,"",IF(ISNUMBER(MATCH(TRUE,ISNUMBER(SEARCH($S$2:$S$199, $A375)),0))=TRUE,"","미국 확인 필요")))</f>
        <v/>
      </c>
    </row>
    <row r="376" spans="3:4">
      <c r="C376" s="9" t="str" cm="1">
        <f t="array" ref="C376">IFERROR(IF(A376="","",IF(ISNUMBER(MATCH(TRUE,ISNUMBER(SEARCH($Q$2:$Q$51, $A376)),0))=TRUE,"United States of America",INDEX($S$2:$S$199,MATCH(TRUE,ISNUMBER(SEARCH($S$2:$S$199, $A376)),0)))),"United States of America")</f>
        <v/>
      </c>
      <c r="D376" s="9" t="str" cm="1">
        <f t="array" ref="D376">IF(A376="","",IF(ISNUMBER(MATCH(TRUE,ISNUMBER(SEARCH($Q$2:$Q$51, $A376)),0))=TRUE,"",IF(ISNUMBER(MATCH(TRUE,ISNUMBER(SEARCH($S$2:$S$199, $A376)),0))=TRUE,"","미국 확인 필요")))</f>
        <v/>
      </c>
    </row>
    <row r="377" spans="3:4">
      <c r="C377" s="9" t="str" cm="1">
        <f t="array" ref="C377">IFERROR(IF(A377="","",IF(ISNUMBER(MATCH(TRUE,ISNUMBER(SEARCH($Q$2:$Q$51, $A377)),0))=TRUE,"United States of America",INDEX($S$2:$S$199,MATCH(TRUE,ISNUMBER(SEARCH($S$2:$S$199, $A377)),0)))),"United States of America")</f>
        <v/>
      </c>
      <c r="D377" s="9" t="str" cm="1">
        <f t="array" ref="D377">IF(A377="","",IF(ISNUMBER(MATCH(TRUE,ISNUMBER(SEARCH($Q$2:$Q$51, $A377)),0))=TRUE,"",IF(ISNUMBER(MATCH(TRUE,ISNUMBER(SEARCH($S$2:$S$199, $A377)),0))=TRUE,"","미국 확인 필요")))</f>
        <v/>
      </c>
    </row>
    <row r="378" spans="3:4">
      <c r="C378" s="9" t="str" cm="1">
        <f t="array" ref="C378">IFERROR(IF(A378="","",IF(ISNUMBER(MATCH(TRUE,ISNUMBER(SEARCH($Q$2:$Q$51, $A378)),0))=TRUE,"United States of America",INDEX($S$2:$S$199,MATCH(TRUE,ISNUMBER(SEARCH($S$2:$S$199, $A378)),0)))),"United States of America")</f>
        <v/>
      </c>
      <c r="D378" s="9" t="str" cm="1">
        <f t="array" ref="D378">IF(A378="","",IF(ISNUMBER(MATCH(TRUE,ISNUMBER(SEARCH($Q$2:$Q$51, $A378)),0))=TRUE,"",IF(ISNUMBER(MATCH(TRUE,ISNUMBER(SEARCH($S$2:$S$199, $A378)),0))=TRUE,"","미국 확인 필요")))</f>
        <v/>
      </c>
    </row>
    <row r="379" spans="3:4">
      <c r="C379" s="9" t="str" cm="1">
        <f t="array" ref="C379">IFERROR(IF(A379="","",IF(ISNUMBER(MATCH(TRUE,ISNUMBER(SEARCH($Q$2:$Q$51, $A379)),0))=TRUE,"United States of America",INDEX($S$2:$S$199,MATCH(TRUE,ISNUMBER(SEARCH($S$2:$S$199, $A379)),0)))),"United States of America")</f>
        <v/>
      </c>
      <c r="D379" s="9" t="str" cm="1">
        <f t="array" ref="D379">IF(A379="","",IF(ISNUMBER(MATCH(TRUE,ISNUMBER(SEARCH($Q$2:$Q$51, $A379)),0))=TRUE,"",IF(ISNUMBER(MATCH(TRUE,ISNUMBER(SEARCH($S$2:$S$199, $A379)),0))=TRUE,"","미국 확인 필요")))</f>
        <v/>
      </c>
    </row>
    <row r="380" spans="3:4">
      <c r="C380" s="9" t="str" cm="1">
        <f t="array" ref="C380">IFERROR(IF(A380="","",IF(ISNUMBER(MATCH(TRUE,ISNUMBER(SEARCH($Q$2:$Q$51, $A380)),0))=TRUE,"United States of America",INDEX($S$2:$S$199,MATCH(TRUE,ISNUMBER(SEARCH($S$2:$S$199, $A380)),0)))),"United States of America")</f>
        <v/>
      </c>
      <c r="D380" s="9" t="str" cm="1">
        <f t="array" ref="D380">IF(A380="","",IF(ISNUMBER(MATCH(TRUE,ISNUMBER(SEARCH($Q$2:$Q$51, $A380)),0))=TRUE,"",IF(ISNUMBER(MATCH(TRUE,ISNUMBER(SEARCH($S$2:$S$199, $A380)),0))=TRUE,"","미국 확인 필요")))</f>
        <v/>
      </c>
    </row>
    <row r="381" spans="3:4">
      <c r="C381" s="9" t="str" cm="1">
        <f t="array" ref="C381">IFERROR(IF(A381="","",IF(ISNUMBER(MATCH(TRUE,ISNUMBER(SEARCH($Q$2:$Q$51, $A381)),0))=TRUE,"United States of America",INDEX($S$2:$S$199,MATCH(TRUE,ISNUMBER(SEARCH($S$2:$S$199, $A381)),0)))),"United States of America")</f>
        <v/>
      </c>
      <c r="D381" s="9" t="str" cm="1">
        <f t="array" ref="D381">IF(A381="","",IF(ISNUMBER(MATCH(TRUE,ISNUMBER(SEARCH($Q$2:$Q$51, $A381)),0))=TRUE,"",IF(ISNUMBER(MATCH(TRUE,ISNUMBER(SEARCH($S$2:$S$199, $A381)),0))=TRUE,"","미국 확인 필요")))</f>
        <v/>
      </c>
    </row>
    <row r="382" spans="3:4">
      <c r="C382" s="9" t="str" cm="1">
        <f t="array" ref="C382">IFERROR(IF(A382="","",IF(ISNUMBER(MATCH(TRUE,ISNUMBER(SEARCH($Q$2:$Q$51, $A382)),0))=TRUE,"United States of America",INDEX($S$2:$S$199,MATCH(TRUE,ISNUMBER(SEARCH($S$2:$S$199, $A382)),0)))),"United States of America")</f>
        <v/>
      </c>
      <c r="D382" s="9" t="str" cm="1">
        <f t="array" ref="D382">IF(A382="","",IF(ISNUMBER(MATCH(TRUE,ISNUMBER(SEARCH($Q$2:$Q$51, $A382)),0))=TRUE,"",IF(ISNUMBER(MATCH(TRUE,ISNUMBER(SEARCH($S$2:$S$199, $A382)),0))=TRUE,"","미국 확인 필요")))</f>
        <v/>
      </c>
    </row>
    <row r="383" spans="3:4">
      <c r="C383" s="9" t="str" cm="1">
        <f t="array" ref="C383">IFERROR(IF(A383="","",IF(ISNUMBER(MATCH(TRUE,ISNUMBER(SEARCH($Q$2:$Q$51, $A383)),0))=TRUE,"United States of America",INDEX($S$2:$S$199,MATCH(TRUE,ISNUMBER(SEARCH($S$2:$S$199, $A383)),0)))),"United States of America")</f>
        <v/>
      </c>
      <c r="D383" s="9" t="str" cm="1">
        <f t="array" ref="D383">IF(A383="","",IF(ISNUMBER(MATCH(TRUE,ISNUMBER(SEARCH($Q$2:$Q$51, $A383)),0))=TRUE,"",IF(ISNUMBER(MATCH(TRUE,ISNUMBER(SEARCH($S$2:$S$199, $A383)),0))=TRUE,"","미국 확인 필요")))</f>
        <v/>
      </c>
    </row>
    <row r="384" spans="3:4">
      <c r="C384" s="9" t="str" cm="1">
        <f t="array" ref="C384">IFERROR(IF(A384="","",IF(ISNUMBER(MATCH(TRUE,ISNUMBER(SEARCH($Q$2:$Q$51, $A384)),0))=TRUE,"United States of America",INDEX($S$2:$S$199,MATCH(TRUE,ISNUMBER(SEARCH($S$2:$S$199, $A384)),0)))),"United States of America")</f>
        <v/>
      </c>
      <c r="D384" s="9" t="str" cm="1">
        <f t="array" ref="D384">IF(A384="","",IF(ISNUMBER(MATCH(TRUE,ISNUMBER(SEARCH($Q$2:$Q$51, $A384)),0))=TRUE,"",IF(ISNUMBER(MATCH(TRUE,ISNUMBER(SEARCH($S$2:$S$199, $A384)),0))=TRUE,"","미국 확인 필요")))</f>
        <v/>
      </c>
    </row>
    <row r="385" spans="3:4">
      <c r="C385" s="9" t="str" cm="1">
        <f t="array" ref="C385">IFERROR(IF(A385="","",IF(ISNUMBER(MATCH(TRUE,ISNUMBER(SEARCH($Q$2:$Q$51, $A385)),0))=TRUE,"United States of America",INDEX($S$2:$S$199,MATCH(TRUE,ISNUMBER(SEARCH($S$2:$S$199, $A385)),0)))),"United States of America")</f>
        <v/>
      </c>
      <c r="D385" s="9" t="str" cm="1">
        <f t="array" ref="D385">IF(A385="","",IF(ISNUMBER(MATCH(TRUE,ISNUMBER(SEARCH($Q$2:$Q$51, $A385)),0))=TRUE,"",IF(ISNUMBER(MATCH(TRUE,ISNUMBER(SEARCH($S$2:$S$199, $A385)),0))=TRUE,"","미국 확인 필요")))</f>
        <v/>
      </c>
    </row>
    <row r="386" spans="3:4">
      <c r="C386" s="9" t="str" cm="1">
        <f t="array" ref="C386">IFERROR(IF(A386="","",IF(ISNUMBER(MATCH(TRUE,ISNUMBER(SEARCH($Q$2:$Q$51, $A386)),0))=TRUE,"United States of America",INDEX($S$2:$S$199,MATCH(TRUE,ISNUMBER(SEARCH($S$2:$S$199, $A386)),0)))),"United States of America")</f>
        <v/>
      </c>
      <c r="D386" s="9" t="str" cm="1">
        <f t="array" ref="D386">IF(A386="","",IF(ISNUMBER(MATCH(TRUE,ISNUMBER(SEARCH($Q$2:$Q$51, $A386)),0))=TRUE,"",IF(ISNUMBER(MATCH(TRUE,ISNUMBER(SEARCH($S$2:$S$199, $A386)),0))=TRUE,"","미국 확인 필요")))</f>
        <v/>
      </c>
    </row>
    <row r="387" spans="3:4">
      <c r="C387" s="9" t="str" cm="1">
        <f t="array" ref="C387">IFERROR(IF(A387="","",IF(ISNUMBER(MATCH(TRUE,ISNUMBER(SEARCH($Q$2:$Q$51, $A387)),0))=TRUE,"United States of America",INDEX($S$2:$S$199,MATCH(TRUE,ISNUMBER(SEARCH($S$2:$S$199, $A387)),0)))),"United States of America")</f>
        <v/>
      </c>
      <c r="D387" s="9" t="str" cm="1">
        <f t="array" ref="D387">IF(A387="","",IF(ISNUMBER(MATCH(TRUE,ISNUMBER(SEARCH($Q$2:$Q$51, $A387)),0))=TRUE,"",IF(ISNUMBER(MATCH(TRUE,ISNUMBER(SEARCH($S$2:$S$199, $A387)),0))=TRUE,"","미국 확인 필요")))</f>
        <v/>
      </c>
    </row>
    <row r="388" spans="3:4">
      <c r="C388" s="9" t="str" cm="1">
        <f t="array" ref="C388">IFERROR(IF(A388="","",IF(ISNUMBER(MATCH(TRUE,ISNUMBER(SEARCH($Q$2:$Q$51, $A388)),0))=TRUE,"United States of America",INDEX($S$2:$S$199,MATCH(TRUE,ISNUMBER(SEARCH($S$2:$S$199, $A388)),0)))),"United States of America")</f>
        <v/>
      </c>
      <c r="D388" s="9" t="str" cm="1">
        <f t="array" ref="D388">IF(A388="","",IF(ISNUMBER(MATCH(TRUE,ISNUMBER(SEARCH($Q$2:$Q$51, $A388)),0))=TRUE,"",IF(ISNUMBER(MATCH(TRUE,ISNUMBER(SEARCH($S$2:$S$199, $A388)),0))=TRUE,"","미국 확인 필요")))</f>
        <v/>
      </c>
    </row>
    <row r="389" spans="3:4">
      <c r="C389" s="9" t="str" cm="1">
        <f t="array" ref="C389">IFERROR(IF(A389="","",IF(ISNUMBER(MATCH(TRUE,ISNUMBER(SEARCH($Q$2:$Q$51, $A389)),0))=TRUE,"United States of America",INDEX($S$2:$S$199,MATCH(TRUE,ISNUMBER(SEARCH($S$2:$S$199, $A389)),0)))),"United States of America")</f>
        <v/>
      </c>
      <c r="D389" s="9" t="str" cm="1">
        <f t="array" ref="D389">IF(A389="","",IF(ISNUMBER(MATCH(TRUE,ISNUMBER(SEARCH($Q$2:$Q$51, $A389)),0))=TRUE,"",IF(ISNUMBER(MATCH(TRUE,ISNUMBER(SEARCH($S$2:$S$199, $A389)),0))=TRUE,"","미국 확인 필요")))</f>
        <v/>
      </c>
    </row>
    <row r="390" spans="3:4">
      <c r="C390" s="9" t="str" cm="1">
        <f t="array" ref="C390">IFERROR(IF(A390="","",IF(ISNUMBER(MATCH(TRUE,ISNUMBER(SEARCH($Q$2:$Q$51, $A390)),0))=TRUE,"United States of America",INDEX($S$2:$S$199,MATCH(TRUE,ISNUMBER(SEARCH($S$2:$S$199, $A390)),0)))),"United States of America")</f>
        <v/>
      </c>
      <c r="D390" s="9" t="str" cm="1">
        <f t="array" ref="D390">IF(A390="","",IF(ISNUMBER(MATCH(TRUE,ISNUMBER(SEARCH($Q$2:$Q$51, $A390)),0))=TRUE,"",IF(ISNUMBER(MATCH(TRUE,ISNUMBER(SEARCH($S$2:$S$199, $A390)),0))=TRUE,"","미국 확인 필요")))</f>
        <v/>
      </c>
    </row>
    <row r="391" spans="3:4">
      <c r="C391" s="9" t="str" cm="1">
        <f t="array" ref="C391">IFERROR(IF(A391="","",IF(ISNUMBER(MATCH(TRUE,ISNUMBER(SEARCH($Q$2:$Q$51, $A391)),0))=TRUE,"United States of America",INDEX($S$2:$S$199,MATCH(TRUE,ISNUMBER(SEARCH($S$2:$S$199, $A391)),0)))),"United States of America")</f>
        <v/>
      </c>
      <c r="D391" s="9" t="str" cm="1">
        <f t="array" ref="D391">IF(A391="","",IF(ISNUMBER(MATCH(TRUE,ISNUMBER(SEARCH($Q$2:$Q$51, $A391)),0))=TRUE,"",IF(ISNUMBER(MATCH(TRUE,ISNUMBER(SEARCH($S$2:$S$199, $A391)),0))=TRUE,"","미국 확인 필요")))</f>
        <v/>
      </c>
    </row>
    <row r="392" spans="3:4">
      <c r="C392" s="9" t="str" cm="1">
        <f t="array" ref="C392">IFERROR(IF(A392="","",IF(ISNUMBER(MATCH(TRUE,ISNUMBER(SEARCH($Q$2:$Q$51, $A392)),0))=TRUE,"United States of America",INDEX($S$2:$S$199,MATCH(TRUE,ISNUMBER(SEARCH($S$2:$S$199, $A392)),0)))),"United States of America")</f>
        <v/>
      </c>
      <c r="D392" s="9" t="str" cm="1">
        <f t="array" ref="D392">IF(A392="","",IF(ISNUMBER(MATCH(TRUE,ISNUMBER(SEARCH($Q$2:$Q$51, $A392)),0))=TRUE,"",IF(ISNUMBER(MATCH(TRUE,ISNUMBER(SEARCH($S$2:$S$199, $A392)),0))=TRUE,"","미국 확인 필요")))</f>
        <v/>
      </c>
    </row>
    <row r="393" spans="3:4">
      <c r="C393" s="9" t="str" cm="1">
        <f t="array" ref="C393">IFERROR(IF(A393="","",IF(ISNUMBER(MATCH(TRUE,ISNUMBER(SEARCH($Q$2:$Q$51, $A393)),0))=TRUE,"United States of America",INDEX($S$2:$S$199,MATCH(TRUE,ISNUMBER(SEARCH($S$2:$S$199, $A393)),0)))),"United States of America")</f>
        <v/>
      </c>
      <c r="D393" s="9" t="str" cm="1">
        <f t="array" ref="D393">IF(A393="","",IF(ISNUMBER(MATCH(TRUE,ISNUMBER(SEARCH($Q$2:$Q$51, $A393)),0))=TRUE,"",IF(ISNUMBER(MATCH(TRUE,ISNUMBER(SEARCH($S$2:$S$199, $A393)),0))=TRUE,"","미국 확인 필요")))</f>
        <v/>
      </c>
    </row>
    <row r="394" spans="3:4">
      <c r="C394" s="9" t="str" cm="1">
        <f t="array" ref="C394">IFERROR(IF(A394="","",IF(ISNUMBER(MATCH(TRUE,ISNUMBER(SEARCH($Q$2:$Q$51, $A394)),0))=TRUE,"United States of America",INDEX($S$2:$S$199,MATCH(TRUE,ISNUMBER(SEARCH($S$2:$S$199, $A394)),0)))),"United States of America")</f>
        <v/>
      </c>
      <c r="D394" s="9" t="str" cm="1">
        <f t="array" ref="D394">IF(A394="","",IF(ISNUMBER(MATCH(TRUE,ISNUMBER(SEARCH($Q$2:$Q$51, $A394)),0))=TRUE,"",IF(ISNUMBER(MATCH(TRUE,ISNUMBER(SEARCH($S$2:$S$199, $A394)),0))=TRUE,"","미국 확인 필요")))</f>
        <v/>
      </c>
    </row>
    <row r="395" spans="3:4">
      <c r="C395" s="9" t="str" cm="1">
        <f t="array" ref="C395">IFERROR(IF(A395="","",IF(ISNUMBER(MATCH(TRUE,ISNUMBER(SEARCH($Q$2:$Q$51, $A395)),0))=TRUE,"United States of America",INDEX($S$2:$S$199,MATCH(TRUE,ISNUMBER(SEARCH($S$2:$S$199, $A395)),0)))),"United States of America")</f>
        <v/>
      </c>
      <c r="D395" s="9" t="str" cm="1">
        <f t="array" ref="D395">IF(A395="","",IF(ISNUMBER(MATCH(TRUE,ISNUMBER(SEARCH($Q$2:$Q$51, $A395)),0))=TRUE,"",IF(ISNUMBER(MATCH(TRUE,ISNUMBER(SEARCH($S$2:$S$199, $A395)),0))=TRUE,"","미국 확인 필요")))</f>
        <v/>
      </c>
    </row>
    <row r="396" spans="3:4">
      <c r="C396" s="9" t="str" cm="1">
        <f t="array" ref="C396">IFERROR(IF(A396="","",IF(ISNUMBER(MATCH(TRUE,ISNUMBER(SEARCH($Q$2:$Q$51, $A396)),0))=TRUE,"United States of America",INDEX($S$2:$S$199,MATCH(TRUE,ISNUMBER(SEARCH($S$2:$S$199, $A396)),0)))),"United States of America")</f>
        <v/>
      </c>
      <c r="D396" s="9" t="str" cm="1">
        <f t="array" ref="D396">IF(A396="","",IF(ISNUMBER(MATCH(TRUE,ISNUMBER(SEARCH($Q$2:$Q$51, $A396)),0))=TRUE,"",IF(ISNUMBER(MATCH(TRUE,ISNUMBER(SEARCH($S$2:$S$199, $A396)),0))=TRUE,"","미국 확인 필요")))</f>
        <v/>
      </c>
    </row>
    <row r="397" spans="3:4">
      <c r="C397" s="9" t="str" cm="1">
        <f t="array" ref="C397">IFERROR(IF(A397="","",IF(ISNUMBER(MATCH(TRUE,ISNUMBER(SEARCH($Q$2:$Q$51, $A397)),0))=TRUE,"United States of America",INDEX($S$2:$S$199,MATCH(TRUE,ISNUMBER(SEARCH($S$2:$S$199, $A397)),0)))),"United States of America")</f>
        <v/>
      </c>
      <c r="D397" s="9" t="str" cm="1">
        <f t="array" ref="D397">IF(A397="","",IF(ISNUMBER(MATCH(TRUE,ISNUMBER(SEARCH($Q$2:$Q$51, $A397)),0))=TRUE,"",IF(ISNUMBER(MATCH(TRUE,ISNUMBER(SEARCH($S$2:$S$199, $A397)),0))=TRUE,"","미국 확인 필요")))</f>
        <v/>
      </c>
    </row>
    <row r="398" spans="3:4">
      <c r="C398" s="9" t="str" cm="1">
        <f t="array" ref="C398">IFERROR(IF(A398="","",IF(ISNUMBER(MATCH(TRUE,ISNUMBER(SEARCH($Q$2:$Q$51, $A398)),0))=TRUE,"United States of America",INDEX($S$2:$S$199,MATCH(TRUE,ISNUMBER(SEARCH($S$2:$S$199, $A398)),0)))),"United States of America")</f>
        <v/>
      </c>
      <c r="D398" s="9" t="str" cm="1">
        <f t="array" ref="D398">IF(A398="","",IF(ISNUMBER(MATCH(TRUE,ISNUMBER(SEARCH($Q$2:$Q$51, $A398)),0))=TRUE,"",IF(ISNUMBER(MATCH(TRUE,ISNUMBER(SEARCH($S$2:$S$199, $A398)),0))=TRUE,"","미국 확인 필요")))</f>
        <v/>
      </c>
    </row>
    <row r="399" spans="3:4">
      <c r="C399" s="9" t="str" cm="1">
        <f t="array" ref="C399">IFERROR(IF(A399="","",IF(ISNUMBER(MATCH(TRUE,ISNUMBER(SEARCH($Q$2:$Q$51, $A399)),0))=TRUE,"United States of America",INDEX($S$2:$S$199,MATCH(TRUE,ISNUMBER(SEARCH($S$2:$S$199, $A399)),0)))),"United States of America")</f>
        <v/>
      </c>
      <c r="D399" s="9" t="str" cm="1">
        <f t="array" ref="D399">IF(A399="","",IF(ISNUMBER(MATCH(TRUE,ISNUMBER(SEARCH($Q$2:$Q$51, $A399)),0))=TRUE,"",IF(ISNUMBER(MATCH(TRUE,ISNUMBER(SEARCH($S$2:$S$199, $A399)),0))=TRUE,"","미국 확인 필요")))</f>
        <v/>
      </c>
    </row>
    <row r="400" spans="3:4">
      <c r="C400" s="9" t="str" cm="1">
        <f t="array" ref="C400">IFERROR(IF(A400="","",IF(ISNUMBER(MATCH(TRUE,ISNUMBER(SEARCH($Q$2:$Q$51, $A400)),0))=TRUE,"United States of America",INDEX($S$2:$S$199,MATCH(TRUE,ISNUMBER(SEARCH($S$2:$S$199, $A400)),0)))),"United States of America")</f>
        <v/>
      </c>
      <c r="D400" s="9" t="str" cm="1">
        <f t="array" ref="D400">IF(A400="","",IF(ISNUMBER(MATCH(TRUE,ISNUMBER(SEARCH($Q$2:$Q$51, $A400)),0))=TRUE,"",IF(ISNUMBER(MATCH(TRUE,ISNUMBER(SEARCH($S$2:$S$199, $A400)),0))=TRUE,"","미국 확인 필요")))</f>
        <v/>
      </c>
    </row>
    <row r="401" spans="3:4">
      <c r="C401" s="9" t="str" cm="1">
        <f t="array" ref="C401">IFERROR(IF(A401="","",IF(ISNUMBER(MATCH(TRUE,ISNUMBER(SEARCH($Q$2:$Q$51, $A401)),0))=TRUE,"United States of America",INDEX($S$2:$S$199,MATCH(TRUE,ISNUMBER(SEARCH($S$2:$S$199, $A401)),0)))),"United States of America")</f>
        <v/>
      </c>
      <c r="D401" s="9" t="str" cm="1">
        <f t="array" ref="D401">IF(A401="","",IF(ISNUMBER(MATCH(TRUE,ISNUMBER(SEARCH($Q$2:$Q$51, $A401)),0))=TRUE,"",IF(ISNUMBER(MATCH(TRUE,ISNUMBER(SEARCH($S$2:$S$199, $A401)),0))=TRUE,"","미국 확인 필요")))</f>
        <v/>
      </c>
    </row>
    <row r="402" spans="3:4">
      <c r="C402" s="9" t="str" cm="1">
        <f t="array" ref="C402">IFERROR(IF(A402="","",IF(ISNUMBER(MATCH(TRUE,ISNUMBER(SEARCH($Q$2:$Q$51, $A402)),0))=TRUE,"United States of America",INDEX($S$2:$S$199,MATCH(TRUE,ISNUMBER(SEARCH($S$2:$S$199, $A402)),0)))),"United States of America")</f>
        <v/>
      </c>
      <c r="D402" s="9" t="str" cm="1">
        <f t="array" ref="D402">IF(A402="","",IF(ISNUMBER(MATCH(TRUE,ISNUMBER(SEARCH($Q$2:$Q$51, $A402)),0))=TRUE,"",IF(ISNUMBER(MATCH(TRUE,ISNUMBER(SEARCH($S$2:$S$199, $A402)),0))=TRUE,"","미국 확인 필요")))</f>
        <v/>
      </c>
    </row>
    <row r="403" spans="3:4">
      <c r="C403" s="9" t="str" cm="1">
        <f t="array" ref="C403">IFERROR(IF(A403="","",IF(ISNUMBER(MATCH(TRUE,ISNUMBER(SEARCH($Q$2:$Q$51, $A403)),0))=TRUE,"United States of America",INDEX($S$2:$S$199,MATCH(TRUE,ISNUMBER(SEARCH($S$2:$S$199, $A403)),0)))),"United States of America")</f>
        <v/>
      </c>
      <c r="D403" s="9" t="str" cm="1">
        <f t="array" ref="D403">IF(A403="","",IF(ISNUMBER(MATCH(TRUE,ISNUMBER(SEARCH($Q$2:$Q$51, $A403)),0))=TRUE,"",IF(ISNUMBER(MATCH(TRUE,ISNUMBER(SEARCH($S$2:$S$199, $A403)),0))=TRUE,"","미국 확인 필요")))</f>
        <v/>
      </c>
    </row>
    <row r="404" spans="3:4">
      <c r="C404" s="9" t="str" cm="1">
        <f t="array" ref="C404">IFERROR(IF(A404="","",IF(ISNUMBER(MATCH(TRUE,ISNUMBER(SEARCH($Q$2:$Q$51, $A404)),0))=TRUE,"United States of America",INDEX($S$2:$S$199,MATCH(TRUE,ISNUMBER(SEARCH($S$2:$S$199, $A404)),0)))),"United States of America")</f>
        <v/>
      </c>
      <c r="D404" s="9" t="str" cm="1">
        <f t="array" ref="D404">IF(A404="","",IF(ISNUMBER(MATCH(TRUE,ISNUMBER(SEARCH($Q$2:$Q$51, $A404)),0))=TRUE,"",IF(ISNUMBER(MATCH(TRUE,ISNUMBER(SEARCH($S$2:$S$199, $A404)),0))=TRUE,"","미국 확인 필요")))</f>
        <v/>
      </c>
    </row>
    <row r="405" spans="3:4">
      <c r="C405" s="9" t="str" cm="1">
        <f t="array" ref="C405">IFERROR(IF(A405="","",IF(ISNUMBER(MATCH(TRUE,ISNUMBER(SEARCH($Q$2:$Q$51, $A405)),0))=TRUE,"United States of America",INDEX($S$2:$S$199,MATCH(TRUE,ISNUMBER(SEARCH($S$2:$S$199, $A405)),0)))),"United States of America")</f>
        <v/>
      </c>
      <c r="D405" s="9" t="str" cm="1">
        <f t="array" ref="D405">IF(A405="","",IF(ISNUMBER(MATCH(TRUE,ISNUMBER(SEARCH($Q$2:$Q$51, $A405)),0))=TRUE,"",IF(ISNUMBER(MATCH(TRUE,ISNUMBER(SEARCH($S$2:$S$199, $A405)),0))=TRUE,"","미국 확인 필요")))</f>
        <v/>
      </c>
    </row>
    <row r="406" spans="3:4">
      <c r="C406" s="9" t="str" cm="1">
        <f t="array" ref="C406">IFERROR(IF(A406="","",IF(ISNUMBER(MATCH(TRUE,ISNUMBER(SEARCH($Q$2:$Q$51, $A406)),0))=TRUE,"United States of America",INDEX($S$2:$S$199,MATCH(TRUE,ISNUMBER(SEARCH($S$2:$S$199, $A406)),0)))),"United States of America")</f>
        <v/>
      </c>
      <c r="D406" s="9" t="str" cm="1">
        <f t="array" ref="D406">IF(A406="","",IF(ISNUMBER(MATCH(TRUE,ISNUMBER(SEARCH($Q$2:$Q$51, $A406)),0))=TRUE,"",IF(ISNUMBER(MATCH(TRUE,ISNUMBER(SEARCH($S$2:$S$199, $A406)),0))=TRUE,"","미국 확인 필요")))</f>
        <v/>
      </c>
    </row>
    <row r="407" spans="3:4">
      <c r="C407" s="9" t="str" cm="1">
        <f t="array" ref="C407">IFERROR(IF(A407="","",IF(ISNUMBER(MATCH(TRUE,ISNUMBER(SEARCH($Q$2:$Q$51, $A407)),0))=TRUE,"United States of America",INDEX($S$2:$S$199,MATCH(TRUE,ISNUMBER(SEARCH($S$2:$S$199, $A407)),0)))),"United States of America")</f>
        <v/>
      </c>
      <c r="D407" s="9" t="str" cm="1">
        <f t="array" ref="D407">IF(A407="","",IF(ISNUMBER(MATCH(TRUE,ISNUMBER(SEARCH($Q$2:$Q$51, $A407)),0))=TRUE,"",IF(ISNUMBER(MATCH(TRUE,ISNUMBER(SEARCH($S$2:$S$199, $A407)),0))=TRUE,"","미국 확인 필요")))</f>
        <v/>
      </c>
    </row>
    <row r="408" spans="3:4">
      <c r="C408" s="9" t="str" cm="1">
        <f t="array" ref="C408">IFERROR(IF(A408="","",IF(ISNUMBER(MATCH(TRUE,ISNUMBER(SEARCH($Q$2:$Q$51, $A408)),0))=TRUE,"United States of America",INDEX($S$2:$S$199,MATCH(TRUE,ISNUMBER(SEARCH($S$2:$S$199, $A408)),0)))),"United States of America")</f>
        <v/>
      </c>
      <c r="D408" s="9" t="str" cm="1">
        <f t="array" ref="D408">IF(A408="","",IF(ISNUMBER(MATCH(TRUE,ISNUMBER(SEARCH($Q$2:$Q$51, $A408)),0))=TRUE,"",IF(ISNUMBER(MATCH(TRUE,ISNUMBER(SEARCH($S$2:$S$199, $A408)),0))=TRUE,"","미국 확인 필요")))</f>
        <v/>
      </c>
    </row>
    <row r="409" spans="3:4">
      <c r="C409" s="9" t="str" cm="1">
        <f t="array" ref="C409">IFERROR(IF(A409="","",IF(ISNUMBER(MATCH(TRUE,ISNUMBER(SEARCH($Q$2:$Q$51, $A409)),0))=TRUE,"United States of America",INDEX($S$2:$S$199,MATCH(TRUE,ISNUMBER(SEARCH($S$2:$S$199, $A409)),0)))),"United States of America")</f>
        <v/>
      </c>
      <c r="D409" s="9" t="str" cm="1">
        <f t="array" ref="D409">IF(A409="","",IF(ISNUMBER(MATCH(TRUE,ISNUMBER(SEARCH($Q$2:$Q$51, $A409)),0))=TRUE,"",IF(ISNUMBER(MATCH(TRUE,ISNUMBER(SEARCH($S$2:$S$199, $A409)),0))=TRUE,"","미국 확인 필요")))</f>
        <v/>
      </c>
    </row>
    <row r="410" spans="3:4">
      <c r="C410" s="9" t="str" cm="1">
        <f t="array" ref="C410">IFERROR(IF(A410="","",IF(ISNUMBER(MATCH(TRUE,ISNUMBER(SEARCH($Q$2:$Q$51, $A410)),0))=TRUE,"United States of America",INDEX($S$2:$S$199,MATCH(TRUE,ISNUMBER(SEARCH($S$2:$S$199, $A410)),0)))),"United States of America")</f>
        <v/>
      </c>
      <c r="D410" s="9" t="str" cm="1">
        <f t="array" ref="D410">IF(A410="","",IF(ISNUMBER(MATCH(TRUE,ISNUMBER(SEARCH($Q$2:$Q$51, $A410)),0))=TRUE,"",IF(ISNUMBER(MATCH(TRUE,ISNUMBER(SEARCH($S$2:$S$199, $A410)),0))=TRUE,"","미국 확인 필요")))</f>
        <v/>
      </c>
    </row>
    <row r="411" spans="3:4">
      <c r="C411" s="9" t="str" cm="1">
        <f t="array" ref="C411">IFERROR(IF(A411="","",IF(ISNUMBER(MATCH(TRUE,ISNUMBER(SEARCH($Q$2:$Q$51, $A411)),0))=TRUE,"United States of America",INDEX($S$2:$S$199,MATCH(TRUE,ISNUMBER(SEARCH($S$2:$S$199, $A411)),0)))),"United States of America")</f>
        <v/>
      </c>
      <c r="D411" s="9" t="str" cm="1">
        <f t="array" ref="D411">IF(A411="","",IF(ISNUMBER(MATCH(TRUE,ISNUMBER(SEARCH($Q$2:$Q$51, $A411)),0))=TRUE,"",IF(ISNUMBER(MATCH(TRUE,ISNUMBER(SEARCH($S$2:$S$199, $A411)),0))=TRUE,"","미국 확인 필요")))</f>
        <v/>
      </c>
    </row>
    <row r="412" spans="3:4">
      <c r="C412" s="9" t="str" cm="1">
        <f t="array" ref="C412">IFERROR(IF(A412="","",IF(ISNUMBER(MATCH(TRUE,ISNUMBER(SEARCH($Q$2:$Q$51, $A412)),0))=TRUE,"United States of America",INDEX($S$2:$S$199,MATCH(TRUE,ISNUMBER(SEARCH($S$2:$S$199, $A412)),0)))),"United States of America")</f>
        <v/>
      </c>
      <c r="D412" s="9" t="str" cm="1">
        <f t="array" ref="D412">IF(A412="","",IF(ISNUMBER(MATCH(TRUE,ISNUMBER(SEARCH($Q$2:$Q$51, $A412)),0))=TRUE,"",IF(ISNUMBER(MATCH(TRUE,ISNUMBER(SEARCH($S$2:$S$199, $A412)),0))=TRUE,"","미국 확인 필요")))</f>
        <v/>
      </c>
    </row>
    <row r="413" spans="3:4">
      <c r="C413" s="9" t="str" cm="1">
        <f t="array" ref="C413">IFERROR(IF(A413="","",IF(ISNUMBER(MATCH(TRUE,ISNUMBER(SEARCH($Q$2:$Q$51, $A413)),0))=TRUE,"United States of America",INDEX($S$2:$S$199,MATCH(TRUE,ISNUMBER(SEARCH($S$2:$S$199, $A413)),0)))),"United States of America")</f>
        <v/>
      </c>
      <c r="D413" s="9" t="str" cm="1">
        <f t="array" ref="D413">IF(A413="","",IF(ISNUMBER(MATCH(TRUE,ISNUMBER(SEARCH($Q$2:$Q$51, $A413)),0))=TRUE,"",IF(ISNUMBER(MATCH(TRUE,ISNUMBER(SEARCH($S$2:$S$199, $A413)),0))=TRUE,"","미국 확인 필요")))</f>
        <v/>
      </c>
    </row>
    <row r="414" spans="3:4">
      <c r="C414" s="9" t="str" cm="1">
        <f t="array" ref="C414">IFERROR(IF(A414="","",IF(ISNUMBER(MATCH(TRUE,ISNUMBER(SEARCH($Q$2:$Q$51, $A414)),0))=TRUE,"United States of America",INDEX($S$2:$S$199,MATCH(TRUE,ISNUMBER(SEARCH($S$2:$S$199, $A414)),0)))),"United States of America")</f>
        <v/>
      </c>
      <c r="D414" s="9" t="str" cm="1">
        <f t="array" ref="D414">IF(A414="","",IF(ISNUMBER(MATCH(TRUE,ISNUMBER(SEARCH($Q$2:$Q$51, $A414)),0))=TRUE,"",IF(ISNUMBER(MATCH(TRUE,ISNUMBER(SEARCH($S$2:$S$199, $A414)),0))=TRUE,"","미국 확인 필요")))</f>
        <v/>
      </c>
    </row>
    <row r="415" spans="3:4">
      <c r="C415" s="9" t="str" cm="1">
        <f t="array" ref="C415">IFERROR(IF(A415="","",IF(ISNUMBER(MATCH(TRUE,ISNUMBER(SEARCH($Q$2:$Q$51, $A415)),0))=TRUE,"United States of America",INDEX($S$2:$S$199,MATCH(TRUE,ISNUMBER(SEARCH($S$2:$S$199, $A415)),0)))),"United States of America")</f>
        <v/>
      </c>
      <c r="D415" s="9" t="str" cm="1">
        <f t="array" ref="D415">IF(A415="","",IF(ISNUMBER(MATCH(TRUE,ISNUMBER(SEARCH($Q$2:$Q$51, $A415)),0))=TRUE,"",IF(ISNUMBER(MATCH(TRUE,ISNUMBER(SEARCH($S$2:$S$199, $A415)),0))=TRUE,"","미국 확인 필요")))</f>
        <v/>
      </c>
    </row>
    <row r="416" spans="3:4">
      <c r="C416" s="9" t="str" cm="1">
        <f t="array" ref="C416">IFERROR(IF(A416="","",IF(ISNUMBER(MATCH(TRUE,ISNUMBER(SEARCH($Q$2:$Q$51, $A416)),0))=TRUE,"United States of America",INDEX($S$2:$S$199,MATCH(TRUE,ISNUMBER(SEARCH($S$2:$S$199, $A416)),0)))),"United States of America")</f>
        <v/>
      </c>
      <c r="D416" s="9" t="str" cm="1">
        <f t="array" ref="D416">IF(A416="","",IF(ISNUMBER(MATCH(TRUE,ISNUMBER(SEARCH($Q$2:$Q$51, $A416)),0))=TRUE,"",IF(ISNUMBER(MATCH(TRUE,ISNUMBER(SEARCH($S$2:$S$199, $A416)),0))=TRUE,"","미국 확인 필요")))</f>
        <v/>
      </c>
    </row>
    <row r="417" spans="3:4">
      <c r="C417" s="9" t="str" cm="1">
        <f t="array" ref="C417">IFERROR(IF(A417="","",IF(ISNUMBER(MATCH(TRUE,ISNUMBER(SEARCH($Q$2:$Q$51, $A417)),0))=TRUE,"United States of America",INDEX($S$2:$S$199,MATCH(TRUE,ISNUMBER(SEARCH($S$2:$S$199, $A417)),0)))),"United States of America")</f>
        <v/>
      </c>
      <c r="D417" s="9" t="str" cm="1">
        <f t="array" ref="D417">IF(A417="","",IF(ISNUMBER(MATCH(TRUE,ISNUMBER(SEARCH($Q$2:$Q$51, $A417)),0))=TRUE,"",IF(ISNUMBER(MATCH(TRUE,ISNUMBER(SEARCH($S$2:$S$199, $A417)),0))=TRUE,"","미국 확인 필요")))</f>
        <v/>
      </c>
    </row>
    <row r="418" spans="3:4">
      <c r="C418" s="9" t="str" cm="1">
        <f t="array" ref="C418">IFERROR(IF(A418="","",IF(ISNUMBER(MATCH(TRUE,ISNUMBER(SEARCH($Q$2:$Q$51, $A418)),0))=TRUE,"United States of America",INDEX($S$2:$S$199,MATCH(TRUE,ISNUMBER(SEARCH($S$2:$S$199, $A418)),0)))),"United States of America")</f>
        <v/>
      </c>
      <c r="D418" s="9" t="str" cm="1">
        <f t="array" ref="D418">IF(A418="","",IF(ISNUMBER(MATCH(TRUE,ISNUMBER(SEARCH($Q$2:$Q$51, $A418)),0))=TRUE,"",IF(ISNUMBER(MATCH(TRUE,ISNUMBER(SEARCH($S$2:$S$199, $A418)),0))=TRUE,"","미국 확인 필요")))</f>
        <v/>
      </c>
    </row>
    <row r="419" spans="3:4">
      <c r="C419" s="9" t="str" cm="1">
        <f t="array" ref="C419">IFERROR(IF(A419="","",IF(ISNUMBER(MATCH(TRUE,ISNUMBER(SEARCH($Q$2:$Q$51, $A419)),0))=TRUE,"United States of America",INDEX($S$2:$S$199,MATCH(TRUE,ISNUMBER(SEARCH($S$2:$S$199, $A419)),0)))),"United States of America")</f>
        <v/>
      </c>
      <c r="D419" s="9" t="str" cm="1">
        <f t="array" ref="D419">IF(A419="","",IF(ISNUMBER(MATCH(TRUE,ISNUMBER(SEARCH($Q$2:$Q$51, $A419)),0))=TRUE,"",IF(ISNUMBER(MATCH(TRUE,ISNUMBER(SEARCH($S$2:$S$199, $A419)),0))=TRUE,"","미국 확인 필요")))</f>
        <v/>
      </c>
    </row>
    <row r="420" spans="3:4">
      <c r="C420" s="9" t="str" cm="1">
        <f t="array" ref="C420">IFERROR(IF(A420="","",IF(ISNUMBER(MATCH(TRUE,ISNUMBER(SEARCH($Q$2:$Q$51, $A420)),0))=TRUE,"United States of America",INDEX($S$2:$S$199,MATCH(TRUE,ISNUMBER(SEARCH($S$2:$S$199, $A420)),0)))),"United States of America")</f>
        <v/>
      </c>
      <c r="D420" s="9" t="str" cm="1">
        <f t="array" ref="D420">IF(A420="","",IF(ISNUMBER(MATCH(TRUE,ISNUMBER(SEARCH($Q$2:$Q$51, $A420)),0))=TRUE,"",IF(ISNUMBER(MATCH(TRUE,ISNUMBER(SEARCH($S$2:$S$199, $A420)),0))=TRUE,"","미국 확인 필요")))</f>
        <v/>
      </c>
    </row>
    <row r="421" spans="3:4">
      <c r="C421" s="9" t="str" cm="1">
        <f t="array" ref="C421">IFERROR(IF(A421="","",IF(ISNUMBER(MATCH(TRUE,ISNUMBER(SEARCH($Q$2:$Q$51, $A421)),0))=TRUE,"United States of America",INDEX($S$2:$S$199,MATCH(TRUE,ISNUMBER(SEARCH($S$2:$S$199, $A421)),0)))),"United States of America")</f>
        <v/>
      </c>
      <c r="D421" s="9" t="str" cm="1">
        <f t="array" ref="D421">IF(A421="","",IF(ISNUMBER(MATCH(TRUE,ISNUMBER(SEARCH($Q$2:$Q$51, $A421)),0))=TRUE,"",IF(ISNUMBER(MATCH(TRUE,ISNUMBER(SEARCH($S$2:$S$199, $A421)),0))=TRUE,"","미국 확인 필요")))</f>
        <v/>
      </c>
    </row>
    <row r="422" spans="3:4">
      <c r="C422" s="9" t="str" cm="1">
        <f t="array" ref="C422">IFERROR(IF(A422="","",IF(ISNUMBER(MATCH(TRUE,ISNUMBER(SEARCH($Q$2:$Q$51, $A422)),0))=TRUE,"United States of America",INDEX($S$2:$S$199,MATCH(TRUE,ISNUMBER(SEARCH($S$2:$S$199, $A422)),0)))),"United States of America")</f>
        <v/>
      </c>
      <c r="D422" s="9" t="str" cm="1">
        <f t="array" ref="D422">IF(A422="","",IF(ISNUMBER(MATCH(TRUE,ISNUMBER(SEARCH($Q$2:$Q$51, $A422)),0))=TRUE,"",IF(ISNUMBER(MATCH(TRUE,ISNUMBER(SEARCH($S$2:$S$199, $A422)),0))=TRUE,"","미국 확인 필요")))</f>
        <v/>
      </c>
    </row>
    <row r="423" spans="3:4">
      <c r="C423" s="9" t="str" cm="1">
        <f t="array" ref="C423">IFERROR(IF(A423="","",IF(ISNUMBER(MATCH(TRUE,ISNUMBER(SEARCH($Q$2:$Q$51, $A423)),0))=TRUE,"United States of America",INDEX($S$2:$S$199,MATCH(TRUE,ISNUMBER(SEARCH($S$2:$S$199, $A423)),0)))),"United States of America")</f>
        <v/>
      </c>
      <c r="D423" s="9" t="str" cm="1">
        <f t="array" ref="D423">IF(A423="","",IF(ISNUMBER(MATCH(TRUE,ISNUMBER(SEARCH($Q$2:$Q$51, $A423)),0))=TRUE,"",IF(ISNUMBER(MATCH(TRUE,ISNUMBER(SEARCH($S$2:$S$199, $A423)),0))=TRUE,"","미국 확인 필요")))</f>
        <v/>
      </c>
    </row>
    <row r="424" spans="3:4">
      <c r="C424" s="9" t="str" cm="1">
        <f t="array" ref="C424">IFERROR(IF(A424="","",IF(ISNUMBER(MATCH(TRUE,ISNUMBER(SEARCH($Q$2:$Q$51, $A424)),0))=TRUE,"United States of America",INDEX($S$2:$S$199,MATCH(TRUE,ISNUMBER(SEARCH($S$2:$S$199, $A424)),0)))),"United States of America")</f>
        <v/>
      </c>
      <c r="D424" s="9" t="str" cm="1">
        <f t="array" ref="D424">IF(A424="","",IF(ISNUMBER(MATCH(TRUE,ISNUMBER(SEARCH($Q$2:$Q$51, $A424)),0))=TRUE,"",IF(ISNUMBER(MATCH(TRUE,ISNUMBER(SEARCH($S$2:$S$199, $A424)),0))=TRUE,"","미국 확인 필요")))</f>
        <v/>
      </c>
    </row>
    <row r="425" spans="3:4">
      <c r="C425" s="9" t="str" cm="1">
        <f t="array" ref="C425">IFERROR(IF(A425="","",IF(ISNUMBER(MATCH(TRUE,ISNUMBER(SEARCH($Q$2:$Q$51, $A425)),0))=TRUE,"United States of America",INDEX($S$2:$S$199,MATCH(TRUE,ISNUMBER(SEARCH($S$2:$S$199, $A425)),0)))),"United States of America")</f>
        <v/>
      </c>
      <c r="D425" s="9" t="str" cm="1">
        <f t="array" ref="D425">IF(A425="","",IF(ISNUMBER(MATCH(TRUE,ISNUMBER(SEARCH($Q$2:$Q$51, $A425)),0))=TRUE,"",IF(ISNUMBER(MATCH(TRUE,ISNUMBER(SEARCH($S$2:$S$199, $A425)),0))=TRUE,"","미국 확인 필요")))</f>
        <v/>
      </c>
    </row>
    <row r="426" spans="3:4">
      <c r="C426" s="9" t="str" cm="1">
        <f t="array" ref="C426">IFERROR(IF(A426="","",IF(ISNUMBER(MATCH(TRUE,ISNUMBER(SEARCH($Q$2:$Q$51, $A426)),0))=TRUE,"United States of America",INDEX($S$2:$S$199,MATCH(TRUE,ISNUMBER(SEARCH($S$2:$S$199, $A426)),0)))),"United States of America")</f>
        <v/>
      </c>
      <c r="D426" s="9" t="str" cm="1">
        <f t="array" ref="D426">IF(A426="","",IF(ISNUMBER(MATCH(TRUE,ISNUMBER(SEARCH($Q$2:$Q$51, $A426)),0))=TRUE,"",IF(ISNUMBER(MATCH(TRUE,ISNUMBER(SEARCH($S$2:$S$199, $A426)),0))=TRUE,"","미국 확인 필요")))</f>
        <v/>
      </c>
    </row>
    <row r="427" spans="3:4">
      <c r="C427" s="9" t="str" cm="1">
        <f t="array" ref="C427">IFERROR(IF(A427="","",IF(ISNUMBER(MATCH(TRUE,ISNUMBER(SEARCH($Q$2:$Q$51, $A427)),0))=TRUE,"United States of America",INDEX($S$2:$S$199,MATCH(TRUE,ISNUMBER(SEARCH($S$2:$S$199, $A427)),0)))),"United States of America")</f>
        <v/>
      </c>
      <c r="D427" s="9" t="str" cm="1">
        <f t="array" ref="D427">IF(A427="","",IF(ISNUMBER(MATCH(TRUE,ISNUMBER(SEARCH($Q$2:$Q$51, $A427)),0))=TRUE,"",IF(ISNUMBER(MATCH(TRUE,ISNUMBER(SEARCH($S$2:$S$199, $A427)),0))=TRUE,"","미국 확인 필요")))</f>
        <v/>
      </c>
    </row>
    <row r="428" spans="3:4">
      <c r="C428" s="9" t="str" cm="1">
        <f t="array" ref="C428">IFERROR(IF(A428="","",IF(ISNUMBER(MATCH(TRUE,ISNUMBER(SEARCH($Q$2:$Q$51, $A428)),0))=TRUE,"United States of America",INDEX($S$2:$S$199,MATCH(TRUE,ISNUMBER(SEARCH($S$2:$S$199, $A428)),0)))),"United States of America")</f>
        <v/>
      </c>
      <c r="D428" s="9" t="str" cm="1">
        <f t="array" ref="D428">IF(A428="","",IF(ISNUMBER(MATCH(TRUE,ISNUMBER(SEARCH($Q$2:$Q$51, $A428)),0))=TRUE,"",IF(ISNUMBER(MATCH(TRUE,ISNUMBER(SEARCH($S$2:$S$199, $A428)),0))=TRUE,"","미국 확인 필요")))</f>
        <v/>
      </c>
    </row>
    <row r="429" spans="3:4">
      <c r="C429" s="9" t="str" cm="1">
        <f t="array" ref="C429">IFERROR(IF(A429="","",IF(ISNUMBER(MATCH(TRUE,ISNUMBER(SEARCH($Q$2:$Q$51, $A429)),0))=TRUE,"United States of America",INDEX($S$2:$S$199,MATCH(TRUE,ISNUMBER(SEARCH($S$2:$S$199, $A429)),0)))),"United States of America")</f>
        <v/>
      </c>
      <c r="D429" s="9" t="str" cm="1">
        <f t="array" ref="D429">IF(A429="","",IF(ISNUMBER(MATCH(TRUE,ISNUMBER(SEARCH($Q$2:$Q$51, $A429)),0))=TRUE,"",IF(ISNUMBER(MATCH(TRUE,ISNUMBER(SEARCH($S$2:$S$199, $A429)),0))=TRUE,"","미국 확인 필요")))</f>
        <v/>
      </c>
    </row>
    <row r="430" spans="3:4">
      <c r="C430" s="9" t="str" cm="1">
        <f t="array" ref="C430">IFERROR(IF(A430="","",IF(ISNUMBER(MATCH(TRUE,ISNUMBER(SEARCH($Q$2:$Q$51, $A430)),0))=TRUE,"United States of America",INDEX($S$2:$S$199,MATCH(TRUE,ISNUMBER(SEARCH($S$2:$S$199, $A430)),0)))),"United States of America")</f>
        <v/>
      </c>
      <c r="D430" s="9" t="str" cm="1">
        <f t="array" ref="D430">IF(A430="","",IF(ISNUMBER(MATCH(TRUE,ISNUMBER(SEARCH($Q$2:$Q$51, $A430)),0))=TRUE,"",IF(ISNUMBER(MATCH(TRUE,ISNUMBER(SEARCH($S$2:$S$199, $A430)),0))=TRUE,"","미국 확인 필요")))</f>
        <v/>
      </c>
    </row>
    <row r="431" spans="3:4">
      <c r="C431" s="9" t="str" cm="1">
        <f t="array" ref="C431">IFERROR(IF(A431="","",IF(ISNUMBER(MATCH(TRUE,ISNUMBER(SEARCH($Q$2:$Q$51, $A431)),0))=TRUE,"United States of America",INDEX($S$2:$S$199,MATCH(TRUE,ISNUMBER(SEARCH($S$2:$S$199, $A431)),0)))),"United States of America")</f>
        <v/>
      </c>
      <c r="D431" s="9" t="str" cm="1">
        <f t="array" ref="D431">IF(A431="","",IF(ISNUMBER(MATCH(TRUE,ISNUMBER(SEARCH($Q$2:$Q$51, $A431)),0))=TRUE,"",IF(ISNUMBER(MATCH(TRUE,ISNUMBER(SEARCH($S$2:$S$199, $A431)),0))=TRUE,"","미국 확인 필요")))</f>
        <v/>
      </c>
    </row>
    <row r="432" spans="3:4">
      <c r="C432" s="9" t="str" cm="1">
        <f t="array" ref="C432">IFERROR(IF(A432="","",IF(ISNUMBER(MATCH(TRUE,ISNUMBER(SEARCH($Q$2:$Q$51, $A432)),0))=TRUE,"United States of America",INDEX($S$2:$S$199,MATCH(TRUE,ISNUMBER(SEARCH($S$2:$S$199, $A432)),0)))),"United States of America")</f>
        <v/>
      </c>
      <c r="D432" s="9" t="str" cm="1">
        <f t="array" ref="D432">IF(A432="","",IF(ISNUMBER(MATCH(TRUE,ISNUMBER(SEARCH($Q$2:$Q$51, $A432)),0))=TRUE,"",IF(ISNUMBER(MATCH(TRUE,ISNUMBER(SEARCH($S$2:$S$199, $A432)),0))=TRUE,"","미국 확인 필요")))</f>
        <v/>
      </c>
    </row>
    <row r="433" spans="3:4">
      <c r="C433" s="9" t="str" cm="1">
        <f t="array" ref="C433">IFERROR(IF(A433="","",IF(ISNUMBER(MATCH(TRUE,ISNUMBER(SEARCH($Q$2:$Q$51, $A433)),0))=TRUE,"United States of America",INDEX($S$2:$S$199,MATCH(TRUE,ISNUMBER(SEARCH($S$2:$S$199, $A433)),0)))),"United States of America")</f>
        <v/>
      </c>
      <c r="D433" s="9" t="str" cm="1">
        <f t="array" ref="D433">IF(A433="","",IF(ISNUMBER(MATCH(TRUE,ISNUMBER(SEARCH($Q$2:$Q$51, $A433)),0))=TRUE,"",IF(ISNUMBER(MATCH(TRUE,ISNUMBER(SEARCH($S$2:$S$199, $A433)),0))=TRUE,"","미국 확인 필요")))</f>
        <v/>
      </c>
    </row>
    <row r="434" spans="3:4">
      <c r="C434" s="9" t="str" cm="1">
        <f t="array" ref="C434">IFERROR(IF(A434="","",IF(ISNUMBER(MATCH(TRUE,ISNUMBER(SEARCH($Q$2:$Q$51, $A434)),0))=TRUE,"United States of America",INDEX($S$2:$S$199,MATCH(TRUE,ISNUMBER(SEARCH($S$2:$S$199, $A434)),0)))),"United States of America")</f>
        <v/>
      </c>
      <c r="D434" s="9" t="str" cm="1">
        <f t="array" ref="D434">IF(A434="","",IF(ISNUMBER(MATCH(TRUE,ISNUMBER(SEARCH($Q$2:$Q$51, $A434)),0))=TRUE,"",IF(ISNUMBER(MATCH(TRUE,ISNUMBER(SEARCH($S$2:$S$199, $A434)),0))=TRUE,"","미국 확인 필요")))</f>
        <v/>
      </c>
    </row>
    <row r="435" spans="3:4">
      <c r="C435" s="9" t="str" cm="1">
        <f t="array" ref="C435">IFERROR(IF(A435="","",IF(ISNUMBER(MATCH(TRUE,ISNUMBER(SEARCH($Q$2:$Q$51, $A435)),0))=TRUE,"United States of America",INDEX($S$2:$S$199,MATCH(TRUE,ISNUMBER(SEARCH($S$2:$S$199, $A435)),0)))),"United States of America")</f>
        <v/>
      </c>
      <c r="D435" s="9" t="str" cm="1">
        <f t="array" ref="D435">IF(A435="","",IF(ISNUMBER(MATCH(TRUE,ISNUMBER(SEARCH($Q$2:$Q$51, $A435)),0))=TRUE,"",IF(ISNUMBER(MATCH(TRUE,ISNUMBER(SEARCH($S$2:$S$199, $A435)),0))=TRUE,"","미국 확인 필요")))</f>
        <v/>
      </c>
    </row>
    <row r="436" spans="3:4">
      <c r="C436" s="9" t="str" cm="1">
        <f t="array" ref="C436">IFERROR(IF(A436="","",IF(ISNUMBER(MATCH(TRUE,ISNUMBER(SEARCH($Q$2:$Q$51, $A436)),0))=TRUE,"United States of America",INDEX($S$2:$S$199,MATCH(TRUE,ISNUMBER(SEARCH($S$2:$S$199, $A436)),0)))),"United States of America")</f>
        <v/>
      </c>
      <c r="D436" s="9" t="str" cm="1">
        <f t="array" ref="D436">IF(A436="","",IF(ISNUMBER(MATCH(TRUE,ISNUMBER(SEARCH($Q$2:$Q$51, $A436)),0))=TRUE,"",IF(ISNUMBER(MATCH(TRUE,ISNUMBER(SEARCH($S$2:$S$199, $A436)),0))=TRUE,"","미국 확인 필요")))</f>
        <v/>
      </c>
    </row>
    <row r="437" spans="3:4">
      <c r="C437" s="9" t="str" cm="1">
        <f t="array" ref="C437">IFERROR(IF(A437="","",IF(ISNUMBER(MATCH(TRUE,ISNUMBER(SEARCH($Q$2:$Q$51, $A437)),0))=TRUE,"United States of America",INDEX($S$2:$S$199,MATCH(TRUE,ISNUMBER(SEARCH($S$2:$S$199, $A437)),0)))),"United States of America")</f>
        <v/>
      </c>
      <c r="D437" s="9" t="str" cm="1">
        <f t="array" ref="D437">IF(A437="","",IF(ISNUMBER(MATCH(TRUE,ISNUMBER(SEARCH($Q$2:$Q$51, $A437)),0))=TRUE,"",IF(ISNUMBER(MATCH(TRUE,ISNUMBER(SEARCH($S$2:$S$199, $A437)),0))=TRUE,"","미국 확인 필요")))</f>
        <v/>
      </c>
    </row>
    <row r="438" spans="3:4">
      <c r="C438" s="9" t="str" cm="1">
        <f t="array" ref="C438">IFERROR(IF(A438="","",IF(ISNUMBER(MATCH(TRUE,ISNUMBER(SEARCH($Q$2:$Q$51, $A438)),0))=TRUE,"United States of America",INDEX($S$2:$S$199,MATCH(TRUE,ISNUMBER(SEARCH($S$2:$S$199, $A438)),0)))),"United States of America")</f>
        <v/>
      </c>
      <c r="D438" s="9" t="str" cm="1">
        <f t="array" ref="D438">IF(A438="","",IF(ISNUMBER(MATCH(TRUE,ISNUMBER(SEARCH($Q$2:$Q$51, $A438)),0))=TRUE,"",IF(ISNUMBER(MATCH(TRUE,ISNUMBER(SEARCH($S$2:$S$199, $A438)),0))=TRUE,"","미국 확인 필요")))</f>
        <v/>
      </c>
    </row>
    <row r="439" spans="3:4">
      <c r="C439" s="9" t="str" cm="1">
        <f t="array" ref="C439">IFERROR(IF(A439="","",IF(ISNUMBER(MATCH(TRUE,ISNUMBER(SEARCH($Q$2:$Q$51, $A439)),0))=TRUE,"United States of America",INDEX($S$2:$S$199,MATCH(TRUE,ISNUMBER(SEARCH($S$2:$S$199, $A439)),0)))),"United States of America")</f>
        <v/>
      </c>
      <c r="D439" s="9" t="str" cm="1">
        <f t="array" ref="D439">IF(A439="","",IF(ISNUMBER(MATCH(TRUE,ISNUMBER(SEARCH($Q$2:$Q$51, $A439)),0))=TRUE,"",IF(ISNUMBER(MATCH(TRUE,ISNUMBER(SEARCH($S$2:$S$199, $A439)),0))=TRUE,"","미국 확인 필요")))</f>
        <v/>
      </c>
    </row>
    <row r="440" spans="3:4">
      <c r="C440" s="9" t="str" cm="1">
        <f t="array" ref="C440">IFERROR(IF(A440="","",IF(ISNUMBER(MATCH(TRUE,ISNUMBER(SEARCH($Q$2:$Q$51, $A440)),0))=TRUE,"United States of America",INDEX($S$2:$S$199,MATCH(TRUE,ISNUMBER(SEARCH($S$2:$S$199, $A440)),0)))),"United States of America")</f>
        <v/>
      </c>
      <c r="D440" s="9" t="str" cm="1">
        <f t="array" ref="D440">IF(A440="","",IF(ISNUMBER(MATCH(TRUE,ISNUMBER(SEARCH($Q$2:$Q$51, $A440)),0))=TRUE,"",IF(ISNUMBER(MATCH(TRUE,ISNUMBER(SEARCH($S$2:$S$199, $A440)),0))=TRUE,"","미국 확인 필요")))</f>
        <v/>
      </c>
    </row>
    <row r="441" spans="3:4">
      <c r="C441" s="9" t="str" cm="1">
        <f t="array" ref="C441">IFERROR(IF(A441="","",IF(ISNUMBER(MATCH(TRUE,ISNUMBER(SEARCH($Q$2:$Q$51, $A441)),0))=TRUE,"United States of America",INDEX($S$2:$S$199,MATCH(TRUE,ISNUMBER(SEARCH($S$2:$S$199, $A441)),0)))),"United States of America")</f>
        <v/>
      </c>
      <c r="D441" s="9" t="str" cm="1">
        <f t="array" ref="D441">IF(A441="","",IF(ISNUMBER(MATCH(TRUE,ISNUMBER(SEARCH($Q$2:$Q$51, $A441)),0))=TRUE,"",IF(ISNUMBER(MATCH(TRUE,ISNUMBER(SEARCH($S$2:$S$199, $A441)),0))=TRUE,"","미국 확인 필요")))</f>
        <v/>
      </c>
    </row>
    <row r="442" spans="3:4">
      <c r="C442" s="9" t="str" cm="1">
        <f t="array" ref="C442">IFERROR(IF(A442="","",IF(ISNUMBER(MATCH(TRUE,ISNUMBER(SEARCH($Q$2:$Q$51, $A442)),0))=TRUE,"United States of America",INDEX($S$2:$S$199,MATCH(TRUE,ISNUMBER(SEARCH($S$2:$S$199, $A442)),0)))),"United States of America")</f>
        <v/>
      </c>
      <c r="D442" s="9" t="str" cm="1">
        <f t="array" ref="D442">IF(A442="","",IF(ISNUMBER(MATCH(TRUE,ISNUMBER(SEARCH($Q$2:$Q$51, $A442)),0))=TRUE,"",IF(ISNUMBER(MATCH(TRUE,ISNUMBER(SEARCH($S$2:$S$199, $A442)),0))=TRUE,"","미국 확인 필요")))</f>
        <v/>
      </c>
    </row>
    <row r="443" spans="3:4">
      <c r="C443" s="9" t="str" cm="1">
        <f t="array" ref="C443">IFERROR(IF(A443="","",IF(ISNUMBER(MATCH(TRUE,ISNUMBER(SEARCH($Q$2:$Q$51, $A443)),0))=TRUE,"United States of America",INDEX($S$2:$S$199,MATCH(TRUE,ISNUMBER(SEARCH($S$2:$S$199, $A443)),0)))),"United States of America")</f>
        <v/>
      </c>
      <c r="D443" s="9" t="str" cm="1">
        <f t="array" ref="D443">IF(A443="","",IF(ISNUMBER(MATCH(TRUE,ISNUMBER(SEARCH($Q$2:$Q$51, $A443)),0))=TRUE,"",IF(ISNUMBER(MATCH(TRUE,ISNUMBER(SEARCH($S$2:$S$199, $A443)),0))=TRUE,"","미국 확인 필요")))</f>
        <v/>
      </c>
    </row>
    <row r="444" spans="3:4">
      <c r="C444" s="9" t="str" cm="1">
        <f t="array" ref="C444">IFERROR(IF(A444="","",IF(ISNUMBER(MATCH(TRUE,ISNUMBER(SEARCH($Q$2:$Q$51, $A444)),0))=TRUE,"United States of America",INDEX($S$2:$S$199,MATCH(TRUE,ISNUMBER(SEARCH($S$2:$S$199, $A444)),0)))),"United States of America")</f>
        <v/>
      </c>
      <c r="D444" s="9" t="str" cm="1">
        <f t="array" ref="D444">IF(A444="","",IF(ISNUMBER(MATCH(TRUE,ISNUMBER(SEARCH($Q$2:$Q$51, $A444)),0))=TRUE,"",IF(ISNUMBER(MATCH(TRUE,ISNUMBER(SEARCH($S$2:$S$199, $A444)),0))=TRUE,"","미국 확인 필요")))</f>
        <v/>
      </c>
    </row>
    <row r="445" spans="3:4">
      <c r="C445" s="9" t="str" cm="1">
        <f t="array" ref="C445">IFERROR(IF(A445="","",IF(ISNUMBER(MATCH(TRUE,ISNUMBER(SEARCH($Q$2:$Q$51, $A445)),0))=TRUE,"United States of America",INDEX($S$2:$S$199,MATCH(TRUE,ISNUMBER(SEARCH($S$2:$S$199, $A445)),0)))),"United States of America")</f>
        <v/>
      </c>
      <c r="D445" s="9" t="str" cm="1">
        <f t="array" ref="D445">IF(A445="","",IF(ISNUMBER(MATCH(TRUE,ISNUMBER(SEARCH($Q$2:$Q$51, $A445)),0))=TRUE,"",IF(ISNUMBER(MATCH(TRUE,ISNUMBER(SEARCH($S$2:$S$199, $A445)),0))=TRUE,"","미국 확인 필요")))</f>
        <v/>
      </c>
    </row>
    <row r="446" spans="3:4">
      <c r="C446" s="9" t="str" cm="1">
        <f t="array" ref="C446">IFERROR(IF(A446="","",IF(ISNUMBER(MATCH(TRUE,ISNUMBER(SEARCH($Q$2:$Q$51, $A446)),0))=TRUE,"United States of America",INDEX($S$2:$S$199,MATCH(TRUE,ISNUMBER(SEARCH($S$2:$S$199, $A446)),0)))),"United States of America")</f>
        <v/>
      </c>
      <c r="D446" s="9" t="str" cm="1">
        <f t="array" ref="D446">IF(A446="","",IF(ISNUMBER(MATCH(TRUE,ISNUMBER(SEARCH($Q$2:$Q$51, $A446)),0))=TRUE,"",IF(ISNUMBER(MATCH(TRUE,ISNUMBER(SEARCH($S$2:$S$199, $A446)),0))=TRUE,"","미국 확인 필요")))</f>
        <v/>
      </c>
    </row>
    <row r="447" spans="3:4">
      <c r="C447" s="9" t="str" cm="1">
        <f t="array" ref="C447">IFERROR(IF(A447="","",IF(ISNUMBER(MATCH(TRUE,ISNUMBER(SEARCH($Q$2:$Q$51, $A447)),0))=TRUE,"United States of America",INDEX($S$2:$S$199,MATCH(TRUE,ISNUMBER(SEARCH($S$2:$S$199, $A447)),0)))),"United States of America")</f>
        <v/>
      </c>
      <c r="D447" s="9" t="str" cm="1">
        <f t="array" ref="D447">IF(A447="","",IF(ISNUMBER(MATCH(TRUE,ISNUMBER(SEARCH($Q$2:$Q$51, $A447)),0))=TRUE,"",IF(ISNUMBER(MATCH(TRUE,ISNUMBER(SEARCH($S$2:$S$199, $A447)),0))=TRUE,"","미국 확인 필요")))</f>
        <v/>
      </c>
    </row>
    <row r="448" spans="3:4">
      <c r="C448" s="9" t="str" cm="1">
        <f t="array" ref="C448">IFERROR(IF(A448="","",IF(ISNUMBER(MATCH(TRUE,ISNUMBER(SEARCH($Q$2:$Q$51, $A448)),0))=TRUE,"United States of America",INDEX($S$2:$S$199,MATCH(TRUE,ISNUMBER(SEARCH($S$2:$S$199, $A448)),0)))),"United States of America")</f>
        <v/>
      </c>
      <c r="D448" s="9" t="str" cm="1">
        <f t="array" ref="D448">IF(A448="","",IF(ISNUMBER(MATCH(TRUE,ISNUMBER(SEARCH($Q$2:$Q$51, $A448)),0))=TRUE,"",IF(ISNUMBER(MATCH(TRUE,ISNUMBER(SEARCH($S$2:$S$199, $A448)),0))=TRUE,"","미국 확인 필요")))</f>
        <v/>
      </c>
    </row>
    <row r="449" spans="3:4">
      <c r="C449" s="9" t="str" cm="1">
        <f t="array" ref="C449">IFERROR(IF(A449="","",IF(ISNUMBER(MATCH(TRUE,ISNUMBER(SEARCH($Q$2:$Q$51, $A449)),0))=TRUE,"United States of America",INDEX($S$2:$S$199,MATCH(TRUE,ISNUMBER(SEARCH($S$2:$S$199, $A449)),0)))),"United States of America")</f>
        <v/>
      </c>
      <c r="D449" s="9" t="str" cm="1">
        <f t="array" ref="D449">IF(A449="","",IF(ISNUMBER(MATCH(TRUE,ISNUMBER(SEARCH($Q$2:$Q$51, $A449)),0))=TRUE,"",IF(ISNUMBER(MATCH(TRUE,ISNUMBER(SEARCH($S$2:$S$199, $A449)),0))=TRUE,"","미국 확인 필요")))</f>
        <v/>
      </c>
    </row>
    <row r="450" spans="3:4">
      <c r="C450" s="9" t="str" cm="1">
        <f t="array" ref="C450">IFERROR(IF(A450="","",IF(ISNUMBER(MATCH(TRUE,ISNUMBER(SEARCH($Q$2:$Q$51, $A450)),0))=TRUE,"United States of America",INDEX($S$2:$S$199,MATCH(TRUE,ISNUMBER(SEARCH($S$2:$S$199, $A450)),0)))),"United States of America")</f>
        <v/>
      </c>
      <c r="D450" s="9" t="str" cm="1">
        <f t="array" ref="D450">IF(A450="","",IF(ISNUMBER(MATCH(TRUE,ISNUMBER(SEARCH($Q$2:$Q$51, $A450)),0))=TRUE,"",IF(ISNUMBER(MATCH(TRUE,ISNUMBER(SEARCH($S$2:$S$199, $A450)),0))=TRUE,"","미국 확인 필요")))</f>
        <v/>
      </c>
    </row>
    <row r="451" spans="3:4">
      <c r="C451" s="9" t="str" cm="1">
        <f t="array" ref="C451">IFERROR(IF(A451="","",IF(ISNUMBER(MATCH(TRUE,ISNUMBER(SEARCH($Q$2:$Q$51, $A451)),0))=TRUE,"United States of America",INDEX($S$2:$S$199,MATCH(TRUE,ISNUMBER(SEARCH($S$2:$S$199, $A451)),0)))),"United States of America")</f>
        <v/>
      </c>
      <c r="D451" s="9" t="str" cm="1">
        <f t="array" ref="D451">IF(A451="","",IF(ISNUMBER(MATCH(TRUE,ISNUMBER(SEARCH($Q$2:$Q$51, $A451)),0))=TRUE,"",IF(ISNUMBER(MATCH(TRUE,ISNUMBER(SEARCH($S$2:$S$199, $A451)),0))=TRUE,"","미국 확인 필요")))</f>
        <v/>
      </c>
    </row>
    <row r="452" spans="3:4">
      <c r="C452" s="9" t="str" cm="1">
        <f t="array" ref="C452">IFERROR(IF(A452="","",IF(ISNUMBER(MATCH(TRUE,ISNUMBER(SEARCH($Q$2:$Q$51, $A452)),0))=TRUE,"United States of America",INDEX($S$2:$S$199,MATCH(TRUE,ISNUMBER(SEARCH($S$2:$S$199, $A452)),0)))),"United States of America")</f>
        <v/>
      </c>
      <c r="D452" s="9" t="str" cm="1">
        <f t="array" ref="D452">IF(A452="","",IF(ISNUMBER(MATCH(TRUE,ISNUMBER(SEARCH($Q$2:$Q$51, $A452)),0))=TRUE,"",IF(ISNUMBER(MATCH(TRUE,ISNUMBER(SEARCH($S$2:$S$199, $A452)),0))=TRUE,"","미국 확인 필요")))</f>
        <v/>
      </c>
    </row>
    <row r="453" spans="3:4">
      <c r="C453" s="9" t="str" cm="1">
        <f t="array" ref="C453">IFERROR(IF(A453="","",IF(ISNUMBER(MATCH(TRUE,ISNUMBER(SEARCH($Q$2:$Q$51, $A453)),0))=TRUE,"United States of America",INDEX($S$2:$S$199,MATCH(TRUE,ISNUMBER(SEARCH($S$2:$S$199, $A453)),0)))),"United States of America")</f>
        <v/>
      </c>
      <c r="D453" s="9" t="str" cm="1">
        <f t="array" ref="D453">IF(A453="","",IF(ISNUMBER(MATCH(TRUE,ISNUMBER(SEARCH($Q$2:$Q$51, $A453)),0))=TRUE,"",IF(ISNUMBER(MATCH(TRUE,ISNUMBER(SEARCH($S$2:$S$199, $A453)),0))=TRUE,"","미국 확인 필요")))</f>
        <v/>
      </c>
    </row>
    <row r="454" spans="3:4">
      <c r="C454" s="9" t="str" cm="1">
        <f t="array" ref="C454">IFERROR(IF(A454="","",IF(ISNUMBER(MATCH(TRUE,ISNUMBER(SEARCH($Q$2:$Q$51, $A454)),0))=TRUE,"United States of America",INDEX($S$2:$S$199,MATCH(TRUE,ISNUMBER(SEARCH($S$2:$S$199, $A454)),0)))),"United States of America")</f>
        <v/>
      </c>
      <c r="D454" s="9" t="str" cm="1">
        <f t="array" ref="D454">IF(A454="","",IF(ISNUMBER(MATCH(TRUE,ISNUMBER(SEARCH($Q$2:$Q$51, $A454)),0))=TRUE,"",IF(ISNUMBER(MATCH(TRUE,ISNUMBER(SEARCH($S$2:$S$199, $A454)),0))=TRUE,"","미국 확인 필요")))</f>
        <v/>
      </c>
    </row>
    <row r="455" spans="3:4">
      <c r="C455" s="9" t="str" cm="1">
        <f t="array" ref="C455">IFERROR(IF(A455="","",IF(ISNUMBER(MATCH(TRUE,ISNUMBER(SEARCH($Q$2:$Q$51, $A455)),0))=TRUE,"United States of America",INDEX($S$2:$S$199,MATCH(TRUE,ISNUMBER(SEARCH($S$2:$S$199, $A455)),0)))),"United States of America")</f>
        <v/>
      </c>
      <c r="D455" s="9" t="str" cm="1">
        <f t="array" ref="D455">IF(A455="","",IF(ISNUMBER(MATCH(TRUE,ISNUMBER(SEARCH($Q$2:$Q$51, $A455)),0))=TRUE,"",IF(ISNUMBER(MATCH(TRUE,ISNUMBER(SEARCH($S$2:$S$199, $A455)),0))=TRUE,"","미국 확인 필요")))</f>
        <v/>
      </c>
    </row>
    <row r="456" spans="3:4">
      <c r="C456" s="9" t="str" cm="1">
        <f t="array" ref="C456">IFERROR(IF(A456="","",IF(ISNUMBER(MATCH(TRUE,ISNUMBER(SEARCH($Q$2:$Q$51, $A456)),0))=TRUE,"United States of America",INDEX($S$2:$S$199,MATCH(TRUE,ISNUMBER(SEARCH($S$2:$S$199, $A456)),0)))),"United States of America")</f>
        <v/>
      </c>
      <c r="D456" s="9" t="str" cm="1">
        <f t="array" ref="D456">IF(A456="","",IF(ISNUMBER(MATCH(TRUE,ISNUMBER(SEARCH($Q$2:$Q$51, $A456)),0))=TRUE,"",IF(ISNUMBER(MATCH(TRUE,ISNUMBER(SEARCH($S$2:$S$199, $A456)),0))=TRUE,"","미국 확인 필요")))</f>
        <v/>
      </c>
    </row>
    <row r="457" spans="3:4">
      <c r="C457" s="9" t="str" cm="1">
        <f t="array" ref="C457">IFERROR(IF(A457="","",IF(ISNUMBER(MATCH(TRUE,ISNUMBER(SEARCH($Q$2:$Q$51, $A457)),0))=TRUE,"United States of America",INDEX($S$2:$S$199,MATCH(TRUE,ISNUMBER(SEARCH($S$2:$S$199, $A457)),0)))),"United States of America")</f>
        <v/>
      </c>
      <c r="D457" s="9" t="str" cm="1">
        <f t="array" ref="D457">IF(A457="","",IF(ISNUMBER(MATCH(TRUE,ISNUMBER(SEARCH($Q$2:$Q$51, $A457)),0))=TRUE,"",IF(ISNUMBER(MATCH(TRUE,ISNUMBER(SEARCH($S$2:$S$199, $A457)),0))=TRUE,"","미국 확인 필요")))</f>
        <v/>
      </c>
    </row>
    <row r="458" spans="3:4">
      <c r="C458" s="9" t="str" cm="1">
        <f t="array" ref="C458">IFERROR(IF(A458="","",IF(ISNUMBER(MATCH(TRUE,ISNUMBER(SEARCH($Q$2:$Q$51, $A458)),0))=TRUE,"United States of America",INDEX($S$2:$S$199,MATCH(TRUE,ISNUMBER(SEARCH($S$2:$S$199, $A458)),0)))),"United States of America")</f>
        <v/>
      </c>
      <c r="D458" s="9" t="str" cm="1">
        <f t="array" ref="D458">IF(A458="","",IF(ISNUMBER(MATCH(TRUE,ISNUMBER(SEARCH($Q$2:$Q$51, $A458)),0))=TRUE,"",IF(ISNUMBER(MATCH(TRUE,ISNUMBER(SEARCH($S$2:$S$199, $A458)),0))=TRUE,"","미국 확인 필요")))</f>
        <v/>
      </c>
    </row>
    <row r="459" spans="3:4">
      <c r="C459" s="9" t="str" cm="1">
        <f t="array" ref="C459">IFERROR(IF(A459="","",IF(ISNUMBER(MATCH(TRUE,ISNUMBER(SEARCH($Q$2:$Q$51, $A459)),0))=TRUE,"United States of America",INDEX($S$2:$S$199,MATCH(TRUE,ISNUMBER(SEARCH($S$2:$S$199, $A459)),0)))),"United States of America")</f>
        <v/>
      </c>
      <c r="D459" s="9" t="str" cm="1">
        <f t="array" ref="D459">IF(A459="","",IF(ISNUMBER(MATCH(TRUE,ISNUMBER(SEARCH($Q$2:$Q$51, $A459)),0))=TRUE,"",IF(ISNUMBER(MATCH(TRUE,ISNUMBER(SEARCH($S$2:$S$199, $A459)),0))=TRUE,"","미국 확인 필요")))</f>
        <v/>
      </c>
    </row>
    <row r="460" spans="3:4">
      <c r="C460" s="9" t="str" cm="1">
        <f t="array" ref="C460">IFERROR(IF(A460="","",IF(ISNUMBER(MATCH(TRUE,ISNUMBER(SEARCH($Q$2:$Q$51, $A460)),0))=TRUE,"United States of America",INDEX($S$2:$S$199,MATCH(TRUE,ISNUMBER(SEARCH($S$2:$S$199, $A460)),0)))),"United States of America")</f>
        <v/>
      </c>
      <c r="D460" s="9" t="str" cm="1">
        <f t="array" ref="D460">IF(A460="","",IF(ISNUMBER(MATCH(TRUE,ISNUMBER(SEARCH($Q$2:$Q$51, $A460)),0))=TRUE,"",IF(ISNUMBER(MATCH(TRUE,ISNUMBER(SEARCH($S$2:$S$199, $A460)),0))=TRUE,"","미국 확인 필요")))</f>
        <v/>
      </c>
    </row>
    <row r="461" spans="3:4">
      <c r="C461" s="9" t="str" cm="1">
        <f t="array" ref="C461">IFERROR(IF(A461="","",IF(ISNUMBER(MATCH(TRUE,ISNUMBER(SEARCH($Q$2:$Q$51, $A461)),0))=TRUE,"United States of America",INDEX($S$2:$S$199,MATCH(TRUE,ISNUMBER(SEARCH($S$2:$S$199, $A461)),0)))),"United States of America")</f>
        <v/>
      </c>
      <c r="D461" s="9" t="str" cm="1">
        <f t="array" ref="D461">IF(A461="","",IF(ISNUMBER(MATCH(TRUE,ISNUMBER(SEARCH($Q$2:$Q$51, $A461)),0))=TRUE,"",IF(ISNUMBER(MATCH(TRUE,ISNUMBER(SEARCH($S$2:$S$199, $A461)),0))=TRUE,"","미국 확인 필요")))</f>
        <v/>
      </c>
    </row>
    <row r="462" spans="3:4">
      <c r="C462" s="9" t="str" cm="1">
        <f t="array" ref="C462">IFERROR(IF(A462="","",IF(ISNUMBER(MATCH(TRUE,ISNUMBER(SEARCH($Q$2:$Q$51, $A462)),0))=TRUE,"United States of America",INDEX($S$2:$S$199,MATCH(TRUE,ISNUMBER(SEARCH($S$2:$S$199, $A462)),0)))),"United States of America")</f>
        <v/>
      </c>
      <c r="D462" s="9" t="str" cm="1">
        <f t="array" ref="D462">IF(A462="","",IF(ISNUMBER(MATCH(TRUE,ISNUMBER(SEARCH($Q$2:$Q$51, $A462)),0))=TRUE,"",IF(ISNUMBER(MATCH(TRUE,ISNUMBER(SEARCH($S$2:$S$199, $A462)),0))=TRUE,"","미국 확인 필요")))</f>
        <v/>
      </c>
    </row>
    <row r="463" spans="3:4">
      <c r="C463" s="9" t="str" cm="1">
        <f t="array" ref="C463">IFERROR(IF(A463="","",IF(ISNUMBER(MATCH(TRUE,ISNUMBER(SEARCH($Q$2:$Q$51, $A463)),0))=TRUE,"United States of America",INDEX($S$2:$S$199,MATCH(TRUE,ISNUMBER(SEARCH($S$2:$S$199, $A463)),0)))),"United States of America")</f>
        <v/>
      </c>
      <c r="D463" s="9" t="str" cm="1">
        <f t="array" ref="D463">IF(A463="","",IF(ISNUMBER(MATCH(TRUE,ISNUMBER(SEARCH($Q$2:$Q$51, $A463)),0))=TRUE,"",IF(ISNUMBER(MATCH(TRUE,ISNUMBER(SEARCH($S$2:$S$199, $A463)),0))=TRUE,"","미국 확인 필요")))</f>
        <v/>
      </c>
    </row>
    <row r="464" spans="3:4">
      <c r="C464" s="9" t="str" cm="1">
        <f t="array" ref="C464">IFERROR(IF(A464="","",IF(ISNUMBER(MATCH(TRUE,ISNUMBER(SEARCH($Q$2:$Q$51, $A464)),0))=TRUE,"United States of America",INDEX($S$2:$S$199,MATCH(TRUE,ISNUMBER(SEARCH($S$2:$S$199, $A464)),0)))),"United States of America")</f>
        <v/>
      </c>
      <c r="D464" s="9" t="str" cm="1">
        <f t="array" ref="D464">IF(A464="","",IF(ISNUMBER(MATCH(TRUE,ISNUMBER(SEARCH($Q$2:$Q$51, $A464)),0))=TRUE,"",IF(ISNUMBER(MATCH(TRUE,ISNUMBER(SEARCH($S$2:$S$199, $A464)),0))=TRUE,"","미국 확인 필요")))</f>
        <v/>
      </c>
    </row>
    <row r="465" spans="3:4">
      <c r="C465" s="9" t="str" cm="1">
        <f t="array" ref="C465">IFERROR(IF(A465="","",IF(ISNUMBER(MATCH(TRUE,ISNUMBER(SEARCH($Q$2:$Q$51, $A465)),0))=TRUE,"United States of America",INDEX($S$2:$S$199,MATCH(TRUE,ISNUMBER(SEARCH($S$2:$S$199, $A465)),0)))),"United States of America")</f>
        <v/>
      </c>
      <c r="D465" s="9" t="str" cm="1">
        <f t="array" ref="D465">IF(A465="","",IF(ISNUMBER(MATCH(TRUE,ISNUMBER(SEARCH($Q$2:$Q$51, $A465)),0))=TRUE,"",IF(ISNUMBER(MATCH(TRUE,ISNUMBER(SEARCH($S$2:$S$199, $A465)),0))=TRUE,"","미국 확인 필요")))</f>
        <v/>
      </c>
    </row>
    <row r="466" spans="3:4">
      <c r="C466" s="9" t="str" cm="1">
        <f t="array" ref="C466">IFERROR(IF(A466="","",IF(ISNUMBER(MATCH(TRUE,ISNUMBER(SEARCH($Q$2:$Q$51, $A466)),0))=TRUE,"United States of America",INDEX($S$2:$S$199,MATCH(TRUE,ISNUMBER(SEARCH($S$2:$S$199, $A466)),0)))),"United States of America")</f>
        <v/>
      </c>
      <c r="D466" s="9" t="str" cm="1">
        <f t="array" ref="D466">IF(A466="","",IF(ISNUMBER(MATCH(TRUE,ISNUMBER(SEARCH($Q$2:$Q$51, $A466)),0))=TRUE,"",IF(ISNUMBER(MATCH(TRUE,ISNUMBER(SEARCH($S$2:$S$199, $A466)),0))=TRUE,"","미국 확인 필요")))</f>
        <v/>
      </c>
    </row>
    <row r="467" spans="3:4">
      <c r="C467" s="9" t="str" cm="1">
        <f t="array" ref="C467">IFERROR(IF(A467="","",IF(ISNUMBER(MATCH(TRUE,ISNUMBER(SEARCH($Q$2:$Q$51, $A467)),0))=TRUE,"United States of America",INDEX($S$2:$S$199,MATCH(TRUE,ISNUMBER(SEARCH($S$2:$S$199, $A467)),0)))),"United States of America")</f>
        <v/>
      </c>
      <c r="D467" s="9" t="str" cm="1">
        <f t="array" ref="D467">IF(A467="","",IF(ISNUMBER(MATCH(TRUE,ISNUMBER(SEARCH($Q$2:$Q$51, $A467)),0))=TRUE,"",IF(ISNUMBER(MATCH(TRUE,ISNUMBER(SEARCH($S$2:$S$199, $A467)),0))=TRUE,"","미국 확인 필요")))</f>
        <v/>
      </c>
    </row>
    <row r="468" spans="3:4">
      <c r="C468" s="9" t="str" cm="1">
        <f t="array" ref="C468">IFERROR(IF(A468="","",IF(ISNUMBER(MATCH(TRUE,ISNUMBER(SEARCH($Q$2:$Q$51, $A468)),0))=TRUE,"United States of America",INDEX($S$2:$S$199,MATCH(TRUE,ISNUMBER(SEARCH($S$2:$S$199, $A468)),0)))),"United States of America")</f>
        <v/>
      </c>
      <c r="D468" s="9" t="str" cm="1">
        <f t="array" ref="D468">IF(A468="","",IF(ISNUMBER(MATCH(TRUE,ISNUMBER(SEARCH($Q$2:$Q$51, $A468)),0))=TRUE,"",IF(ISNUMBER(MATCH(TRUE,ISNUMBER(SEARCH($S$2:$S$199, $A468)),0))=TRUE,"","미국 확인 필요")))</f>
        <v/>
      </c>
    </row>
    <row r="469" spans="3:4">
      <c r="C469" s="9" t="str" cm="1">
        <f t="array" ref="C469">IFERROR(IF(A469="","",IF(ISNUMBER(MATCH(TRUE,ISNUMBER(SEARCH($Q$2:$Q$51, $A469)),0))=TRUE,"United States of America",INDEX($S$2:$S$199,MATCH(TRUE,ISNUMBER(SEARCH($S$2:$S$199, $A469)),0)))),"United States of America")</f>
        <v/>
      </c>
      <c r="D469" s="9" t="str" cm="1">
        <f t="array" ref="D469">IF(A469="","",IF(ISNUMBER(MATCH(TRUE,ISNUMBER(SEARCH($Q$2:$Q$51, $A469)),0))=TRUE,"",IF(ISNUMBER(MATCH(TRUE,ISNUMBER(SEARCH($S$2:$S$199, $A469)),0))=TRUE,"","미국 확인 필요")))</f>
        <v/>
      </c>
    </row>
    <row r="470" spans="3:4">
      <c r="C470" s="9" t="str" cm="1">
        <f t="array" ref="C470">IFERROR(IF(A470="","",IF(ISNUMBER(MATCH(TRUE,ISNUMBER(SEARCH($Q$2:$Q$51, $A470)),0))=TRUE,"United States of America",INDEX($S$2:$S$199,MATCH(TRUE,ISNUMBER(SEARCH($S$2:$S$199, $A470)),0)))),"United States of America")</f>
        <v/>
      </c>
      <c r="D470" s="9" t="str" cm="1">
        <f t="array" ref="D470">IF(A470="","",IF(ISNUMBER(MATCH(TRUE,ISNUMBER(SEARCH($Q$2:$Q$51, $A470)),0))=TRUE,"",IF(ISNUMBER(MATCH(TRUE,ISNUMBER(SEARCH($S$2:$S$199, $A470)),0))=TRUE,"","미국 확인 필요")))</f>
        <v/>
      </c>
    </row>
    <row r="471" spans="3:4">
      <c r="C471" s="9" t="str" cm="1">
        <f t="array" ref="C471">IFERROR(IF(A471="","",IF(ISNUMBER(MATCH(TRUE,ISNUMBER(SEARCH($Q$2:$Q$51, $A471)),0))=TRUE,"United States of America",INDEX($S$2:$S$199,MATCH(TRUE,ISNUMBER(SEARCH($S$2:$S$199, $A471)),0)))),"United States of America")</f>
        <v/>
      </c>
      <c r="D471" s="9" t="str" cm="1">
        <f t="array" ref="D471">IF(A471="","",IF(ISNUMBER(MATCH(TRUE,ISNUMBER(SEARCH($Q$2:$Q$51, $A471)),0))=TRUE,"",IF(ISNUMBER(MATCH(TRUE,ISNUMBER(SEARCH($S$2:$S$199, $A471)),0))=TRUE,"","미국 확인 필요")))</f>
        <v/>
      </c>
    </row>
    <row r="472" spans="3:4">
      <c r="C472" s="9" t="str" cm="1">
        <f t="array" ref="C472">IFERROR(IF(A472="","",IF(ISNUMBER(MATCH(TRUE,ISNUMBER(SEARCH($Q$2:$Q$51, $A472)),0))=TRUE,"United States of America",INDEX($S$2:$S$199,MATCH(TRUE,ISNUMBER(SEARCH($S$2:$S$199, $A472)),0)))),"United States of America")</f>
        <v/>
      </c>
      <c r="D472" s="9" t="str" cm="1">
        <f t="array" ref="D472">IF(A472="","",IF(ISNUMBER(MATCH(TRUE,ISNUMBER(SEARCH($Q$2:$Q$51, $A472)),0))=TRUE,"",IF(ISNUMBER(MATCH(TRUE,ISNUMBER(SEARCH($S$2:$S$199, $A472)),0))=TRUE,"","미국 확인 필요")))</f>
        <v/>
      </c>
    </row>
    <row r="473" spans="3:4">
      <c r="C473" s="9" t="str" cm="1">
        <f t="array" ref="C473">IFERROR(IF(A473="","",IF(ISNUMBER(MATCH(TRUE,ISNUMBER(SEARCH($Q$2:$Q$51, $A473)),0))=TRUE,"United States of America",INDEX($S$2:$S$199,MATCH(TRUE,ISNUMBER(SEARCH($S$2:$S$199, $A473)),0)))),"United States of America")</f>
        <v/>
      </c>
      <c r="D473" s="9" t="str" cm="1">
        <f t="array" ref="D473">IF(A473="","",IF(ISNUMBER(MATCH(TRUE,ISNUMBER(SEARCH($Q$2:$Q$51, $A473)),0))=TRUE,"",IF(ISNUMBER(MATCH(TRUE,ISNUMBER(SEARCH($S$2:$S$199, $A473)),0))=TRUE,"","미국 확인 필요")))</f>
        <v/>
      </c>
    </row>
    <row r="474" spans="3:4">
      <c r="C474" s="9" t="str" cm="1">
        <f t="array" ref="C474">IFERROR(IF(A474="","",IF(ISNUMBER(MATCH(TRUE,ISNUMBER(SEARCH($Q$2:$Q$51, $A474)),0))=TRUE,"United States of America",INDEX($S$2:$S$199,MATCH(TRUE,ISNUMBER(SEARCH($S$2:$S$199, $A474)),0)))),"United States of America")</f>
        <v/>
      </c>
      <c r="D474" s="9" t="str" cm="1">
        <f t="array" ref="D474">IF(A474="","",IF(ISNUMBER(MATCH(TRUE,ISNUMBER(SEARCH($Q$2:$Q$51, $A474)),0))=TRUE,"",IF(ISNUMBER(MATCH(TRUE,ISNUMBER(SEARCH($S$2:$S$199, $A474)),0))=TRUE,"","미국 확인 필요")))</f>
        <v/>
      </c>
    </row>
    <row r="475" spans="3:4">
      <c r="C475" s="9" t="str" cm="1">
        <f t="array" ref="C475">IFERROR(IF(A475="","",IF(ISNUMBER(MATCH(TRUE,ISNUMBER(SEARCH($Q$2:$Q$51, $A475)),0))=TRUE,"United States of America",INDEX($S$2:$S$199,MATCH(TRUE,ISNUMBER(SEARCH($S$2:$S$199, $A475)),0)))),"United States of America")</f>
        <v/>
      </c>
      <c r="D475" s="9" t="str" cm="1">
        <f t="array" ref="D475">IF(A475="","",IF(ISNUMBER(MATCH(TRUE,ISNUMBER(SEARCH($Q$2:$Q$51, $A475)),0))=TRUE,"",IF(ISNUMBER(MATCH(TRUE,ISNUMBER(SEARCH($S$2:$S$199, $A475)),0))=TRUE,"","미국 확인 필요")))</f>
        <v/>
      </c>
    </row>
    <row r="476" spans="3:4">
      <c r="C476" s="9" t="str" cm="1">
        <f t="array" ref="C476">IFERROR(IF(A476="","",IF(ISNUMBER(MATCH(TRUE,ISNUMBER(SEARCH($Q$2:$Q$51, $A476)),0))=TRUE,"United States of America",INDEX($S$2:$S$199,MATCH(TRUE,ISNUMBER(SEARCH($S$2:$S$199, $A476)),0)))),"United States of America")</f>
        <v/>
      </c>
      <c r="D476" s="9" t="str" cm="1">
        <f t="array" ref="D476">IF(A476="","",IF(ISNUMBER(MATCH(TRUE,ISNUMBER(SEARCH($Q$2:$Q$51, $A476)),0))=TRUE,"",IF(ISNUMBER(MATCH(TRUE,ISNUMBER(SEARCH($S$2:$S$199, $A476)),0))=TRUE,"","미국 확인 필요")))</f>
        <v/>
      </c>
    </row>
    <row r="477" spans="3:4">
      <c r="C477" s="9" t="str" cm="1">
        <f t="array" ref="C477">IFERROR(IF(A477="","",IF(ISNUMBER(MATCH(TRUE,ISNUMBER(SEARCH($Q$2:$Q$51, $A477)),0))=TRUE,"United States of America",INDEX($S$2:$S$199,MATCH(TRUE,ISNUMBER(SEARCH($S$2:$S$199, $A477)),0)))),"United States of America")</f>
        <v/>
      </c>
      <c r="D477" s="9" t="str" cm="1">
        <f t="array" ref="D477">IF(A477="","",IF(ISNUMBER(MATCH(TRUE,ISNUMBER(SEARCH($Q$2:$Q$51, $A477)),0))=TRUE,"",IF(ISNUMBER(MATCH(TRUE,ISNUMBER(SEARCH($S$2:$S$199, $A477)),0))=TRUE,"","미국 확인 필요")))</f>
        <v/>
      </c>
    </row>
    <row r="478" spans="3:4">
      <c r="C478" s="9" t="str" cm="1">
        <f t="array" ref="C478">IFERROR(IF(A478="","",IF(ISNUMBER(MATCH(TRUE,ISNUMBER(SEARCH($Q$2:$Q$51, $A478)),0))=TRUE,"United States of America",INDEX($S$2:$S$199,MATCH(TRUE,ISNUMBER(SEARCH($S$2:$S$199, $A478)),0)))),"United States of America")</f>
        <v/>
      </c>
      <c r="D478" s="9" t="str" cm="1">
        <f t="array" ref="D478">IF(A478="","",IF(ISNUMBER(MATCH(TRUE,ISNUMBER(SEARCH($Q$2:$Q$51, $A478)),0))=TRUE,"",IF(ISNUMBER(MATCH(TRUE,ISNUMBER(SEARCH($S$2:$S$199, $A478)),0))=TRUE,"","미국 확인 필요")))</f>
        <v/>
      </c>
    </row>
    <row r="479" spans="3:4">
      <c r="C479" s="9" t="str" cm="1">
        <f t="array" ref="C479">IFERROR(IF(A479="","",IF(ISNUMBER(MATCH(TRUE,ISNUMBER(SEARCH($Q$2:$Q$51, $A479)),0))=TRUE,"United States of America",INDEX($S$2:$S$199,MATCH(TRUE,ISNUMBER(SEARCH($S$2:$S$199, $A479)),0)))),"United States of America")</f>
        <v/>
      </c>
      <c r="D479" s="9" t="str" cm="1">
        <f t="array" ref="D479">IF(A479="","",IF(ISNUMBER(MATCH(TRUE,ISNUMBER(SEARCH($Q$2:$Q$51, $A479)),0))=TRUE,"",IF(ISNUMBER(MATCH(TRUE,ISNUMBER(SEARCH($S$2:$S$199, $A479)),0))=TRUE,"","미국 확인 필요")))</f>
        <v/>
      </c>
    </row>
    <row r="480" spans="3:4">
      <c r="C480" s="9" t="str" cm="1">
        <f t="array" ref="C480">IFERROR(IF(A480="","",IF(ISNUMBER(MATCH(TRUE,ISNUMBER(SEARCH($Q$2:$Q$51, $A480)),0))=TRUE,"United States of America",INDEX($S$2:$S$199,MATCH(TRUE,ISNUMBER(SEARCH($S$2:$S$199, $A480)),0)))),"United States of America")</f>
        <v/>
      </c>
      <c r="D480" s="9" t="str" cm="1">
        <f t="array" ref="D480">IF(A480="","",IF(ISNUMBER(MATCH(TRUE,ISNUMBER(SEARCH($Q$2:$Q$51, $A480)),0))=TRUE,"",IF(ISNUMBER(MATCH(TRUE,ISNUMBER(SEARCH($S$2:$S$199, $A480)),0))=TRUE,"","미국 확인 필요")))</f>
        <v/>
      </c>
    </row>
    <row r="481" spans="3:4">
      <c r="C481" s="9" t="str" cm="1">
        <f t="array" ref="C481">IFERROR(IF(A481="","",IF(ISNUMBER(MATCH(TRUE,ISNUMBER(SEARCH($Q$2:$Q$51, $A481)),0))=TRUE,"United States of America",INDEX($S$2:$S$199,MATCH(TRUE,ISNUMBER(SEARCH($S$2:$S$199, $A481)),0)))),"United States of America")</f>
        <v/>
      </c>
      <c r="D481" s="9" t="str" cm="1">
        <f t="array" ref="D481">IF(A481="","",IF(ISNUMBER(MATCH(TRUE,ISNUMBER(SEARCH($Q$2:$Q$51, $A481)),0))=TRUE,"",IF(ISNUMBER(MATCH(TRUE,ISNUMBER(SEARCH($S$2:$S$199, $A481)),0))=TRUE,"","미국 확인 필요")))</f>
        <v/>
      </c>
    </row>
    <row r="482" spans="3:4">
      <c r="C482" s="9" t="str" cm="1">
        <f t="array" ref="C482">IFERROR(IF(A482="","",IF(ISNUMBER(MATCH(TRUE,ISNUMBER(SEARCH($Q$2:$Q$51, $A482)),0))=TRUE,"United States of America",INDEX($S$2:$S$199,MATCH(TRUE,ISNUMBER(SEARCH($S$2:$S$199, $A482)),0)))),"United States of America")</f>
        <v/>
      </c>
      <c r="D482" s="9" t="str" cm="1">
        <f t="array" ref="D482">IF(A482="","",IF(ISNUMBER(MATCH(TRUE,ISNUMBER(SEARCH($Q$2:$Q$51, $A482)),0))=TRUE,"",IF(ISNUMBER(MATCH(TRUE,ISNUMBER(SEARCH($S$2:$S$199, $A482)),0))=TRUE,"","미국 확인 필요")))</f>
        <v/>
      </c>
    </row>
    <row r="483" spans="3:4">
      <c r="C483" s="9" t="str" cm="1">
        <f t="array" ref="C483">IFERROR(IF(A483="","",IF(ISNUMBER(MATCH(TRUE,ISNUMBER(SEARCH($Q$2:$Q$51, $A483)),0))=TRUE,"United States of America",INDEX($S$2:$S$199,MATCH(TRUE,ISNUMBER(SEARCH($S$2:$S$199, $A483)),0)))),"United States of America")</f>
        <v/>
      </c>
      <c r="D483" s="9" t="str" cm="1">
        <f t="array" ref="D483">IF(A483="","",IF(ISNUMBER(MATCH(TRUE,ISNUMBER(SEARCH($Q$2:$Q$51, $A483)),0))=TRUE,"",IF(ISNUMBER(MATCH(TRUE,ISNUMBER(SEARCH($S$2:$S$199, $A483)),0))=TRUE,"","미국 확인 필요")))</f>
        <v/>
      </c>
    </row>
    <row r="484" spans="3:4">
      <c r="C484" s="9" t="str" cm="1">
        <f t="array" ref="C484">IFERROR(IF(A484="","",IF(ISNUMBER(MATCH(TRUE,ISNUMBER(SEARCH($Q$2:$Q$51, $A484)),0))=TRUE,"United States of America",INDEX($S$2:$S$199,MATCH(TRUE,ISNUMBER(SEARCH($S$2:$S$199, $A484)),0)))),"United States of America")</f>
        <v/>
      </c>
      <c r="D484" s="9" t="str" cm="1">
        <f t="array" ref="D484">IF(A484="","",IF(ISNUMBER(MATCH(TRUE,ISNUMBER(SEARCH($Q$2:$Q$51, $A484)),0))=TRUE,"",IF(ISNUMBER(MATCH(TRUE,ISNUMBER(SEARCH($S$2:$S$199, $A484)),0))=TRUE,"","미국 확인 필요")))</f>
        <v/>
      </c>
    </row>
    <row r="485" spans="3:4">
      <c r="C485" s="9" t="str" cm="1">
        <f t="array" ref="C485">IFERROR(IF(A485="","",IF(ISNUMBER(MATCH(TRUE,ISNUMBER(SEARCH($Q$2:$Q$51, $A485)),0))=TRUE,"United States of America",INDEX($S$2:$S$199,MATCH(TRUE,ISNUMBER(SEARCH($S$2:$S$199, $A485)),0)))),"United States of America")</f>
        <v/>
      </c>
      <c r="D485" s="9" t="str" cm="1">
        <f t="array" ref="D485">IF(A485="","",IF(ISNUMBER(MATCH(TRUE,ISNUMBER(SEARCH($Q$2:$Q$51, $A485)),0))=TRUE,"",IF(ISNUMBER(MATCH(TRUE,ISNUMBER(SEARCH($S$2:$S$199, $A485)),0))=TRUE,"","미국 확인 필요")))</f>
        <v/>
      </c>
    </row>
    <row r="486" spans="3:4">
      <c r="C486" s="9" t="str" cm="1">
        <f t="array" ref="C486">IFERROR(IF(A486="","",IF(ISNUMBER(MATCH(TRUE,ISNUMBER(SEARCH($Q$2:$Q$51, $A486)),0))=TRUE,"United States of America",INDEX($S$2:$S$199,MATCH(TRUE,ISNUMBER(SEARCH($S$2:$S$199, $A486)),0)))),"United States of America")</f>
        <v/>
      </c>
      <c r="D486" s="9" t="str" cm="1">
        <f t="array" ref="D486">IF(A486="","",IF(ISNUMBER(MATCH(TRUE,ISNUMBER(SEARCH($Q$2:$Q$51, $A486)),0))=TRUE,"",IF(ISNUMBER(MATCH(TRUE,ISNUMBER(SEARCH($S$2:$S$199, $A486)),0))=TRUE,"","미국 확인 필요")))</f>
        <v/>
      </c>
    </row>
    <row r="487" spans="3:4">
      <c r="C487" s="9" t="str" cm="1">
        <f t="array" ref="C487">IFERROR(IF(A487="","",IF(ISNUMBER(MATCH(TRUE,ISNUMBER(SEARCH($Q$2:$Q$51, $A487)),0))=TRUE,"United States of America",INDEX($S$2:$S$199,MATCH(TRUE,ISNUMBER(SEARCH($S$2:$S$199, $A487)),0)))),"United States of America")</f>
        <v/>
      </c>
      <c r="D487" s="9" t="str" cm="1">
        <f t="array" ref="D487">IF(A487="","",IF(ISNUMBER(MATCH(TRUE,ISNUMBER(SEARCH($Q$2:$Q$51, $A487)),0))=TRUE,"",IF(ISNUMBER(MATCH(TRUE,ISNUMBER(SEARCH($S$2:$S$199, $A487)),0))=TRUE,"","미국 확인 필요")))</f>
        <v/>
      </c>
    </row>
    <row r="488" spans="3:4">
      <c r="C488" s="9" t="str" cm="1">
        <f t="array" ref="C488">IFERROR(IF(A488="","",IF(ISNUMBER(MATCH(TRUE,ISNUMBER(SEARCH($Q$2:$Q$51, $A488)),0))=TRUE,"United States of America",INDEX($S$2:$S$199,MATCH(TRUE,ISNUMBER(SEARCH($S$2:$S$199, $A488)),0)))),"United States of America")</f>
        <v/>
      </c>
      <c r="D488" s="9" t="str" cm="1">
        <f t="array" ref="D488">IF(A488="","",IF(ISNUMBER(MATCH(TRUE,ISNUMBER(SEARCH($Q$2:$Q$51, $A488)),0))=TRUE,"",IF(ISNUMBER(MATCH(TRUE,ISNUMBER(SEARCH($S$2:$S$199, $A488)),0))=TRUE,"","미국 확인 필요")))</f>
        <v/>
      </c>
    </row>
    <row r="489" spans="3:4">
      <c r="C489" s="9" t="str" cm="1">
        <f t="array" ref="C489">IFERROR(IF(A489="","",IF(ISNUMBER(MATCH(TRUE,ISNUMBER(SEARCH($Q$2:$Q$51, $A489)),0))=TRUE,"United States of America",INDEX($S$2:$S$199,MATCH(TRUE,ISNUMBER(SEARCH($S$2:$S$199, $A489)),0)))),"United States of America")</f>
        <v/>
      </c>
      <c r="D489" s="9" t="str" cm="1">
        <f t="array" ref="D489">IF(A489="","",IF(ISNUMBER(MATCH(TRUE,ISNUMBER(SEARCH($Q$2:$Q$51, $A489)),0))=TRUE,"",IF(ISNUMBER(MATCH(TRUE,ISNUMBER(SEARCH($S$2:$S$199, $A489)),0))=TRUE,"","미국 확인 필요")))</f>
        <v/>
      </c>
    </row>
    <row r="490" spans="3:4">
      <c r="C490" s="9" t="str" cm="1">
        <f t="array" ref="C490">IFERROR(IF(A490="","",IF(ISNUMBER(MATCH(TRUE,ISNUMBER(SEARCH($Q$2:$Q$51, $A490)),0))=TRUE,"United States of America",INDEX($S$2:$S$199,MATCH(TRUE,ISNUMBER(SEARCH($S$2:$S$199, $A490)),0)))),"United States of America")</f>
        <v/>
      </c>
      <c r="D490" s="9" t="str" cm="1">
        <f t="array" ref="D490">IF(A490="","",IF(ISNUMBER(MATCH(TRUE,ISNUMBER(SEARCH($Q$2:$Q$51, $A490)),0))=TRUE,"",IF(ISNUMBER(MATCH(TRUE,ISNUMBER(SEARCH($S$2:$S$199, $A490)),0))=TRUE,"","미국 확인 필요")))</f>
        <v/>
      </c>
    </row>
    <row r="491" spans="3:4">
      <c r="C491" s="9" t="str" cm="1">
        <f t="array" ref="C491">IFERROR(IF(A491="","",IF(ISNUMBER(MATCH(TRUE,ISNUMBER(SEARCH($Q$2:$Q$51, $A491)),0))=TRUE,"United States of America",INDEX($S$2:$S$199,MATCH(TRUE,ISNUMBER(SEARCH($S$2:$S$199, $A491)),0)))),"United States of America")</f>
        <v/>
      </c>
      <c r="D491" s="9" t="str" cm="1">
        <f t="array" ref="D491">IF(A491="","",IF(ISNUMBER(MATCH(TRUE,ISNUMBER(SEARCH($Q$2:$Q$51, $A491)),0))=TRUE,"",IF(ISNUMBER(MATCH(TRUE,ISNUMBER(SEARCH($S$2:$S$199, $A491)),0))=TRUE,"","미국 확인 필요")))</f>
        <v/>
      </c>
    </row>
    <row r="492" spans="3:4">
      <c r="C492" s="9" t="str" cm="1">
        <f t="array" ref="C492">IFERROR(IF(A492="","",IF(ISNUMBER(MATCH(TRUE,ISNUMBER(SEARCH($Q$2:$Q$51, $A492)),0))=TRUE,"United States of America",INDEX($S$2:$S$199,MATCH(TRUE,ISNUMBER(SEARCH($S$2:$S$199, $A492)),0)))),"United States of America")</f>
        <v/>
      </c>
      <c r="D492" s="9" t="str" cm="1">
        <f t="array" ref="D492">IF(A492="","",IF(ISNUMBER(MATCH(TRUE,ISNUMBER(SEARCH($Q$2:$Q$51, $A492)),0))=TRUE,"",IF(ISNUMBER(MATCH(TRUE,ISNUMBER(SEARCH($S$2:$S$199, $A492)),0))=TRUE,"","미국 확인 필요")))</f>
        <v/>
      </c>
    </row>
    <row r="493" spans="3:4">
      <c r="C493" s="9" t="str" cm="1">
        <f t="array" ref="C493">IFERROR(IF(A493="","",IF(ISNUMBER(MATCH(TRUE,ISNUMBER(SEARCH($Q$2:$Q$51, $A493)),0))=TRUE,"United States of America",INDEX($S$2:$S$199,MATCH(TRUE,ISNUMBER(SEARCH($S$2:$S$199, $A493)),0)))),"United States of America")</f>
        <v/>
      </c>
      <c r="D493" s="9" t="str" cm="1">
        <f t="array" ref="D493">IF(A493="","",IF(ISNUMBER(MATCH(TRUE,ISNUMBER(SEARCH($Q$2:$Q$51, $A493)),0))=TRUE,"",IF(ISNUMBER(MATCH(TRUE,ISNUMBER(SEARCH($S$2:$S$199, $A493)),0))=TRUE,"","미국 확인 필요")))</f>
        <v/>
      </c>
    </row>
    <row r="494" spans="3:4">
      <c r="C494" s="9" t="str" cm="1">
        <f t="array" ref="C494">IFERROR(IF(A494="","",IF(ISNUMBER(MATCH(TRUE,ISNUMBER(SEARCH($Q$2:$Q$51, $A494)),0))=TRUE,"United States of America",INDEX($S$2:$S$199,MATCH(TRUE,ISNUMBER(SEARCH($S$2:$S$199, $A494)),0)))),"United States of America")</f>
        <v/>
      </c>
      <c r="D494" s="9" t="str" cm="1">
        <f t="array" ref="D494">IF(A494="","",IF(ISNUMBER(MATCH(TRUE,ISNUMBER(SEARCH($Q$2:$Q$51, $A494)),0))=TRUE,"",IF(ISNUMBER(MATCH(TRUE,ISNUMBER(SEARCH($S$2:$S$199, $A494)),0))=TRUE,"","미국 확인 필요")))</f>
        <v/>
      </c>
    </row>
    <row r="495" spans="3:4">
      <c r="C495" s="9" t="str" cm="1">
        <f t="array" ref="C495">IFERROR(IF(A495="","",IF(ISNUMBER(MATCH(TRUE,ISNUMBER(SEARCH($Q$2:$Q$51, $A495)),0))=TRUE,"United States of America",INDEX($S$2:$S$199,MATCH(TRUE,ISNUMBER(SEARCH($S$2:$S$199, $A495)),0)))),"United States of America")</f>
        <v/>
      </c>
      <c r="D495" s="9" t="str" cm="1">
        <f t="array" ref="D495">IF(A495="","",IF(ISNUMBER(MATCH(TRUE,ISNUMBER(SEARCH($Q$2:$Q$51, $A495)),0))=TRUE,"",IF(ISNUMBER(MATCH(TRUE,ISNUMBER(SEARCH($S$2:$S$199, $A495)),0))=TRUE,"","미국 확인 필요")))</f>
        <v/>
      </c>
    </row>
    <row r="496" spans="3:4">
      <c r="C496" s="9" t="str" cm="1">
        <f t="array" ref="C496">IFERROR(IF(A496="","",IF(ISNUMBER(MATCH(TRUE,ISNUMBER(SEARCH($Q$2:$Q$51, $A496)),0))=TRUE,"United States of America",INDEX($S$2:$S$199,MATCH(TRUE,ISNUMBER(SEARCH($S$2:$S$199, $A496)),0)))),"United States of America")</f>
        <v/>
      </c>
      <c r="D496" s="9" t="str" cm="1">
        <f t="array" ref="D496">IF(A496="","",IF(ISNUMBER(MATCH(TRUE,ISNUMBER(SEARCH($Q$2:$Q$51, $A496)),0))=TRUE,"",IF(ISNUMBER(MATCH(TRUE,ISNUMBER(SEARCH($S$2:$S$199, $A496)),0))=TRUE,"","미국 확인 필요")))</f>
        <v/>
      </c>
    </row>
    <row r="497" spans="3:4">
      <c r="C497" s="9" t="str" cm="1">
        <f t="array" ref="C497">IFERROR(IF(A497="","",IF(ISNUMBER(MATCH(TRUE,ISNUMBER(SEARCH($Q$2:$Q$51, $A497)),0))=TRUE,"United States of America",INDEX($S$2:$S$199,MATCH(TRUE,ISNUMBER(SEARCH($S$2:$S$199, $A497)),0)))),"United States of America")</f>
        <v/>
      </c>
      <c r="D497" s="9" t="str" cm="1">
        <f t="array" ref="D497">IF(A497="","",IF(ISNUMBER(MATCH(TRUE,ISNUMBER(SEARCH($Q$2:$Q$51, $A497)),0))=TRUE,"",IF(ISNUMBER(MATCH(TRUE,ISNUMBER(SEARCH($S$2:$S$199, $A497)),0))=TRUE,"","미국 확인 필요")))</f>
        <v/>
      </c>
    </row>
    <row r="498" spans="3:4">
      <c r="C498" s="9" t="str" cm="1">
        <f t="array" ref="C498">IFERROR(IF(A498="","",IF(ISNUMBER(MATCH(TRUE,ISNUMBER(SEARCH($Q$2:$Q$51, $A498)),0))=TRUE,"United States of America",INDEX($S$2:$S$199,MATCH(TRUE,ISNUMBER(SEARCH($S$2:$S$199, $A498)),0)))),"United States of America")</f>
        <v/>
      </c>
      <c r="D498" s="9" t="str" cm="1">
        <f t="array" ref="D498">IF(A498="","",IF(ISNUMBER(MATCH(TRUE,ISNUMBER(SEARCH($Q$2:$Q$51, $A498)),0))=TRUE,"",IF(ISNUMBER(MATCH(TRUE,ISNUMBER(SEARCH($S$2:$S$199, $A498)),0))=TRUE,"","미국 확인 필요")))</f>
        <v/>
      </c>
    </row>
    <row r="499" spans="3:4">
      <c r="C499" s="9" t="str" cm="1">
        <f t="array" ref="C499">IFERROR(IF(A499="","",IF(ISNUMBER(MATCH(TRUE,ISNUMBER(SEARCH($Q$2:$Q$51, $A499)),0))=TRUE,"United States of America",INDEX($S$2:$S$199,MATCH(TRUE,ISNUMBER(SEARCH($S$2:$S$199, $A499)),0)))),"United States of America")</f>
        <v/>
      </c>
      <c r="D499" s="9" t="str" cm="1">
        <f t="array" ref="D499">IF(A499="","",IF(ISNUMBER(MATCH(TRUE,ISNUMBER(SEARCH($Q$2:$Q$51, $A499)),0))=TRUE,"",IF(ISNUMBER(MATCH(TRUE,ISNUMBER(SEARCH($S$2:$S$199, $A499)),0))=TRUE,"","미국 확인 필요")))</f>
        <v/>
      </c>
    </row>
    <row r="500" spans="3:4">
      <c r="C500" s="9" t="str" cm="1">
        <f t="array" ref="C500">IFERROR(IF(A500="","",IF(ISNUMBER(MATCH(TRUE,ISNUMBER(SEARCH($Q$2:$Q$51, $A500)),0))=TRUE,"United States of America",INDEX($S$2:$S$199,MATCH(TRUE,ISNUMBER(SEARCH($S$2:$S$199, $A500)),0)))),"United States of America")</f>
        <v/>
      </c>
      <c r="D500" s="9" t="str" cm="1">
        <f t="array" ref="D500">IF(A500="","",IF(ISNUMBER(MATCH(TRUE,ISNUMBER(SEARCH($Q$2:$Q$51, $A500)),0))=TRUE,"",IF(ISNUMBER(MATCH(TRUE,ISNUMBER(SEARCH($S$2:$S$199, $A500)),0))=TRUE,"","미국 확인 필요")))</f>
        <v/>
      </c>
    </row>
  </sheetData>
  <mergeCells count="4">
    <mergeCell ref="L15:M15"/>
    <mergeCell ref="L33:M33"/>
    <mergeCell ref="L21:N21"/>
    <mergeCell ref="L3:N3"/>
  </mergeCells>
  <phoneticPr fontId="2" type="noConversion"/>
  <conditionalFormatting sqref="S1:S1048576">
    <cfRule type="duplicateValues" dxfId="0" priority="1"/>
  </conditionalFormatting>
  <pageMargins left="0.7" right="0.7" top="0.75" bottom="0.75" header="0.3" footer="0.3"/>
  <ignoredErrors>
    <ignoredError sqref="W2:W206"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2EE6-C332-4872-918E-4B68E287071D}">
  <sheetPr codeName="Sheet8">
    <tabColor theme="9" tint="0.79998168889431442"/>
  </sheetPr>
  <dimension ref="A1:AA98"/>
  <sheetViews>
    <sheetView zoomScaleNormal="100" workbookViewId="0">
      <selection activeCell="AC14" sqref="AC14"/>
    </sheetView>
  </sheetViews>
  <sheetFormatPr defaultRowHeight="16.5"/>
  <cols>
    <col min="1" max="1" width="10.625" customWidth="1"/>
    <col min="11" max="11" width="11.125" bestFit="1" customWidth="1"/>
    <col min="14" max="14" width="7.625" customWidth="1"/>
    <col min="15" max="15" width="22.75" bestFit="1" customWidth="1"/>
    <col min="16" max="17" width="17.625" customWidth="1"/>
    <col min="18" max="18" width="18.75" customWidth="1"/>
    <col min="19" max="19" width="17" customWidth="1"/>
    <col min="21" max="21" width="9.25" customWidth="1"/>
    <col min="23" max="27" width="9.25" customWidth="1"/>
  </cols>
  <sheetData>
    <row r="1" spans="1:27">
      <c r="A1" s="2" t="s">
        <v>1106</v>
      </c>
      <c r="B1" s="2" t="s">
        <v>1047</v>
      </c>
      <c r="C1" s="2"/>
      <c r="D1" s="2"/>
      <c r="E1" s="2"/>
      <c r="F1" s="2"/>
      <c r="G1" s="2"/>
      <c r="H1" s="2"/>
      <c r="K1" s="3"/>
    </row>
    <row r="2" spans="1:27">
      <c r="A2" s="2" t="s">
        <v>929</v>
      </c>
      <c r="B2" s="2" t="s">
        <v>930</v>
      </c>
      <c r="C2" s="2" t="s">
        <v>177</v>
      </c>
      <c r="D2" s="2" t="s">
        <v>931</v>
      </c>
      <c r="E2" s="2" t="s">
        <v>932</v>
      </c>
      <c r="F2" s="2"/>
      <c r="G2" s="2"/>
      <c r="H2" s="2"/>
    </row>
    <row r="3" spans="1:27" ht="17.25" thickBot="1">
      <c r="A3" s="2" t="s">
        <v>178</v>
      </c>
      <c r="B3" s="2">
        <v>122556</v>
      </c>
      <c r="C3" s="2">
        <v>5178</v>
      </c>
      <c r="D3" s="2">
        <v>3442</v>
      </c>
      <c r="E3" s="2">
        <v>33</v>
      </c>
      <c r="F3" s="2"/>
      <c r="G3" s="2"/>
      <c r="H3" s="2"/>
      <c r="I3">
        <f>RANK(C3,C$3:C$12,0)</f>
        <v>6</v>
      </c>
      <c r="J3">
        <f>RANK(B3,$B$3:$B$12,0)</f>
        <v>6</v>
      </c>
    </row>
    <row r="4" spans="1:27" ht="17.25" thickBot="1">
      <c r="A4" s="2" t="s">
        <v>183</v>
      </c>
      <c r="B4" s="2">
        <v>22744</v>
      </c>
      <c r="C4" s="2">
        <v>477</v>
      </c>
      <c r="D4" s="2">
        <v>544</v>
      </c>
      <c r="E4" s="2">
        <v>14</v>
      </c>
      <c r="F4" s="2"/>
      <c r="G4" s="2"/>
      <c r="H4" s="2"/>
      <c r="I4">
        <f t="shared" ref="I4:I12" si="0">RANK(C4,C$3:C$12,0)</f>
        <v>9</v>
      </c>
      <c r="J4">
        <f t="shared" ref="J4:J12" si="1">RANK(B4,$B$3:$B$12,0)</f>
        <v>9</v>
      </c>
      <c r="N4" s="270" t="s">
        <v>188</v>
      </c>
      <c r="O4" s="271" t="s">
        <v>187</v>
      </c>
      <c r="P4" s="268">
        <f>INDEX($A$22:$A$98,COUNTA($A$22:$A$98)-COLUMN()+16)</f>
        <v>45536</v>
      </c>
      <c r="Q4" s="268">
        <f t="shared" ref="Q4:R4" si="2">INDEX($A$22:$A$98,COUNTA($A$22:$A$98)-COLUMN()+16)</f>
        <v>45505</v>
      </c>
      <c r="R4" s="269">
        <f t="shared" si="2"/>
        <v>45474</v>
      </c>
    </row>
    <row r="5" spans="1:27">
      <c r="A5" s="2" t="s">
        <v>182</v>
      </c>
      <c r="B5" s="2">
        <v>550347</v>
      </c>
      <c r="C5" s="2">
        <v>20462</v>
      </c>
      <c r="D5" s="2">
        <v>1812</v>
      </c>
      <c r="E5" s="2">
        <v>13</v>
      </c>
      <c r="F5" s="2"/>
      <c r="G5" s="2"/>
      <c r="H5" s="2"/>
      <c r="I5">
        <f t="shared" si="0"/>
        <v>3</v>
      </c>
      <c r="J5">
        <f t="shared" si="1"/>
        <v>4</v>
      </c>
      <c r="N5" s="256">
        <v>1</v>
      </c>
      <c r="O5" s="265" t="str">
        <f>INDEX($A$3:$A$12,MATCH(N5,$J$3:$J$12,0))</f>
        <v>Intel Corporation</v>
      </c>
      <c r="P5" s="259" t="str">
        <f t="shared" ref="P5:R13" si="3">TEXT(INDEX($A$22:$K$98,COUNTA($A$22:$A$98)-COLUMN()+16,MATCH($O5,$A$22:$K$22,0)),"#,###")&amp;" ("&amp;
IF(INDEX($A$22:$K$98,COUNTA($A$22:$A$98)-COLUMN()+16,MATCH($O5,$A$22:$K$22,0))&gt;INDEX($A$22:$K$98,COUNTA($A$22:$A$98)-COLUMN()+16-1,MATCH($O5,$A$22:$K$22,0)),"▲","▼")&amp;
TEXT(ABS((INDEX($A$22:$K$98,COUNTA($A$22:$A$98)-COLUMN()+16,MATCH($O5,$A$22:$K$22,0))-INDEX($A$22:$K$98,COUNTA($A$22:$A$98)-COLUMN()+16-1,MATCH($O5,$A$22:$K$22,0)))/INDEX($A$22:$K$98,COUNTA($A$22:$A$98)-COLUMN()+16-1,MATCH($O5,$A$22:$K$22,0))),"0.00%")&amp;")"</f>
        <v>3,671,742 (▲0.56%)</v>
      </c>
      <c r="Q5" s="259" t="str">
        <f t="shared" si="3"/>
        <v>3,651,152 (▲0.75%)</v>
      </c>
      <c r="R5" s="260" t="str">
        <f t="shared" si="3"/>
        <v>3,623,804 (▲0.79%)</v>
      </c>
      <c r="W5" s="273"/>
      <c r="X5" s="274"/>
      <c r="Y5" s="274"/>
      <c r="Z5" s="275"/>
      <c r="AA5" s="276"/>
    </row>
    <row r="6" spans="1:27">
      <c r="A6" s="2" t="s">
        <v>184</v>
      </c>
      <c r="B6" s="2">
        <v>29396</v>
      </c>
      <c r="C6" s="2">
        <v>2025</v>
      </c>
      <c r="D6" s="2">
        <v>911</v>
      </c>
      <c r="E6" s="2">
        <v>19</v>
      </c>
      <c r="F6" s="2"/>
      <c r="G6" s="2"/>
      <c r="H6" s="2"/>
      <c r="I6">
        <f t="shared" si="0"/>
        <v>7</v>
      </c>
      <c r="J6">
        <f t="shared" si="1"/>
        <v>7</v>
      </c>
      <c r="N6" s="257">
        <v>2</v>
      </c>
      <c r="O6" s="266" t="str">
        <f t="shared" ref="O6:O13" si="4">INDEX($A$3:$A$12,MATCH(N6,$J$3:$J$12,0))</f>
        <v>NVIDIA</v>
      </c>
      <c r="P6" s="261" t="str">
        <f t="shared" si="3"/>
        <v>2,742,705 (▲2.61%)</v>
      </c>
      <c r="Q6" s="261" t="str">
        <f t="shared" si="3"/>
        <v>2,672,968 (▲2.15%)</v>
      </c>
      <c r="R6" s="262" t="str">
        <f t="shared" si="3"/>
        <v>2,616,813 (▲3.49%)</v>
      </c>
      <c r="T6" t="s">
        <v>1030</v>
      </c>
      <c r="W6" s="273"/>
      <c r="X6" s="274"/>
      <c r="Y6" s="274"/>
      <c r="Z6" s="275"/>
      <c r="AA6" s="276"/>
    </row>
    <row r="7" spans="1:27">
      <c r="A7" s="2" t="s">
        <v>181</v>
      </c>
      <c r="B7" s="2">
        <v>28811</v>
      </c>
      <c r="C7" s="2">
        <v>312</v>
      </c>
      <c r="D7" s="2">
        <v>319</v>
      </c>
      <c r="E7" s="2">
        <v>63</v>
      </c>
      <c r="F7" s="2"/>
      <c r="G7" s="2"/>
      <c r="H7" s="2"/>
      <c r="I7">
        <f t="shared" si="0"/>
        <v>10</v>
      </c>
      <c r="J7">
        <f t="shared" si="1"/>
        <v>8</v>
      </c>
      <c r="N7" s="257">
        <v>3</v>
      </c>
      <c r="O7" s="266" t="str">
        <f t="shared" si="4"/>
        <v>Micron Technology</v>
      </c>
      <c r="P7" s="261" t="str">
        <f t="shared" si="3"/>
        <v>647,215 (▲1.64%)</v>
      </c>
      <c r="Q7" s="261" t="str">
        <f t="shared" si="3"/>
        <v>636,758 (▲1.93%)</v>
      </c>
      <c r="R7" s="262" t="str">
        <f t="shared" si="3"/>
        <v>624,693 (▲1.75%)</v>
      </c>
      <c r="W7" s="273"/>
      <c r="X7" s="274"/>
      <c r="Y7" s="274"/>
      <c r="Z7" s="275"/>
      <c r="AA7" s="276"/>
    </row>
    <row r="8" spans="1:27">
      <c r="A8" s="2" t="s">
        <v>186</v>
      </c>
      <c r="B8" s="2">
        <v>2807540</v>
      </c>
      <c r="C8" s="2">
        <v>69932</v>
      </c>
      <c r="D8" s="2">
        <v>27593</v>
      </c>
      <c r="E8" s="2">
        <v>26</v>
      </c>
      <c r="F8" s="2"/>
      <c r="G8" s="2"/>
      <c r="H8" s="2"/>
      <c r="I8">
        <f t="shared" si="0"/>
        <v>1</v>
      </c>
      <c r="J8">
        <f t="shared" si="1"/>
        <v>2</v>
      </c>
      <c r="N8" s="257">
        <v>4</v>
      </c>
      <c r="O8" s="266" t="str">
        <f t="shared" si="4"/>
        <v>Western Digital</v>
      </c>
      <c r="P8" s="261" t="str">
        <f t="shared" si="3"/>
        <v>530,169 (▲3.67%)</v>
      </c>
      <c r="Q8" s="261" t="str">
        <f t="shared" si="3"/>
        <v>511,424 (▲3.37%)</v>
      </c>
      <c r="R8" s="262" t="str">
        <f t="shared" si="3"/>
        <v>494,761 (▲2.18%)</v>
      </c>
      <c r="T8" t="s">
        <v>1032</v>
      </c>
      <c r="W8" s="273"/>
      <c r="X8" s="274"/>
      <c r="Y8" s="274"/>
      <c r="Z8" s="275"/>
      <c r="AA8" s="276"/>
    </row>
    <row r="9" spans="1:27">
      <c r="A9" s="2" t="s">
        <v>1105</v>
      </c>
      <c r="B9" s="2">
        <v>3457</v>
      </c>
      <c r="C9" s="2">
        <v>1767</v>
      </c>
      <c r="D9" s="2">
        <v>279</v>
      </c>
      <c r="E9" s="2">
        <v>24</v>
      </c>
      <c r="F9" s="2"/>
      <c r="G9" s="2"/>
      <c r="H9" s="2"/>
      <c r="I9">
        <f t="shared" si="0"/>
        <v>8</v>
      </c>
      <c r="J9">
        <f t="shared" si="1"/>
        <v>10</v>
      </c>
      <c r="N9" s="257">
        <v>5</v>
      </c>
      <c r="O9" s="266" t="str">
        <f t="shared" si="4"/>
        <v>Samsung Semiconductor</v>
      </c>
      <c r="P9" s="261" t="str">
        <f t="shared" si="3"/>
        <v>396,492 (▲2.66%)</v>
      </c>
      <c r="Q9" s="261" t="str">
        <f t="shared" si="3"/>
        <v>386,232 (▲3.01%)</v>
      </c>
      <c r="R9" s="262" t="str">
        <f t="shared" si="3"/>
        <v>374,934 (▲3.41%)</v>
      </c>
      <c r="T9" t="s">
        <v>1033</v>
      </c>
      <c r="W9" s="273"/>
      <c r="X9" s="274"/>
      <c r="Y9" s="274"/>
      <c r="Z9" s="275"/>
      <c r="AA9" s="276"/>
    </row>
    <row r="10" spans="1:27">
      <c r="A10" s="2" t="s">
        <v>179</v>
      </c>
      <c r="B10" s="2">
        <v>659650</v>
      </c>
      <c r="C10" s="2">
        <v>12990</v>
      </c>
      <c r="D10" s="2">
        <v>9583</v>
      </c>
      <c r="E10" s="2">
        <v>27</v>
      </c>
      <c r="F10" s="2"/>
      <c r="G10" s="2"/>
      <c r="H10" s="2"/>
      <c r="I10">
        <f t="shared" si="0"/>
        <v>4</v>
      </c>
      <c r="J10">
        <f t="shared" si="1"/>
        <v>3</v>
      </c>
      <c r="N10" s="381">
        <v>6</v>
      </c>
      <c r="O10" s="382" t="str">
        <f t="shared" si="4"/>
        <v>SK hynix</v>
      </c>
      <c r="P10" s="383" t="str">
        <f t="shared" si="3"/>
        <v>117,332 (▲4.13%)</v>
      </c>
      <c r="Q10" s="383" t="str">
        <f t="shared" si="3"/>
        <v>112,673 (▲5.80%)</v>
      </c>
      <c r="R10" s="384" t="str">
        <f t="shared" si="3"/>
        <v>106,492 (▲3.11%)</v>
      </c>
      <c r="T10" t="s">
        <v>1031</v>
      </c>
      <c r="W10" s="273"/>
      <c r="X10" s="274"/>
      <c r="Y10" s="274"/>
      <c r="Z10" s="277"/>
      <c r="AA10" s="278"/>
    </row>
    <row r="11" spans="1:27">
      <c r="A11" s="2" t="s">
        <v>185</v>
      </c>
      <c r="B11" s="2">
        <v>406595</v>
      </c>
      <c r="C11" s="2">
        <v>10807</v>
      </c>
      <c r="D11" s="2">
        <v>11521</v>
      </c>
      <c r="E11" s="2">
        <v>70</v>
      </c>
      <c r="F11" s="2"/>
      <c r="G11" s="2"/>
      <c r="H11" s="2"/>
      <c r="I11">
        <f t="shared" si="0"/>
        <v>5</v>
      </c>
      <c r="J11">
        <f t="shared" si="1"/>
        <v>5</v>
      </c>
      <c r="N11" s="257">
        <v>7</v>
      </c>
      <c r="O11" s="266" t="str">
        <f t="shared" si="4"/>
        <v>Solidigm</v>
      </c>
      <c r="P11" s="261" t="str">
        <f t="shared" si="3"/>
        <v>27,363 (▲6.82%)</v>
      </c>
      <c r="Q11" s="261" t="str">
        <f t="shared" si="3"/>
        <v>25,616 (▲4.51%)</v>
      </c>
      <c r="R11" s="262" t="str">
        <f t="shared" si="3"/>
        <v>24,510 (▲3.88%)</v>
      </c>
      <c r="T11" t="s">
        <v>1034</v>
      </c>
      <c r="W11" s="273"/>
      <c r="X11" s="274"/>
      <c r="Y11" s="274"/>
      <c r="Z11" s="275"/>
      <c r="AA11" s="276"/>
    </row>
    <row r="12" spans="1:27">
      <c r="A12" s="2" t="s">
        <v>180</v>
      </c>
      <c r="B12" s="2">
        <v>3701950</v>
      </c>
      <c r="C12" s="2">
        <v>35233</v>
      </c>
      <c r="D12" s="2">
        <v>36906</v>
      </c>
      <c r="E12" s="2">
        <v>121</v>
      </c>
      <c r="F12" s="2"/>
      <c r="G12" s="2"/>
      <c r="H12" s="2"/>
      <c r="I12">
        <f t="shared" si="0"/>
        <v>2</v>
      </c>
      <c r="J12">
        <f t="shared" si="1"/>
        <v>1</v>
      </c>
      <c r="N12" s="257">
        <v>8</v>
      </c>
      <c r="O12" s="266" t="str">
        <f t="shared" si="4"/>
        <v>KIOXIA America, Inc.</v>
      </c>
      <c r="P12" s="261" t="str">
        <f t="shared" si="3"/>
        <v>28,509 (▲1.05%)</v>
      </c>
      <c r="Q12" s="261" t="str">
        <f t="shared" si="3"/>
        <v>28,212 (▲0.99%)</v>
      </c>
      <c r="R12" s="262" t="str">
        <f t="shared" si="3"/>
        <v>27,935 (▲0.91%)</v>
      </c>
      <c r="W12" s="273"/>
      <c r="X12" s="274"/>
      <c r="Y12" s="274"/>
      <c r="Z12" s="275"/>
      <c r="AA12" s="276"/>
    </row>
    <row r="13" spans="1:27" ht="17.25" thickBot="1">
      <c r="N13" s="258">
        <v>9</v>
      </c>
      <c r="O13" s="267" t="str">
        <f t="shared" si="4"/>
        <v>SK hynix America</v>
      </c>
      <c r="P13" s="263" t="str">
        <f t="shared" si="3"/>
        <v>22,282 (▲2.84%)</v>
      </c>
      <c r="Q13" s="263" t="str">
        <f t="shared" si="3"/>
        <v>21,667 (▲2.28%)</v>
      </c>
      <c r="R13" s="264" t="str">
        <f t="shared" si="3"/>
        <v>21,185 (▲1.91%)</v>
      </c>
      <c r="T13" t="s">
        <v>1107</v>
      </c>
      <c r="W13" s="273"/>
      <c r="X13" s="274"/>
      <c r="Y13" s="274"/>
      <c r="Z13" s="275"/>
      <c r="AA13" s="276"/>
    </row>
    <row r="15" spans="1:27">
      <c r="T15" t="s">
        <v>1108</v>
      </c>
    </row>
    <row r="16" spans="1:27" ht="17.25" thickBot="1"/>
    <row r="17" spans="1:17">
      <c r="A17" s="247" t="s">
        <v>4</v>
      </c>
      <c r="B17" s="248" t="s">
        <v>180</v>
      </c>
      <c r="C17" s="248" t="s">
        <v>179</v>
      </c>
      <c r="D17" s="248" t="s">
        <v>185</v>
      </c>
      <c r="E17" s="248" t="s">
        <v>178</v>
      </c>
      <c r="F17" s="248" t="s">
        <v>181</v>
      </c>
      <c r="G17" s="248" t="s">
        <v>182</v>
      </c>
      <c r="H17" s="248" t="s">
        <v>183</v>
      </c>
      <c r="I17" s="248" t="s">
        <v>184</v>
      </c>
      <c r="J17" s="248" t="s">
        <v>186</v>
      </c>
      <c r="K17" s="249"/>
    </row>
    <row r="18" spans="1:17" ht="17.25" thickBot="1">
      <c r="A18" s="255">
        <f>DATE(RIGHT(A1,4),LEFT(A1,FIND("/",LEFT(A1,LEN(A1)-5))-1)+1,MID(LEFT(A1,LEN(A1)-5),FIND("/",LEFT(A1,LEN(A1)-5))+1,2))</f>
        <v>45566</v>
      </c>
      <c r="B18" s="250">
        <f>VLOOKUP(B17,$A$2:$B$12,2,FALSE)</f>
        <v>3701950</v>
      </c>
      <c r="C18" s="250">
        <f t="shared" ref="C18:J18" si="5">VLOOKUP(C17,$A$2:$B$12,2,FALSE)</f>
        <v>659650</v>
      </c>
      <c r="D18" s="250">
        <f t="shared" si="5"/>
        <v>406595</v>
      </c>
      <c r="E18" s="250">
        <f t="shared" si="5"/>
        <v>122556</v>
      </c>
      <c r="F18" s="250">
        <f t="shared" si="5"/>
        <v>28811</v>
      </c>
      <c r="G18" s="250">
        <f t="shared" si="5"/>
        <v>550347</v>
      </c>
      <c r="H18" s="250">
        <f t="shared" si="5"/>
        <v>22744</v>
      </c>
      <c r="I18" s="250">
        <f t="shared" si="5"/>
        <v>29396</v>
      </c>
      <c r="J18" s="250">
        <f t="shared" si="5"/>
        <v>2807540</v>
      </c>
      <c r="K18" s="251"/>
    </row>
    <row r="20" spans="1:17" ht="17.25" thickBot="1"/>
    <row r="21" spans="1:17" ht="17.25" thickBot="1">
      <c r="O21" s="425" t="s">
        <v>948</v>
      </c>
      <c r="P21" s="426"/>
      <c r="Q21" s="427"/>
    </row>
    <row r="22" spans="1:17">
      <c r="A22" s="252" t="s">
        <v>4</v>
      </c>
      <c r="B22" s="248" t="s">
        <v>180</v>
      </c>
      <c r="C22" s="248" t="s">
        <v>179</v>
      </c>
      <c r="D22" s="248" t="s">
        <v>185</v>
      </c>
      <c r="E22" s="248" t="s">
        <v>178</v>
      </c>
      <c r="F22" s="248" t="s">
        <v>181</v>
      </c>
      <c r="G22" s="248" t="s">
        <v>182</v>
      </c>
      <c r="H22" s="248" t="s">
        <v>183</v>
      </c>
      <c r="I22" s="248" t="s">
        <v>184</v>
      </c>
      <c r="J22" s="248" t="s">
        <v>186</v>
      </c>
      <c r="K22" s="249"/>
      <c r="O22" s="244" t="s">
        <v>200</v>
      </c>
      <c r="P22" s="245" t="s">
        <v>464</v>
      </c>
      <c r="Q22" s="246">
        <f>followers!H1</f>
        <v>45536</v>
      </c>
    </row>
    <row r="23" spans="1:17">
      <c r="A23" s="253">
        <v>45292</v>
      </c>
      <c r="B23" s="145">
        <v>3399369</v>
      </c>
      <c r="C23" s="145">
        <v>556990</v>
      </c>
      <c r="D23" s="145">
        <v>313872</v>
      </c>
      <c r="E23" s="145">
        <v>93109</v>
      </c>
      <c r="F23" s="145" t="s">
        <v>949</v>
      </c>
      <c r="G23" s="145" t="s">
        <v>949</v>
      </c>
      <c r="H23" s="145" t="s">
        <v>949</v>
      </c>
      <c r="I23" s="145" t="s">
        <v>949</v>
      </c>
      <c r="J23" s="145" t="s">
        <v>949</v>
      </c>
      <c r="K23" s="146"/>
      <c r="O23" s="180">
        <v>1</v>
      </c>
      <c r="P23" s="182" t="str">
        <f>INDEX($A$3:$A$12,MATCH(O23,$I$3:$I$12,0))</f>
        <v>NVIDIA</v>
      </c>
      <c r="Q23" s="183">
        <f>INDEX($C$3:$C$12,MATCH(O23,$I$3:$I$12,0))</f>
        <v>69932</v>
      </c>
    </row>
    <row r="24" spans="1:17">
      <c r="A24" s="253">
        <v>45323</v>
      </c>
      <c r="B24" s="145">
        <v>3443244</v>
      </c>
      <c r="C24" s="145">
        <v>568238</v>
      </c>
      <c r="D24" s="145">
        <v>323185</v>
      </c>
      <c r="E24" s="145">
        <v>94737</v>
      </c>
      <c r="F24" s="145">
        <v>26171</v>
      </c>
      <c r="G24" s="145">
        <v>448724</v>
      </c>
      <c r="H24" s="145">
        <v>19331</v>
      </c>
      <c r="I24" s="145">
        <v>20624</v>
      </c>
      <c r="J24" s="145">
        <v>2096575</v>
      </c>
      <c r="K24" s="146"/>
      <c r="O24" s="180">
        <v>2</v>
      </c>
      <c r="P24" s="182" t="str">
        <f t="shared" ref="P24:P31" si="6">INDEX($A$3:$A$12,MATCH(O24,$I$3:$I$12,0))</f>
        <v>Intel Corporation</v>
      </c>
      <c r="Q24" s="183">
        <f t="shared" ref="Q24:Q31" si="7">INDEX($C$3:$C$12,MATCH(O24,$I$3:$I$12,0))</f>
        <v>35233</v>
      </c>
    </row>
    <row r="25" spans="1:17">
      <c r="A25" s="253">
        <v>45352</v>
      </c>
      <c r="B25" s="145">
        <v>3477914</v>
      </c>
      <c r="C25" s="145">
        <v>577328</v>
      </c>
      <c r="D25" s="145">
        <v>332336</v>
      </c>
      <c r="E25" s="145">
        <v>96708</v>
      </c>
      <c r="F25" s="145">
        <v>26558</v>
      </c>
      <c r="G25" s="145">
        <v>455750</v>
      </c>
      <c r="H25" s="145">
        <v>19625</v>
      </c>
      <c r="I25" s="145">
        <v>20929</v>
      </c>
      <c r="J25" s="145">
        <v>2187326</v>
      </c>
      <c r="K25" s="146"/>
      <c r="O25" s="180">
        <v>3</v>
      </c>
      <c r="P25" s="182" t="str">
        <f t="shared" si="6"/>
        <v>Western Digital</v>
      </c>
      <c r="Q25" s="183">
        <f t="shared" si="7"/>
        <v>20462</v>
      </c>
    </row>
    <row r="26" spans="1:17">
      <c r="A26" s="253">
        <v>45383</v>
      </c>
      <c r="B26" s="145">
        <v>3527538</v>
      </c>
      <c r="C26" s="145">
        <v>592692</v>
      </c>
      <c r="D26" s="145">
        <v>342777</v>
      </c>
      <c r="E26" s="145">
        <v>98476</v>
      </c>
      <c r="F26" s="145">
        <v>27038</v>
      </c>
      <c r="G26" s="145">
        <v>459651</v>
      </c>
      <c r="H26" s="145">
        <v>19914</v>
      </c>
      <c r="I26" s="145">
        <v>21396</v>
      </c>
      <c r="J26" s="145">
        <v>2389545</v>
      </c>
      <c r="K26" s="146"/>
      <c r="O26" s="181">
        <v>4</v>
      </c>
      <c r="P26" s="182" t="str">
        <f t="shared" si="6"/>
        <v>Micron Technology</v>
      </c>
      <c r="Q26" s="183">
        <f t="shared" si="7"/>
        <v>12990</v>
      </c>
    </row>
    <row r="27" spans="1:17" ht="25.5">
      <c r="A27" s="253">
        <v>45413</v>
      </c>
      <c r="B27" s="145">
        <v>3561612</v>
      </c>
      <c r="C27" s="145">
        <v>603331</v>
      </c>
      <c r="D27" s="145">
        <v>354688</v>
      </c>
      <c r="E27" s="145">
        <v>100473</v>
      </c>
      <c r="F27" s="145">
        <v>27445</v>
      </c>
      <c r="G27" s="145">
        <v>470049</v>
      </c>
      <c r="H27" s="145">
        <v>20399</v>
      </c>
      <c r="I27" s="145">
        <v>22321</v>
      </c>
      <c r="J27" s="145">
        <v>2465278</v>
      </c>
      <c r="K27" s="146"/>
      <c r="O27" s="180">
        <v>5</v>
      </c>
      <c r="P27" s="182" t="str">
        <f t="shared" si="6"/>
        <v>Samsung Semiconductor</v>
      </c>
      <c r="Q27" s="183">
        <f t="shared" si="7"/>
        <v>10807</v>
      </c>
    </row>
    <row r="28" spans="1:17">
      <c r="A28" s="253">
        <v>45444</v>
      </c>
      <c r="B28" s="145">
        <v>3595458</v>
      </c>
      <c r="C28" s="145">
        <v>613978</v>
      </c>
      <c r="D28" s="145">
        <v>362560</v>
      </c>
      <c r="E28" s="145">
        <v>103277</v>
      </c>
      <c r="F28" s="145">
        <v>27684</v>
      </c>
      <c r="G28" s="145">
        <v>484213</v>
      </c>
      <c r="H28" s="145">
        <v>20788</v>
      </c>
      <c r="I28" s="145">
        <v>23594</v>
      </c>
      <c r="J28" s="145">
        <v>2528601</v>
      </c>
      <c r="K28" s="146"/>
      <c r="O28" s="385">
        <v>6</v>
      </c>
      <c r="P28" s="224" t="str">
        <f t="shared" si="6"/>
        <v>SK hynix</v>
      </c>
      <c r="Q28" s="225">
        <f t="shared" si="7"/>
        <v>5178</v>
      </c>
    </row>
    <row r="29" spans="1:17">
      <c r="A29" s="253">
        <v>45474</v>
      </c>
      <c r="B29" s="145">
        <v>3623804</v>
      </c>
      <c r="C29" s="145">
        <v>624693</v>
      </c>
      <c r="D29" s="145">
        <v>374934</v>
      </c>
      <c r="E29" s="145">
        <v>106492</v>
      </c>
      <c r="F29" s="145">
        <v>27935</v>
      </c>
      <c r="G29" s="145">
        <v>494761</v>
      </c>
      <c r="H29" s="145">
        <v>21185</v>
      </c>
      <c r="I29" s="145">
        <v>24510</v>
      </c>
      <c r="J29" s="145">
        <v>2616813</v>
      </c>
      <c r="K29" s="146"/>
      <c r="O29" s="180">
        <v>7</v>
      </c>
      <c r="P29" s="182" t="str">
        <f t="shared" si="6"/>
        <v>Solidigm</v>
      </c>
      <c r="Q29" s="183">
        <f t="shared" si="7"/>
        <v>2025</v>
      </c>
    </row>
    <row r="30" spans="1:17">
      <c r="A30" s="253">
        <v>45505</v>
      </c>
      <c r="B30" s="145">
        <v>3651152</v>
      </c>
      <c r="C30" s="145">
        <v>636758</v>
      </c>
      <c r="D30" s="145">
        <v>386232</v>
      </c>
      <c r="E30" s="145">
        <v>112673</v>
      </c>
      <c r="F30" s="145">
        <v>28212</v>
      </c>
      <c r="G30" s="145">
        <v>511424</v>
      </c>
      <c r="H30" s="145">
        <v>21667</v>
      </c>
      <c r="I30" s="145">
        <v>25616</v>
      </c>
      <c r="J30" s="145">
        <v>2672968</v>
      </c>
      <c r="K30" s="146"/>
      <c r="O30" s="180">
        <v>8</v>
      </c>
      <c r="P30" s="182" t="str">
        <f t="shared" si="6"/>
        <v>SK hynix News &amp; Stories</v>
      </c>
      <c r="Q30" s="183">
        <f t="shared" si="7"/>
        <v>1767</v>
      </c>
    </row>
    <row r="31" spans="1:17" ht="17.25" thickBot="1">
      <c r="A31" s="253">
        <v>45536</v>
      </c>
      <c r="B31" s="145">
        <v>3671742</v>
      </c>
      <c r="C31" s="145">
        <v>647215</v>
      </c>
      <c r="D31" s="145">
        <v>396492</v>
      </c>
      <c r="E31" s="145">
        <v>117332</v>
      </c>
      <c r="F31" s="145">
        <v>28509</v>
      </c>
      <c r="G31" s="145">
        <v>530169</v>
      </c>
      <c r="H31" s="145">
        <v>22282</v>
      </c>
      <c r="I31" s="145">
        <v>27363</v>
      </c>
      <c r="J31" s="145">
        <v>2742705</v>
      </c>
      <c r="K31" s="146"/>
      <c r="O31" s="346">
        <v>9</v>
      </c>
      <c r="P31" s="184" t="str">
        <f t="shared" si="6"/>
        <v>SK hynix America</v>
      </c>
      <c r="Q31" s="185">
        <f t="shared" si="7"/>
        <v>477</v>
      </c>
    </row>
    <row r="32" spans="1:17">
      <c r="A32" s="253"/>
      <c r="B32" s="145"/>
      <c r="C32" s="145"/>
      <c r="D32" s="145"/>
      <c r="E32" s="145"/>
      <c r="F32" s="145"/>
      <c r="G32" s="145"/>
      <c r="H32" s="145"/>
      <c r="I32" s="145"/>
      <c r="J32" s="145"/>
      <c r="K32" s="146"/>
    </row>
    <row r="33" spans="1:11">
      <c r="A33" s="253"/>
      <c r="B33" s="145"/>
      <c r="C33" s="145"/>
      <c r="D33" s="145"/>
      <c r="E33" s="145"/>
      <c r="F33" s="145"/>
      <c r="G33" s="145"/>
      <c r="H33" s="145"/>
      <c r="I33" s="145"/>
      <c r="J33" s="145"/>
      <c r="K33" s="146"/>
    </row>
    <row r="34" spans="1:11">
      <c r="A34" s="253"/>
      <c r="B34" s="145"/>
      <c r="C34" s="145"/>
      <c r="D34" s="145"/>
      <c r="E34" s="145"/>
      <c r="F34" s="145"/>
      <c r="G34" s="145"/>
      <c r="H34" s="145"/>
      <c r="I34" s="145"/>
      <c r="J34" s="145"/>
      <c r="K34" s="146"/>
    </row>
    <row r="35" spans="1:11">
      <c r="A35" s="253"/>
      <c r="B35" s="145"/>
      <c r="C35" s="145"/>
      <c r="D35" s="145"/>
      <c r="E35" s="145"/>
      <c r="F35" s="145"/>
      <c r="G35" s="145"/>
      <c r="H35" s="145"/>
      <c r="I35" s="145"/>
      <c r="J35" s="145"/>
      <c r="K35" s="146"/>
    </row>
    <row r="36" spans="1:11">
      <c r="A36" s="253"/>
      <c r="B36" s="145"/>
      <c r="C36" s="145"/>
      <c r="D36" s="145"/>
      <c r="E36" s="145"/>
      <c r="F36" s="145"/>
      <c r="G36" s="145"/>
      <c r="H36" s="145"/>
      <c r="I36" s="145"/>
      <c r="J36" s="145"/>
      <c r="K36" s="146"/>
    </row>
    <row r="37" spans="1:11">
      <c r="A37" s="253"/>
      <c r="B37" s="145"/>
      <c r="C37" s="145"/>
      <c r="D37" s="145"/>
      <c r="E37" s="145"/>
      <c r="F37" s="145"/>
      <c r="G37" s="145"/>
      <c r="H37" s="145"/>
      <c r="I37" s="145"/>
      <c r="J37" s="145"/>
      <c r="K37" s="146"/>
    </row>
    <row r="38" spans="1:11">
      <c r="A38" s="253"/>
      <c r="B38" s="145"/>
      <c r="C38" s="145"/>
      <c r="D38" s="145"/>
      <c r="E38" s="145"/>
      <c r="F38" s="145"/>
      <c r="G38" s="145"/>
      <c r="H38" s="145"/>
      <c r="I38" s="145"/>
      <c r="J38" s="145"/>
      <c r="K38" s="146"/>
    </row>
    <row r="39" spans="1:11">
      <c r="A39" s="253"/>
      <c r="B39" s="145"/>
      <c r="C39" s="145"/>
      <c r="D39" s="145"/>
      <c r="E39" s="145"/>
      <c r="F39" s="145"/>
      <c r="G39" s="145"/>
      <c r="H39" s="145"/>
      <c r="I39" s="145"/>
      <c r="J39" s="145"/>
      <c r="K39" s="146"/>
    </row>
    <row r="40" spans="1:11">
      <c r="A40" s="253"/>
      <c r="B40" s="145"/>
      <c r="C40" s="145"/>
      <c r="D40" s="145"/>
      <c r="E40" s="145"/>
      <c r="F40" s="145"/>
      <c r="G40" s="145"/>
      <c r="H40" s="145"/>
      <c r="I40" s="145"/>
      <c r="J40" s="145"/>
      <c r="K40" s="146"/>
    </row>
    <row r="41" spans="1:11">
      <c r="A41" s="253"/>
      <c r="B41" s="145"/>
      <c r="C41" s="145"/>
      <c r="D41" s="145"/>
      <c r="E41" s="145"/>
      <c r="F41" s="145"/>
      <c r="G41" s="145"/>
      <c r="H41" s="145"/>
      <c r="I41" s="145"/>
      <c r="J41" s="145"/>
      <c r="K41" s="146"/>
    </row>
    <row r="42" spans="1:11">
      <c r="A42" s="253"/>
      <c r="B42" s="145"/>
      <c r="C42" s="145"/>
      <c r="D42" s="145"/>
      <c r="E42" s="145"/>
      <c r="F42" s="145"/>
      <c r="G42" s="145"/>
      <c r="H42" s="145"/>
      <c r="I42" s="145"/>
      <c r="J42" s="145"/>
      <c r="K42" s="146"/>
    </row>
    <row r="43" spans="1:11">
      <c r="A43" s="253"/>
      <c r="B43" s="145"/>
      <c r="C43" s="145"/>
      <c r="D43" s="145"/>
      <c r="E43" s="145"/>
      <c r="F43" s="145"/>
      <c r="G43" s="145"/>
      <c r="H43" s="145"/>
      <c r="I43" s="145"/>
      <c r="J43" s="145"/>
      <c r="K43" s="146"/>
    </row>
    <row r="44" spans="1:11">
      <c r="A44" s="253"/>
      <c r="B44" s="145"/>
      <c r="C44" s="145"/>
      <c r="D44" s="145"/>
      <c r="E44" s="145"/>
      <c r="F44" s="145"/>
      <c r="G44" s="145"/>
      <c r="H44" s="145"/>
      <c r="I44" s="145"/>
      <c r="J44" s="145"/>
      <c r="K44" s="146"/>
    </row>
    <row r="45" spans="1:11">
      <c r="A45" s="253"/>
      <c r="B45" s="145"/>
      <c r="C45" s="145"/>
      <c r="D45" s="145"/>
      <c r="E45" s="145"/>
      <c r="F45" s="145"/>
      <c r="G45" s="145"/>
      <c r="H45" s="145"/>
      <c r="I45" s="145"/>
      <c r="J45" s="145"/>
      <c r="K45" s="146"/>
    </row>
    <row r="46" spans="1:11">
      <c r="A46" s="253"/>
      <c r="B46" s="145"/>
      <c r="C46" s="145"/>
      <c r="D46" s="145"/>
      <c r="E46" s="145"/>
      <c r="F46" s="145"/>
      <c r="G46" s="145"/>
      <c r="H46" s="145"/>
      <c r="I46" s="145"/>
      <c r="J46" s="145"/>
      <c r="K46" s="146"/>
    </row>
    <row r="47" spans="1:11">
      <c r="A47" s="253"/>
      <c r="B47" s="145"/>
      <c r="C47" s="145"/>
      <c r="D47" s="145"/>
      <c r="E47" s="145"/>
      <c r="F47" s="145"/>
      <c r="G47" s="145"/>
      <c r="H47" s="145"/>
      <c r="I47" s="145"/>
      <c r="J47" s="145"/>
      <c r="K47" s="146"/>
    </row>
    <row r="48" spans="1:11">
      <c r="A48" s="253"/>
      <c r="B48" s="145"/>
      <c r="C48" s="145"/>
      <c r="D48" s="145"/>
      <c r="E48" s="145"/>
      <c r="F48" s="145"/>
      <c r="G48" s="145"/>
      <c r="H48" s="145"/>
      <c r="I48" s="145"/>
      <c r="J48" s="145"/>
      <c r="K48" s="146"/>
    </row>
    <row r="49" spans="1:11">
      <c r="A49" s="253"/>
      <c r="B49" s="145"/>
      <c r="C49" s="145"/>
      <c r="D49" s="145"/>
      <c r="E49" s="145"/>
      <c r="F49" s="145"/>
      <c r="G49" s="145"/>
      <c r="H49" s="145"/>
      <c r="I49" s="145"/>
      <c r="J49" s="145"/>
      <c r="K49" s="146"/>
    </row>
    <row r="50" spans="1:11">
      <c r="A50" s="253"/>
      <c r="B50" s="145"/>
      <c r="C50" s="145"/>
      <c r="D50" s="145"/>
      <c r="E50" s="145"/>
      <c r="F50" s="145"/>
      <c r="G50" s="145"/>
      <c r="H50" s="145"/>
      <c r="I50" s="145"/>
      <c r="J50" s="145"/>
      <c r="K50" s="146"/>
    </row>
    <row r="51" spans="1:11">
      <c r="A51" s="253"/>
      <c r="B51" s="145"/>
      <c r="C51" s="145"/>
      <c r="D51" s="145"/>
      <c r="E51" s="145"/>
      <c r="F51" s="145"/>
      <c r="G51" s="145"/>
      <c r="H51" s="145"/>
      <c r="I51" s="145"/>
      <c r="J51" s="145"/>
      <c r="K51" s="146"/>
    </row>
    <row r="52" spans="1:11">
      <c r="A52" s="253"/>
      <c r="B52" s="145"/>
      <c r="C52" s="145"/>
      <c r="D52" s="145"/>
      <c r="E52" s="145"/>
      <c r="F52" s="145"/>
      <c r="G52" s="145"/>
      <c r="H52" s="145"/>
      <c r="I52" s="145"/>
      <c r="J52" s="145"/>
      <c r="K52" s="146"/>
    </row>
    <row r="53" spans="1:11">
      <c r="A53" s="253"/>
      <c r="B53" s="145"/>
      <c r="C53" s="145"/>
      <c r="D53" s="145"/>
      <c r="E53" s="145"/>
      <c r="F53" s="145"/>
      <c r="G53" s="145"/>
      <c r="H53" s="145"/>
      <c r="I53" s="145"/>
      <c r="J53" s="145"/>
      <c r="K53" s="146"/>
    </row>
    <row r="54" spans="1:11">
      <c r="A54" s="253"/>
      <c r="B54" s="145"/>
      <c r="C54" s="145"/>
      <c r="D54" s="145"/>
      <c r="E54" s="145"/>
      <c r="F54" s="145"/>
      <c r="G54" s="145"/>
      <c r="H54" s="145"/>
      <c r="I54" s="145"/>
      <c r="J54" s="145"/>
      <c r="K54" s="146"/>
    </row>
    <row r="55" spans="1:11">
      <c r="A55" s="253"/>
      <c r="B55" s="145"/>
      <c r="C55" s="145"/>
      <c r="D55" s="145"/>
      <c r="E55" s="145"/>
      <c r="F55" s="145"/>
      <c r="G55" s="145"/>
      <c r="H55" s="145"/>
      <c r="I55" s="145"/>
      <c r="J55" s="145"/>
      <c r="K55" s="146"/>
    </row>
    <row r="56" spans="1:11">
      <c r="A56" s="253"/>
      <c r="B56" s="145"/>
      <c r="C56" s="145"/>
      <c r="D56" s="145"/>
      <c r="E56" s="145"/>
      <c r="F56" s="145"/>
      <c r="G56" s="145"/>
      <c r="H56" s="145"/>
      <c r="I56" s="145"/>
      <c r="J56" s="145"/>
      <c r="K56" s="146"/>
    </row>
    <row r="57" spans="1:11">
      <c r="A57" s="253"/>
      <c r="B57" s="145"/>
      <c r="C57" s="145"/>
      <c r="D57" s="145"/>
      <c r="E57" s="145"/>
      <c r="F57" s="145"/>
      <c r="G57" s="145"/>
      <c r="H57" s="145"/>
      <c r="I57" s="145"/>
      <c r="J57" s="145"/>
      <c r="K57" s="146"/>
    </row>
    <row r="58" spans="1:11">
      <c r="A58" s="253"/>
      <c r="B58" s="145"/>
      <c r="C58" s="145"/>
      <c r="D58" s="145"/>
      <c r="E58" s="145"/>
      <c r="F58" s="145"/>
      <c r="G58" s="145"/>
      <c r="H58" s="145"/>
      <c r="I58" s="145"/>
      <c r="J58" s="145"/>
      <c r="K58" s="146"/>
    </row>
    <row r="59" spans="1:11">
      <c r="A59" s="253"/>
      <c r="B59" s="145"/>
      <c r="C59" s="145"/>
      <c r="D59" s="145"/>
      <c r="E59" s="145"/>
      <c r="F59" s="145"/>
      <c r="G59" s="145"/>
      <c r="H59" s="145"/>
      <c r="I59" s="145"/>
      <c r="J59" s="145"/>
      <c r="K59" s="146"/>
    </row>
    <row r="60" spans="1:11">
      <c r="A60" s="253"/>
      <c r="B60" s="145"/>
      <c r="C60" s="145"/>
      <c r="D60" s="145"/>
      <c r="E60" s="145"/>
      <c r="F60" s="145"/>
      <c r="G60" s="145"/>
      <c r="H60" s="145"/>
      <c r="I60" s="145"/>
      <c r="J60" s="145"/>
      <c r="K60" s="146"/>
    </row>
    <row r="61" spans="1:11">
      <c r="A61" s="253"/>
      <c r="B61" s="145"/>
      <c r="C61" s="145"/>
      <c r="D61" s="145"/>
      <c r="E61" s="145"/>
      <c r="F61" s="145"/>
      <c r="G61" s="145"/>
      <c r="H61" s="145"/>
      <c r="I61" s="145"/>
      <c r="J61" s="145"/>
      <c r="K61" s="146"/>
    </row>
    <row r="62" spans="1:11">
      <c r="A62" s="253"/>
      <c r="B62" s="145"/>
      <c r="C62" s="145"/>
      <c r="D62" s="145"/>
      <c r="E62" s="145"/>
      <c r="F62" s="145"/>
      <c r="G62" s="145"/>
      <c r="H62" s="145"/>
      <c r="I62" s="145"/>
      <c r="J62" s="145"/>
      <c r="K62" s="146"/>
    </row>
    <row r="63" spans="1:11">
      <c r="A63" s="253"/>
      <c r="B63" s="145"/>
      <c r="C63" s="145"/>
      <c r="D63" s="145"/>
      <c r="E63" s="145"/>
      <c r="F63" s="145"/>
      <c r="G63" s="145"/>
      <c r="H63" s="145"/>
      <c r="I63" s="145"/>
      <c r="J63" s="145"/>
      <c r="K63" s="146"/>
    </row>
    <row r="64" spans="1:11">
      <c r="A64" s="253"/>
      <c r="B64" s="145"/>
      <c r="C64" s="145"/>
      <c r="D64" s="145"/>
      <c r="E64" s="145"/>
      <c r="F64" s="145"/>
      <c r="G64" s="145"/>
      <c r="H64" s="145"/>
      <c r="I64" s="145"/>
      <c r="J64" s="145"/>
      <c r="K64" s="146"/>
    </row>
    <row r="65" spans="1:11">
      <c r="A65" s="253"/>
      <c r="B65" s="145"/>
      <c r="C65" s="145"/>
      <c r="D65" s="145"/>
      <c r="E65" s="145"/>
      <c r="F65" s="145"/>
      <c r="G65" s="145"/>
      <c r="H65" s="145"/>
      <c r="I65" s="145"/>
      <c r="J65" s="145"/>
      <c r="K65" s="146"/>
    </row>
    <row r="66" spans="1:11">
      <c r="A66" s="253"/>
      <c r="B66" s="145"/>
      <c r="C66" s="145"/>
      <c r="D66" s="145"/>
      <c r="E66" s="145"/>
      <c r="F66" s="145"/>
      <c r="G66" s="145"/>
      <c r="H66" s="145"/>
      <c r="I66" s="145"/>
      <c r="J66" s="145"/>
      <c r="K66" s="146"/>
    </row>
    <row r="67" spans="1:11">
      <c r="A67" s="253"/>
      <c r="B67" s="145"/>
      <c r="C67" s="145"/>
      <c r="D67" s="145"/>
      <c r="E67" s="145"/>
      <c r="F67" s="145"/>
      <c r="G67" s="145"/>
      <c r="H67" s="145"/>
      <c r="I67" s="145"/>
      <c r="J67" s="145"/>
      <c r="K67" s="146"/>
    </row>
    <row r="68" spans="1:11">
      <c r="A68" s="253"/>
      <c r="B68" s="145"/>
      <c r="C68" s="145"/>
      <c r="D68" s="145"/>
      <c r="E68" s="145"/>
      <c r="F68" s="145"/>
      <c r="G68" s="145"/>
      <c r="H68" s="145"/>
      <c r="I68" s="145"/>
      <c r="J68" s="145"/>
      <c r="K68" s="146"/>
    </row>
    <row r="69" spans="1:11">
      <c r="A69" s="253"/>
      <c r="B69" s="145"/>
      <c r="C69" s="145"/>
      <c r="D69" s="145"/>
      <c r="E69" s="145"/>
      <c r="F69" s="145"/>
      <c r="G69" s="145"/>
      <c r="H69" s="145"/>
      <c r="I69" s="145"/>
      <c r="J69" s="145"/>
      <c r="K69" s="146"/>
    </row>
    <row r="70" spans="1:11">
      <c r="A70" s="253"/>
      <c r="B70" s="145"/>
      <c r="C70" s="145"/>
      <c r="D70" s="145"/>
      <c r="E70" s="145"/>
      <c r="F70" s="145"/>
      <c r="G70" s="145"/>
      <c r="H70" s="145"/>
      <c r="I70" s="145"/>
      <c r="J70" s="145"/>
      <c r="K70" s="146"/>
    </row>
    <row r="71" spans="1:11">
      <c r="A71" s="253"/>
      <c r="B71" s="145"/>
      <c r="C71" s="145"/>
      <c r="D71" s="145"/>
      <c r="E71" s="145"/>
      <c r="F71" s="145"/>
      <c r="G71" s="145"/>
      <c r="H71" s="145"/>
      <c r="I71" s="145"/>
      <c r="J71" s="145"/>
      <c r="K71" s="146"/>
    </row>
    <row r="72" spans="1:11">
      <c r="A72" s="253"/>
      <c r="B72" s="145"/>
      <c r="C72" s="145"/>
      <c r="D72" s="145"/>
      <c r="E72" s="145"/>
      <c r="F72" s="145"/>
      <c r="G72" s="145"/>
      <c r="H72" s="145"/>
      <c r="I72" s="145"/>
      <c r="J72" s="145"/>
      <c r="K72" s="146"/>
    </row>
    <row r="73" spans="1:11">
      <c r="A73" s="253"/>
      <c r="B73" s="145"/>
      <c r="C73" s="145"/>
      <c r="D73" s="145"/>
      <c r="E73" s="145"/>
      <c r="F73" s="145"/>
      <c r="G73" s="145"/>
      <c r="H73" s="145"/>
      <c r="I73" s="145"/>
      <c r="J73" s="145"/>
      <c r="K73" s="146"/>
    </row>
    <row r="74" spans="1:11">
      <c r="A74" s="253"/>
      <c r="B74" s="145"/>
      <c r="C74" s="145"/>
      <c r="D74" s="145"/>
      <c r="E74" s="145"/>
      <c r="F74" s="145"/>
      <c r="G74" s="145"/>
      <c r="H74" s="145"/>
      <c r="I74" s="145"/>
      <c r="J74" s="145"/>
      <c r="K74" s="146"/>
    </row>
    <row r="75" spans="1:11">
      <c r="A75" s="253"/>
      <c r="B75" s="145"/>
      <c r="C75" s="145"/>
      <c r="D75" s="145"/>
      <c r="E75" s="145"/>
      <c r="F75" s="145"/>
      <c r="G75" s="145"/>
      <c r="H75" s="145"/>
      <c r="I75" s="145"/>
      <c r="J75" s="145"/>
      <c r="K75" s="146"/>
    </row>
    <row r="76" spans="1:11">
      <c r="A76" s="253"/>
      <c r="B76" s="145"/>
      <c r="C76" s="145"/>
      <c r="D76" s="145"/>
      <c r="E76" s="145"/>
      <c r="F76" s="145"/>
      <c r="G76" s="145"/>
      <c r="H76" s="145"/>
      <c r="I76" s="145"/>
      <c r="J76" s="145"/>
      <c r="K76" s="146"/>
    </row>
    <row r="77" spans="1:11">
      <c r="A77" s="253"/>
      <c r="B77" s="145"/>
      <c r="C77" s="145"/>
      <c r="D77" s="145"/>
      <c r="E77" s="145"/>
      <c r="F77" s="145"/>
      <c r="G77" s="145"/>
      <c r="H77" s="145"/>
      <c r="I77" s="145"/>
      <c r="J77" s="145"/>
      <c r="K77" s="146"/>
    </row>
    <row r="78" spans="1:11">
      <c r="A78" s="253"/>
      <c r="B78" s="145"/>
      <c r="C78" s="145"/>
      <c r="D78" s="145"/>
      <c r="E78" s="145"/>
      <c r="F78" s="145"/>
      <c r="G78" s="145"/>
      <c r="H78" s="145"/>
      <c r="I78" s="145"/>
      <c r="J78" s="145"/>
      <c r="K78" s="146"/>
    </row>
    <row r="79" spans="1:11">
      <c r="A79" s="253"/>
      <c r="B79" s="145"/>
      <c r="C79" s="145"/>
      <c r="D79" s="145"/>
      <c r="E79" s="145"/>
      <c r="F79" s="145"/>
      <c r="G79" s="145"/>
      <c r="H79" s="145"/>
      <c r="I79" s="145"/>
      <c r="J79" s="145"/>
      <c r="K79" s="146"/>
    </row>
    <row r="80" spans="1:11">
      <c r="A80" s="253"/>
      <c r="B80" s="145"/>
      <c r="C80" s="145"/>
      <c r="D80" s="145"/>
      <c r="E80" s="145"/>
      <c r="F80" s="145"/>
      <c r="G80" s="145"/>
      <c r="H80" s="145"/>
      <c r="I80" s="145"/>
      <c r="J80" s="145"/>
      <c r="K80" s="146"/>
    </row>
    <row r="81" spans="1:11">
      <c r="A81" s="253"/>
      <c r="B81" s="145"/>
      <c r="C81" s="145"/>
      <c r="D81" s="145"/>
      <c r="E81" s="145"/>
      <c r="F81" s="145"/>
      <c r="G81" s="145"/>
      <c r="H81" s="145"/>
      <c r="I81" s="145"/>
      <c r="J81" s="145"/>
      <c r="K81" s="146"/>
    </row>
    <row r="82" spans="1:11">
      <c r="A82" s="253"/>
      <c r="B82" s="145"/>
      <c r="C82" s="145"/>
      <c r="D82" s="145"/>
      <c r="E82" s="145"/>
      <c r="F82" s="145"/>
      <c r="G82" s="145"/>
      <c r="H82" s="145"/>
      <c r="I82" s="145"/>
      <c r="J82" s="145"/>
      <c r="K82" s="146"/>
    </row>
    <row r="83" spans="1:11">
      <c r="A83" s="253"/>
      <c r="B83" s="145"/>
      <c r="C83" s="145"/>
      <c r="D83" s="145"/>
      <c r="E83" s="145"/>
      <c r="F83" s="145"/>
      <c r="G83" s="145"/>
      <c r="H83" s="145"/>
      <c r="I83" s="145"/>
      <c r="J83" s="145"/>
      <c r="K83" s="146"/>
    </row>
    <row r="84" spans="1:11">
      <c r="A84" s="253"/>
      <c r="B84" s="145"/>
      <c r="C84" s="145"/>
      <c r="D84" s="145"/>
      <c r="E84" s="145"/>
      <c r="F84" s="145"/>
      <c r="G84" s="145"/>
      <c r="H84" s="145"/>
      <c r="I84" s="145"/>
      <c r="J84" s="145"/>
      <c r="K84" s="146"/>
    </row>
    <row r="85" spans="1:11">
      <c r="A85" s="253"/>
      <c r="B85" s="145"/>
      <c r="C85" s="145"/>
      <c r="D85" s="145"/>
      <c r="E85" s="145"/>
      <c r="F85" s="145"/>
      <c r="G85" s="145"/>
      <c r="H85" s="145"/>
      <c r="I85" s="145"/>
      <c r="J85" s="145"/>
      <c r="K85" s="146"/>
    </row>
    <row r="86" spans="1:11">
      <c r="A86" s="253"/>
      <c r="B86" s="145"/>
      <c r="C86" s="145"/>
      <c r="D86" s="145"/>
      <c r="E86" s="145"/>
      <c r="F86" s="145"/>
      <c r="G86" s="145"/>
      <c r="H86" s="145"/>
      <c r="I86" s="145"/>
      <c r="J86" s="145"/>
      <c r="K86" s="146"/>
    </row>
    <row r="87" spans="1:11">
      <c r="A87" s="253"/>
      <c r="B87" s="145"/>
      <c r="C87" s="145"/>
      <c r="D87" s="145"/>
      <c r="E87" s="145"/>
      <c r="F87" s="145"/>
      <c r="G87" s="145"/>
      <c r="H87" s="145"/>
      <c r="I87" s="145"/>
      <c r="J87" s="145"/>
      <c r="K87" s="146"/>
    </row>
    <row r="88" spans="1:11">
      <c r="A88" s="253"/>
      <c r="B88" s="145"/>
      <c r="C88" s="145"/>
      <c r="D88" s="145"/>
      <c r="E88" s="145"/>
      <c r="F88" s="145"/>
      <c r="G88" s="145"/>
      <c r="H88" s="145"/>
      <c r="I88" s="145"/>
      <c r="J88" s="145"/>
      <c r="K88" s="146"/>
    </row>
    <row r="89" spans="1:11">
      <c r="A89" s="253"/>
      <c r="B89" s="145"/>
      <c r="C89" s="145"/>
      <c r="D89" s="145"/>
      <c r="E89" s="145"/>
      <c r="F89" s="145"/>
      <c r="G89" s="145"/>
      <c r="H89" s="145"/>
      <c r="I89" s="145"/>
      <c r="J89" s="145"/>
      <c r="K89" s="146"/>
    </row>
    <row r="90" spans="1:11">
      <c r="A90" s="253"/>
      <c r="B90" s="145"/>
      <c r="C90" s="145"/>
      <c r="D90" s="145"/>
      <c r="E90" s="145"/>
      <c r="F90" s="145"/>
      <c r="G90" s="145"/>
      <c r="H90" s="145"/>
      <c r="I90" s="145"/>
      <c r="J90" s="145"/>
      <c r="K90" s="146"/>
    </row>
    <row r="91" spans="1:11">
      <c r="A91" s="253"/>
      <c r="B91" s="145"/>
      <c r="C91" s="145"/>
      <c r="D91" s="145"/>
      <c r="E91" s="145"/>
      <c r="F91" s="145"/>
      <c r="G91" s="145"/>
      <c r="H91" s="145"/>
      <c r="I91" s="145"/>
      <c r="J91" s="145"/>
      <c r="K91" s="146"/>
    </row>
    <row r="92" spans="1:11">
      <c r="A92" s="253"/>
      <c r="B92" s="145"/>
      <c r="C92" s="145"/>
      <c r="D92" s="145"/>
      <c r="E92" s="145"/>
      <c r="F92" s="145"/>
      <c r="G92" s="145"/>
      <c r="H92" s="145"/>
      <c r="I92" s="145"/>
      <c r="J92" s="145"/>
      <c r="K92" s="146"/>
    </row>
    <row r="93" spans="1:11">
      <c r="A93" s="253"/>
      <c r="B93" s="145"/>
      <c r="C93" s="145"/>
      <c r="D93" s="145"/>
      <c r="E93" s="145"/>
      <c r="F93" s="145"/>
      <c r="G93" s="145"/>
      <c r="H93" s="145"/>
      <c r="I93" s="145"/>
      <c r="J93" s="145"/>
      <c r="K93" s="146"/>
    </row>
    <row r="94" spans="1:11">
      <c r="A94" s="253"/>
      <c r="B94" s="145"/>
      <c r="C94" s="145"/>
      <c r="D94" s="145"/>
      <c r="E94" s="145"/>
      <c r="F94" s="145"/>
      <c r="G94" s="145"/>
      <c r="H94" s="145"/>
      <c r="I94" s="145"/>
      <c r="J94" s="145"/>
      <c r="K94" s="146"/>
    </row>
    <row r="95" spans="1:11">
      <c r="A95" s="253"/>
      <c r="B95" s="145"/>
      <c r="C95" s="145"/>
      <c r="D95" s="145"/>
      <c r="E95" s="145"/>
      <c r="F95" s="145"/>
      <c r="G95" s="145"/>
      <c r="H95" s="145"/>
      <c r="I95" s="145"/>
      <c r="J95" s="145"/>
      <c r="K95" s="146"/>
    </row>
    <row r="96" spans="1:11">
      <c r="A96" s="253"/>
      <c r="B96" s="145"/>
      <c r="C96" s="145"/>
      <c r="D96" s="145"/>
      <c r="E96" s="145"/>
      <c r="F96" s="145"/>
      <c r="G96" s="145"/>
      <c r="H96" s="145"/>
      <c r="I96" s="145"/>
      <c r="J96" s="145"/>
      <c r="K96" s="146"/>
    </row>
    <row r="97" spans="1:11">
      <c r="A97" s="253"/>
      <c r="B97" s="145"/>
      <c r="C97" s="145"/>
      <c r="D97" s="145"/>
      <c r="E97" s="145"/>
      <c r="F97" s="145"/>
      <c r="G97" s="145"/>
      <c r="H97" s="145"/>
      <c r="I97" s="145"/>
      <c r="J97" s="145"/>
      <c r="K97" s="146"/>
    </row>
    <row r="98" spans="1:11" ht="17.25" thickBot="1">
      <c r="A98" s="254"/>
      <c r="B98" s="107"/>
      <c r="C98" s="107"/>
      <c r="D98" s="107"/>
      <c r="E98" s="107"/>
      <c r="F98" s="107"/>
      <c r="G98" s="107"/>
      <c r="H98" s="107"/>
      <c r="I98" s="107"/>
      <c r="J98" s="107"/>
      <c r="K98" s="108"/>
    </row>
  </sheetData>
  <mergeCells count="1">
    <mergeCell ref="O21:Q21"/>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A980-57FF-448F-BD70-ADDB48343BBC}">
  <sheetPr codeName="Sheet9">
    <tabColor theme="7" tint="0.79998168889431442"/>
  </sheetPr>
  <dimension ref="A3:BK45"/>
  <sheetViews>
    <sheetView topLeftCell="A2" zoomScale="85" zoomScaleNormal="85" workbookViewId="0">
      <selection activeCell="A7" sqref="A7:BC11"/>
    </sheetView>
  </sheetViews>
  <sheetFormatPr defaultRowHeight="16.5"/>
  <cols>
    <col min="1" max="3" width="9" style="2"/>
    <col min="4" max="4" width="11.875" style="2" bestFit="1" customWidth="1"/>
    <col min="5" max="5" width="27.125" style="2" bestFit="1" customWidth="1"/>
    <col min="6" max="6" width="15.625" style="2" bestFit="1" customWidth="1"/>
    <col min="7" max="7" width="17.625" style="2" bestFit="1" customWidth="1"/>
    <col min="8" max="8" width="19.125" style="2" customWidth="1"/>
    <col min="9" max="12" width="11.125" style="2" bestFit="1" customWidth="1"/>
    <col min="13" max="13" width="9.125" style="2" bestFit="1" customWidth="1"/>
    <col min="14" max="14" width="9" style="2"/>
    <col min="15" max="16" width="13" style="2" bestFit="1" customWidth="1"/>
    <col min="17" max="56" width="9" style="2"/>
    <col min="57" max="58" width="12.5" bestFit="1" customWidth="1"/>
    <col min="60" max="60" width="10.5" bestFit="1" customWidth="1"/>
    <col min="62" max="63" width="11.625" bestFit="1" customWidth="1"/>
  </cols>
  <sheetData>
    <row r="3" spans="1:63">
      <c r="BF3" s="52"/>
    </row>
    <row r="6" spans="1:63">
      <c r="A6" s="2" t="s">
        <v>650</v>
      </c>
      <c r="B6" s="2" t="s">
        <v>651</v>
      </c>
      <c r="C6" s="2" t="s">
        <v>652</v>
      </c>
      <c r="D6" s="2" t="s">
        <v>653</v>
      </c>
      <c r="E6" s="2" t="s">
        <v>654</v>
      </c>
      <c r="F6" s="2" t="s">
        <v>655</v>
      </c>
      <c r="G6" s="2" t="s">
        <v>656</v>
      </c>
      <c r="H6" s="2" t="s">
        <v>657</v>
      </c>
      <c r="I6" s="2" t="s">
        <v>658</v>
      </c>
      <c r="J6" s="2" t="s">
        <v>659</v>
      </c>
      <c r="K6" s="2" t="s">
        <v>660</v>
      </c>
      <c r="L6" s="2" t="s">
        <v>661</v>
      </c>
      <c r="M6" s="2" t="s">
        <v>662</v>
      </c>
      <c r="N6" s="2" t="s">
        <v>663</v>
      </c>
      <c r="O6" s="2" t="s">
        <v>664</v>
      </c>
      <c r="P6" s="2" t="s">
        <v>665</v>
      </c>
      <c r="Q6" s="2" t="s">
        <v>666</v>
      </c>
      <c r="R6" s="2" t="s">
        <v>667</v>
      </c>
      <c r="S6" s="2" t="s">
        <v>668</v>
      </c>
      <c r="T6" s="2" t="s">
        <v>29</v>
      </c>
      <c r="U6" s="2" t="s">
        <v>30</v>
      </c>
      <c r="V6" s="2" t="s">
        <v>669</v>
      </c>
      <c r="W6" s="2" t="s">
        <v>670</v>
      </c>
      <c r="X6" s="2" t="s">
        <v>671</v>
      </c>
      <c r="Y6" s="2" t="s">
        <v>672</v>
      </c>
      <c r="Z6" s="2" t="s">
        <v>33</v>
      </c>
      <c r="AA6" s="2" t="s">
        <v>673</v>
      </c>
      <c r="AB6" s="2" t="s">
        <v>35</v>
      </c>
      <c r="AC6" s="2" t="s">
        <v>674</v>
      </c>
      <c r="AD6" s="2" t="s">
        <v>675</v>
      </c>
      <c r="AE6" s="2" t="s">
        <v>676</v>
      </c>
      <c r="AF6" s="2" t="s">
        <v>677</v>
      </c>
      <c r="AG6" s="2" t="s">
        <v>678</v>
      </c>
      <c r="AH6" s="2" t="s">
        <v>679</v>
      </c>
      <c r="AI6" s="2" t="s">
        <v>680</v>
      </c>
      <c r="AJ6" s="2" t="s">
        <v>681</v>
      </c>
      <c r="AK6" s="2" t="s">
        <v>682</v>
      </c>
      <c r="AL6" s="2" t="s">
        <v>683</v>
      </c>
      <c r="AM6" s="2" t="s">
        <v>684</v>
      </c>
      <c r="AN6" s="2" t="s">
        <v>685</v>
      </c>
      <c r="AO6" s="2" t="s">
        <v>686</v>
      </c>
      <c r="AP6" s="2" t="s">
        <v>687</v>
      </c>
      <c r="AQ6" s="2" t="s">
        <v>688</v>
      </c>
      <c r="AR6" s="2" t="s">
        <v>689</v>
      </c>
      <c r="AS6" s="2" t="s">
        <v>690</v>
      </c>
      <c r="AT6" s="2" t="s">
        <v>691</v>
      </c>
      <c r="AU6" s="2" t="s">
        <v>692</v>
      </c>
      <c r="AV6" s="2" t="s">
        <v>693</v>
      </c>
      <c r="AW6" s="2" t="s">
        <v>694</v>
      </c>
      <c r="AX6" s="2" t="s">
        <v>695</v>
      </c>
      <c r="AY6" s="2" t="s">
        <v>696</v>
      </c>
      <c r="AZ6" s="2" t="s">
        <v>697</v>
      </c>
      <c r="BA6" s="2" t="s">
        <v>928</v>
      </c>
      <c r="BB6" s="2" t="s">
        <v>1045</v>
      </c>
      <c r="BC6" s="2" t="s">
        <v>1046</v>
      </c>
      <c r="BG6" t="s">
        <v>666</v>
      </c>
      <c r="BH6" t="s">
        <v>667</v>
      </c>
    </row>
    <row r="7" spans="1:63">
      <c r="U7" s="198"/>
      <c r="AE7" s="198"/>
      <c r="AP7" s="199"/>
      <c r="BE7" s="3" t="str">
        <f>IFERROR(DATE(RIGHT(BG7,4),LEFT(BG7,FIND("/",LEFT(BG7,LEN(BG7)-5))-1),MID(LEFT(BG7,LEN(BG7)-5),FIND("/",LEFT(BG7,LEN(BG7)-5))+1,2)),"")</f>
        <v/>
      </c>
      <c r="BF7" s="3" t="str">
        <f>IFERROR(DATE(RIGHT(BH7,4),LEFT(BH7,FIND("/",LEFT(BH7,LEN(BH7)-5))-1),MID(LEFT(BH7,LEN(BH7)-5),FIND("/",LEFT(BH7,LEN(BH7)-5))+1,2)),"")</f>
        <v/>
      </c>
      <c r="BG7" t="str">
        <f t="shared" ref="BG7:BG45" si="0">IF(INDEX($A$1:$AX$45,BI7,MATCH(BG$6,$6:$6,0))=0,"",INDEX($A$1:$AX$45,BI7,MATCH(BG$6,$6:$6,0)))</f>
        <v/>
      </c>
      <c r="BH7" t="str">
        <f>IF(INDEX($A$1:$AX$45,BI7,MATCH($BH$6,$6:$6,0))=0,"",INDEX($A$1:AX45,BI7,MATCH($BH$6,$6:$6,0)))</f>
        <v/>
      </c>
      <c r="BI7">
        <v>7</v>
      </c>
      <c r="BJ7" s="3"/>
      <c r="BK7" s="200"/>
    </row>
    <row r="8" spans="1:63">
      <c r="U8" s="198"/>
      <c r="AE8" s="198"/>
      <c r="AP8" s="199"/>
      <c r="BE8" s="3" t="str">
        <f t="shared" ref="BE8:BE45" si="1">IFERROR(DATE(RIGHT(BG8,4),LEFT(BG8,FIND("/",LEFT(BG8,LEN(BG8)-5))-1),MID(LEFT(BG8,LEN(BG8)-5),FIND("/",LEFT(BG8,LEN(BG8)-5))+1,2)),"")</f>
        <v/>
      </c>
      <c r="BF8" s="3" t="str">
        <f t="shared" ref="BF8:BF45" si="2">IFERROR(DATE(RIGHT(BH8,4),LEFT(BH8,FIND("/",LEFT(BH8,LEN(BH8)-5))-1),MID(LEFT(BH8,LEN(BH8)-5),FIND("/",LEFT(BH8,LEN(BH8)-5))+1,2)),"")</f>
        <v/>
      </c>
      <c r="BG8" t="str">
        <f t="shared" si="0"/>
        <v/>
      </c>
      <c r="BH8" t="str">
        <f>IF(INDEX($A$1:$AX$45,BI8,MATCH($BH$6,$6:$6,0))=0,"",INDEX($A$1:AX46,BI8,MATCH($BH$6,$6:$6,0)))</f>
        <v/>
      </c>
      <c r="BI8">
        <v>8</v>
      </c>
      <c r="BK8" s="200"/>
    </row>
    <row r="9" spans="1:63">
      <c r="U9" s="198"/>
      <c r="AE9" s="198"/>
      <c r="AP9" s="199"/>
      <c r="BE9" s="3" t="str">
        <f t="shared" si="1"/>
        <v/>
      </c>
      <c r="BF9" s="3" t="str">
        <f t="shared" si="2"/>
        <v/>
      </c>
      <c r="BG9" t="str">
        <f t="shared" si="0"/>
        <v/>
      </c>
      <c r="BH9" t="str">
        <f>IF(INDEX($A$1:$AX$45,BI9,MATCH($BH$6,$6:$6,0))=0,"",INDEX($A$1:AX47,BI9,MATCH($BH$6,$6:$6,0)))</f>
        <v/>
      </c>
      <c r="BI9">
        <v>9</v>
      </c>
      <c r="BK9" s="200"/>
    </row>
    <row r="10" spans="1:63">
      <c r="U10" s="198"/>
      <c r="AE10" s="198"/>
      <c r="AP10" s="199"/>
      <c r="BE10" s="3" t="str">
        <f t="shared" si="1"/>
        <v/>
      </c>
      <c r="BF10" s="3" t="str">
        <f t="shared" si="2"/>
        <v/>
      </c>
      <c r="BG10" t="str">
        <f t="shared" si="0"/>
        <v/>
      </c>
      <c r="BH10" t="str">
        <f>IF(INDEX($A$1:$AX$45,BI10,MATCH($BH$6,$6:$6,0))=0,"",INDEX($A$1:AX48,BI10,MATCH($BH$6,$6:$6,0)))</f>
        <v/>
      </c>
      <c r="BI10">
        <v>10</v>
      </c>
    </row>
    <row r="11" spans="1:63">
      <c r="U11" s="198"/>
      <c r="AE11" s="198"/>
      <c r="AP11" s="199"/>
      <c r="BE11" s="3" t="str">
        <f t="shared" si="1"/>
        <v/>
      </c>
      <c r="BF11" s="3" t="str">
        <f t="shared" si="2"/>
        <v/>
      </c>
      <c r="BG11" t="str">
        <f t="shared" si="0"/>
        <v/>
      </c>
      <c r="BH11" t="str">
        <f>IF(INDEX($A$1:$AX$45,BI11,MATCH($BH$6,$6:$6,0))=0,"",INDEX($A$1:AX49,BI11,MATCH($BH$6,$6:$6,0)))</f>
        <v/>
      </c>
      <c r="BI11">
        <v>11</v>
      </c>
    </row>
    <row r="12" spans="1:63">
      <c r="U12" s="198"/>
      <c r="AE12" s="198"/>
      <c r="AP12" s="199"/>
      <c r="BE12" s="3" t="str">
        <f t="shared" si="1"/>
        <v/>
      </c>
      <c r="BF12" s="3" t="str">
        <f t="shared" si="2"/>
        <v/>
      </c>
      <c r="BG12" t="str">
        <f t="shared" si="0"/>
        <v/>
      </c>
      <c r="BH12" t="str">
        <f>IF(INDEX($A$1:$AX$45,BI12,MATCH($BH$6,$6:$6,0))=0,"",INDEX($A$1:AX50,BI12,MATCH($BH$6,$6:$6,0)))</f>
        <v/>
      </c>
      <c r="BI12">
        <v>12</v>
      </c>
    </row>
    <row r="13" spans="1:63">
      <c r="U13" s="198"/>
      <c r="AE13" s="198"/>
      <c r="AP13" s="199"/>
      <c r="BE13" s="3" t="str">
        <f t="shared" si="1"/>
        <v/>
      </c>
      <c r="BF13" s="3" t="str">
        <f t="shared" si="2"/>
        <v/>
      </c>
      <c r="BG13" t="str">
        <f t="shared" si="0"/>
        <v/>
      </c>
      <c r="BH13" t="str">
        <f>IF(INDEX($A$1:$AX$45,BI13,MATCH($BH$6,$6:$6,0))=0,"",INDEX($A$1:AX51,BI13,MATCH($BH$6,$6:$6,0)))</f>
        <v/>
      </c>
      <c r="BI13">
        <v>13</v>
      </c>
    </row>
    <row r="14" spans="1:63">
      <c r="U14" s="198"/>
      <c r="AE14" s="198"/>
      <c r="AP14" s="199"/>
      <c r="BE14" s="3" t="str">
        <f t="shared" si="1"/>
        <v/>
      </c>
      <c r="BF14" s="3" t="str">
        <f t="shared" si="2"/>
        <v/>
      </c>
      <c r="BG14" t="str">
        <f t="shared" si="0"/>
        <v/>
      </c>
      <c r="BH14" t="str">
        <f>IF(INDEX($A$1:$AX$45,BI14,MATCH($BH$6,$6:$6,0))=0,"",INDEX($A$1:AX52,BI14,MATCH($BH$6,$6:$6,0)))</f>
        <v/>
      </c>
      <c r="BI14">
        <v>14</v>
      </c>
    </row>
    <row r="15" spans="1:63">
      <c r="BE15" s="3" t="str">
        <f t="shared" si="1"/>
        <v/>
      </c>
      <c r="BF15" s="3" t="str">
        <f t="shared" si="2"/>
        <v/>
      </c>
      <c r="BG15" t="str">
        <f t="shared" si="0"/>
        <v/>
      </c>
      <c r="BH15" t="str">
        <f>IF(INDEX($A$1:$AX$45,BI15,MATCH($BH$6,$6:$6,0))=0,"",INDEX($A$1:AX53,BI15,MATCH($BH$6,$6:$6,0)))</f>
        <v/>
      </c>
      <c r="BI15">
        <v>15</v>
      </c>
    </row>
    <row r="16" spans="1:63">
      <c r="BE16" s="3" t="str">
        <f t="shared" si="1"/>
        <v/>
      </c>
      <c r="BF16" s="3" t="str">
        <f t="shared" si="2"/>
        <v/>
      </c>
      <c r="BG16" t="str">
        <f t="shared" si="0"/>
        <v/>
      </c>
      <c r="BH16" t="str">
        <f>IF(INDEX($A$1:$AX$45,BI16,MATCH($BH$6,$6:$6,0))=0,"",INDEX($A$1:AX54,BI16,MATCH($BH$6,$6:$6,0)))</f>
        <v/>
      </c>
      <c r="BI16">
        <v>16</v>
      </c>
    </row>
    <row r="17" spans="57:61">
      <c r="BE17" s="3" t="str">
        <f t="shared" si="1"/>
        <v/>
      </c>
      <c r="BF17" s="3" t="str">
        <f t="shared" si="2"/>
        <v/>
      </c>
      <c r="BG17" t="str">
        <f t="shared" si="0"/>
        <v/>
      </c>
      <c r="BH17" t="str">
        <f>IF(INDEX($A$1:$AX$45,BI17,MATCH($BH$6,$6:$6,0))=0,"",INDEX($A$1:AX55,BI17,MATCH($BH$6,$6:$6,0)))</f>
        <v/>
      </c>
      <c r="BI17">
        <v>17</v>
      </c>
    </row>
    <row r="18" spans="57:61">
      <c r="BE18" s="3" t="str">
        <f t="shared" si="1"/>
        <v/>
      </c>
      <c r="BF18" s="3" t="str">
        <f t="shared" si="2"/>
        <v/>
      </c>
      <c r="BG18" t="str">
        <f t="shared" si="0"/>
        <v/>
      </c>
      <c r="BH18" t="str">
        <f>IF(INDEX($A$1:$AX$45,BI18,MATCH($BH$6,$6:$6,0))=0,"",INDEX($A$1:AX56,BI18,MATCH($BH$6,$6:$6,0)))</f>
        <v/>
      </c>
      <c r="BI18">
        <v>18</v>
      </c>
    </row>
    <row r="19" spans="57:61">
      <c r="BE19" s="3" t="str">
        <f t="shared" si="1"/>
        <v/>
      </c>
      <c r="BF19" s="3" t="str">
        <f t="shared" si="2"/>
        <v/>
      </c>
      <c r="BG19" t="str">
        <f t="shared" si="0"/>
        <v/>
      </c>
      <c r="BH19" t="str">
        <f>IF(INDEX($A$1:$AX$45,BI19,MATCH($BH$6,$6:$6,0))=0,"",INDEX($A$1:AX57,BI19,MATCH($BH$6,$6:$6,0)))</f>
        <v/>
      </c>
      <c r="BI19">
        <v>19</v>
      </c>
    </row>
    <row r="20" spans="57:61">
      <c r="BE20" s="3" t="str">
        <f t="shared" si="1"/>
        <v/>
      </c>
      <c r="BF20" s="3" t="str">
        <f t="shared" si="2"/>
        <v/>
      </c>
      <c r="BG20" t="str">
        <f t="shared" si="0"/>
        <v/>
      </c>
      <c r="BH20" t="str">
        <f>IF(INDEX($A$1:$AX$45,BI20,MATCH($BH$6,$6:$6,0))=0,"",INDEX($A$1:AX58,BI20,MATCH($BH$6,$6:$6,0)))</f>
        <v/>
      </c>
      <c r="BI20">
        <v>20</v>
      </c>
    </row>
    <row r="21" spans="57:61">
      <c r="BE21" s="3" t="str">
        <f t="shared" si="1"/>
        <v/>
      </c>
      <c r="BF21" s="3" t="str">
        <f t="shared" si="2"/>
        <v/>
      </c>
      <c r="BG21" t="str">
        <f t="shared" si="0"/>
        <v/>
      </c>
      <c r="BH21" t="str">
        <f>IF(INDEX($A$1:$AX$45,BI21,MATCH($BH$6,$6:$6,0))=0,"",INDEX($A$1:AX59,BI21,MATCH($BH$6,$6:$6,0)))</f>
        <v/>
      </c>
      <c r="BI21">
        <v>21</v>
      </c>
    </row>
    <row r="22" spans="57:61">
      <c r="BE22" s="3" t="str">
        <f t="shared" si="1"/>
        <v/>
      </c>
      <c r="BF22" s="3" t="str">
        <f t="shared" si="2"/>
        <v/>
      </c>
      <c r="BG22" t="str">
        <f t="shared" si="0"/>
        <v/>
      </c>
      <c r="BH22" t="str">
        <f>IF(INDEX($A$1:$AX$45,BI22,MATCH($BH$6,$6:$6,0))=0,"",INDEX($A$1:AX60,BI22,MATCH($BH$6,$6:$6,0)))</f>
        <v/>
      </c>
      <c r="BI22">
        <v>22</v>
      </c>
    </row>
    <row r="23" spans="57:61">
      <c r="BE23" s="3" t="str">
        <f t="shared" si="1"/>
        <v/>
      </c>
      <c r="BF23" s="3" t="str">
        <f t="shared" si="2"/>
        <v/>
      </c>
      <c r="BG23" t="str">
        <f t="shared" si="0"/>
        <v/>
      </c>
      <c r="BH23" t="str">
        <f>IF(INDEX($A$1:$AX$45,BI23,MATCH($BH$6,$6:$6,0))=0,"",INDEX($A$1:AX61,BI23,MATCH($BH$6,$6:$6,0)))</f>
        <v/>
      </c>
      <c r="BI23">
        <v>23</v>
      </c>
    </row>
    <row r="24" spans="57:61">
      <c r="BE24" s="3" t="str">
        <f t="shared" si="1"/>
        <v/>
      </c>
      <c r="BF24" s="3" t="str">
        <f t="shared" si="2"/>
        <v/>
      </c>
      <c r="BG24" t="str">
        <f t="shared" si="0"/>
        <v/>
      </c>
      <c r="BH24" t="str">
        <f>IF(INDEX($A$1:$AX$45,BI24,MATCH($BH$6,$6:$6,0))=0,"",INDEX($A$1:AX62,BI24,MATCH($BH$6,$6:$6,0)))</f>
        <v/>
      </c>
      <c r="BI24">
        <v>24</v>
      </c>
    </row>
    <row r="25" spans="57:61">
      <c r="BE25" s="3" t="str">
        <f t="shared" si="1"/>
        <v/>
      </c>
      <c r="BF25" s="3" t="str">
        <f t="shared" si="2"/>
        <v/>
      </c>
      <c r="BG25" t="str">
        <f t="shared" si="0"/>
        <v/>
      </c>
      <c r="BH25" t="str">
        <f>IF(INDEX($A$1:$AX$45,BI25,MATCH($BH$6,$6:$6,0))=0,"",INDEX($A$1:AX63,BI25,MATCH($BH$6,$6:$6,0)))</f>
        <v/>
      </c>
      <c r="BI25">
        <v>25</v>
      </c>
    </row>
    <row r="26" spans="57:61">
      <c r="BE26" s="3" t="str">
        <f t="shared" si="1"/>
        <v/>
      </c>
      <c r="BF26" s="3" t="str">
        <f t="shared" si="2"/>
        <v/>
      </c>
      <c r="BG26" t="str">
        <f t="shared" si="0"/>
        <v/>
      </c>
      <c r="BH26" t="str">
        <f>IF(INDEX($A$1:$AX$45,BI26,MATCH($BH$6,$6:$6,0))=0,"",INDEX($A$1:AX64,BI26,MATCH($BH$6,$6:$6,0)))</f>
        <v/>
      </c>
      <c r="BI26">
        <v>26</v>
      </c>
    </row>
    <row r="27" spans="57:61">
      <c r="BE27" s="3" t="str">
        <f t="shared" si="1"/>
        <v/>
      </c>
      <c r="BF27" s="3" t="str">
        <f t="shared" si="2"/>
        <v/>
      </c>
      <c r="BG27" t="str">
        <f t="shared" si="0"/>
        <v/>
      </c>
      <c r="BH27" t="str">
        <f>IF(INDEX($A$1:$AX$45,BI27,MATCH($BH$6,$6:$6,0))=0,"",INDEX($A$1:AX65,BI27,MATCH($BH$6,$6:$6,0)))</f>
        <v/>
      </c>
      <c r="BI27">
        <v>27</v>
      </c>
    </row>
    <row r="28" spans="57:61">
      <c r="BE28" s="3" t="str">
        <f t="shared" si="1"/>
        <v/>
      </c>
      <c r="BF28" s="3" t="str">
        <f t="shared" si="2"/>
        <v/>
      </c>
      <c r="BG28" t="str">
        <f t="shared" si="0"/>
        <v/>
      </c>
      <c r="BH28" t="str">
        <f>IF(INDEX($A$1:$AX$45,BI28,MATCH($BH$6,$6:$6,0))=0,"",INDEX($A$1:AX66,BI28,MATCH($BH$6,$6:$6,0)))</f>
        <v/>
      </c>
      <c r="BI28">
        <v>28</v>
      </c>
    </row>
    <row r="29" spans="57:61">
      <c r="BE29" s="3" t="str">
        <f t="shared" si="1"/>
        <v/>
      </c>
      <c r="BF29" s="3" t="str">
        <f t="shared" si="2"/>
        <v/>
      </c>
      <c r="BG29" t="str">
        <f t="shared" si="0"/>
        <v/>
      </c>
      <c r="BH29" t="str">
        <f>IF(INDEX($A$1:$AX$45,BI29,MATCH($BH$6,$6:$6,0))=0,"",INDEX($A$1:AX67,BI29,MATCH($BH$6,$6:$6,0)))</f>
        <v/>
      </c>
      <c r="BI29">
        <v>29</v>
      </c>
    </row>
    <row r="30" spans="57:61">
      <c r="BE30" s="3" t="str">
        <f t="shared" si="1"/>
        <v/>
      </c>
      <c r="BF30" s="3" t="str">
        <f t="shared" si="2"/>
        <v/>
      </c>
      <c r="BG30" t="str">
        <f t="shared" si="0"/>
        <v/>
      </c>
      <c r="BH30" t="str">
        <f>IF(INDEX($A$1:$AX$45,BI30,MATCH($BH$6,$6:$6,0))=0,"",INDEX($A$1:AX68,BI30,MATCH($BH$6,$6:$6,0)))</f>
        <v/>
      </c>
      <c r="BI30">
        <v>30</v>
      </c>
    </row>
    <row r="31" spans="57:61">
      <c r="BE31" s="3" t="str">
        <f t="shared" si="1"/>
        <v/>
      </c>
      <c r="BF31" s="3" t="str">
        <f t="shared" si="2"/>
        <v/>
      </c>
      <c r="BG31" t="str">
        <f t="shared" si="0"/>
        <v/>
      </c>
      <c r="BH31" t="str">
        <f>IF(INDEX($A$1:$AX$45,BI31,MATCH($BH$6,$6:$6,0))=0,"",INDEX($A$1:AX69,BI31,MATCH($BH$6,$6:$6,0)))</f>
        <v/>
      </c>
      <c r="BI31">
        <v>31</v>
      </c>
    </row>
    <row r="32" spans="57:61">
      <c r="BE32" s="3" t="str">
        <f t="shared" si="1"/>
        <v/>
      </c>
      <c r="BF32" s="3" t="str">
        <f t="shared" si="2"/>
        <v/>
      </c>
      <c r="BG32" t="str">
        <f t="shared" si="0"/>
        <v/>
      </c>
      <c r="BH32" t="str">
        <f>IF(INDEX($A$1:$AX$45,BI32,MATCH($BH$6,$6:$6,0))=0,"",INDEX($A$1:AX70,BI32,MATCH($BH$6,$6:$6,0)))</f>
        <v/>
      </c>
      <c r="BI32">
        <v>32</v>
      </c>
    </row>
    <row r="33" spans="57:61">
      <c r="BE33" s="3" t="str">
        <f t="shared" si="1"/>
        <v/>
      </c>
      <c r="BF33" s="3" t="str">
        <f t="shared" si="2"/>
        <v/>
      </c>
      <c r="BG33" t="str">
        <f t="shared" si="0"/>
        <v/>
      </c>
      <c r="BH33" t="str">
        <f>IF(INDEX($A$1:$AX$45,BI33,MATCH($BH$6,$6:$6,0))=0,"",INDEX($A$1:AX71,BI33,MATCH($BH$6,$6:$6,0)))</f>
        <v/>
      </c>
      <c r="BI33">
        <v>33</v>
      </c>
    </row>
    <row r="34" spans="57:61">
      <c r="BE34" s="3" t="str">
        <f t="shared" si="1"/>
        <v/>
      </c>
      <c r="BF34" s="3" t="str">
        <f t="shared" si="2"/>
        <v/>
      </c>
      <c r="BG34" t="str">
        <f t="shared" si="0"/>
        <v/>
      </c>
      <c r="BH34" t="str">
        <f>IF(INDEX($A$1:$AX$45,BI34,MATCH($BH$6,$6:$6,0))=0,"",INDEX($A$1:AX72,BI34,MATCH($BH$6,$6:$6,0)))</f>
        <v/>
      </c>
      <c r="BI34">
        <v>34</v>
      </c>
    </row>
    <row r="35" spans="57:61">
      <c r="BE35" s="3" t="str">
        <f t="shared" si="1"/>
        <v/>
      </c>
      <c r="BF35" s="3" t="str">
        <f t="shared" si="2"/>
        <v/>
      </c>
      <c r="BG35" t="str">
        <f t="shared" si="0"/>
        <v/>
      </c>
      <c r="BH35" t="str">
        <f>IF(INDEX($A$1:$AX$45,BI35,MATCH($BH$6,$6:$6,0))=0,"",INDEX($A$1:AX73,BI35,MATCH($BH$6,$6:$6,0)))</f>
        <v/>
      </c>
      <c r="BI35">
        <v>35</v>
      </c>
    </row>
    <row r="36" spans="57:61">
      <c r="BE36" s="3" t="str">
        <f t="shared" si="1"/>
        <v/>
      </c>
      <c r="BF36" s="3" t="str">
        <f t="shared" si="2"/>
        <v/>
      </c>
      <c r="BG36" t="str">
        <f t="shared" si="0"/>
        <v/>
      </c>
      <c r="BH36" t="str">
        <f>IF(INDEX($A$1:$AX$45,BI36,MATCH($BH$6,$6:$6,0))=0,"",INDEX($A$1:AX74,BI36,MATCH($BH$6,$6:$6,0)))</f>
        <v/>
      </c>
      <c r="BI36">
        <v>36</v>
      </c>
    </row>
    <row r="37" spans="57:61">
      <c r="BE37" s="3" t="str">
        <f t="shared" si="1"/>
        <v/>
      </c>
      <c r="BF37" s="3" t="str">
        <f t="shared" si="2"/>
        <v/>
      </c>
      <c r="BG37" t="str">
        <f t="shared" si="0"/>
        <v/>
      </c>
      <c r="BH37" t="str">
        <f>IF(INDEX($A$1:$AX$45,BI37,MATCH($BH$6,$6:$6,0))=0,"",INDEX($A$1:AX75,BI37,MATCH($BH$6,$6:$6,0)))</f>
        <v/>
      </c>
      <c r="BI37">
        <v>37</v>
      </c>
    </row>
    <row r="38" spans="57:61">
      <c r="BE38" s="3" t="str">
        <f t="shared" si="1"/>
        <v/>
      </c>
      <c r="BF38" s="3" t="str">
        <f t="shared" si="2"/>
        <v/>
      </c>
      <c r="BG38" t="str">
        <f t="shared" si="0"/>
        <v/>
      </c>
      <c r="BH38" t="str">
        <f>IF(INDEX($A$1:$AX$45,BI38,MATCH($BH$6,$6:$6,0))=0,"",INDEX($A$1:AX76,BI38,MATCH($BH$6,$6:$6,0)))</f>
        <v/>
      </c>
      <c r="BI38">
        <v>38</v>
      </c>
    </row>
    <row r="39" spans="57:61">
      <c r="BE39" s="3" t="str">
        <f t="shared" si="1"/>
        <v/>
      </c>
      <c r="BF39" s="3" t="str">
        <f t="shared" si="2"/>
        <v/>
      </c>
      <c r="BG39" t="str">
        <f t="shared" si="0"/>
        <v/>
      </c>
      <c r="BH39" t="str">
        <f>IF(INDEX($A$1:$AX$45,BI39,MATCH($BH$6,$6:$6,0))=0,"",INDEX($A$1:AX77,BI39,MATCH($BH$6,$6:$6,0)))</f>
        <v/>
      </c>
      <c r="BI39">
        <v>39</v>
      </c>
    </row>
    <row r="40" spans="57:61">
      <c r="BE40" s="3" t="str">
        <f t="shared" si="1"/>
        <v/>
      </c>
      <c r="BF40" s="3" t="str">
        <f t="shared" si="2"/>
        <v/>
      </c>
      <c r="BG40" t="str">
        <f t="shared" si="0"/>
        <v/>
      </c>
      <c r="BH40" t="str">
        <f>IF(INDEX($A$1:$AX$45,BI40,MATCH($BH$6,$6:$6,0))=0,"",INDEX($A$1:AX78,BI40,MATCH($BH$6,$6:$6,0)))</f>
        <v/>
      </c>
      <c r="BI40">
        <v>40</v>
      </c>
    </row>
    <row r="41" spans="57:61">
      <c r="BE41" s="3" t="str">
        <f t="shared" si="1"/>
        <v/>
      </c>
      <c r="BF41" s="3" t="str">
        <f t="shared" si="2"/>
        <v/>
      </c>
      <c r="BG41" t="str">
        <f t="shared" si="0"/>
        <v/>
      </c>
      <c r="BH41" t="str">
        <f>IF(INDEX($A$1:$AX$45,BI41,MATCH($BH$6,$6:$6,0))=0,"",INDEX($A$1:AX79,BI41,MATCH($BH$6,$6:$6,0)))</f>
        <v/>
      </c>
      <c r="BI41">
        <v>41</v>
      </c>
    </row>
    <row r="42" spans="57:61">
      <c r="BE42" s="3" t="str">
        <f t="shared" si="1"/>
        <v/>
      </c>
      <c r="BF42" s="3" t="str">
        <f t="shared" si="2"/>
        <v/>
      </c>
      <c r="BG42" t="str">
        <f t="shared" si="0"/>
        <v/>
      </c>
      <c r="BH42" t="str">
        <f>IF(INDEX($A$1:$AX$45,BI42,MATCH($BH$6,$6:$6,0))=0,"",INDEX($A$1:AX80,BI42,MATCH($BH$6,$6:$6,0)))</f>
        <v/>
      </c>
      <c r="BI42">
        <v>41</v>
      </c>
    </row>
    <row r="43" spans="57:61">
      <c r="BE43" s="3" t="str">
        <f t="shared" si="1"/>
        <v/>
      </c>
      <c r="BF43" s="3" t="str">
        <f t="shared" si="2"/>
        <v/>
      </c>
      <c r="BG43" t="str">
        <f t="shared" si="0"/>
        <v/>
      </c>
      <c r="BH43" t="str">
        <f>IF(INDEX($A$1:$AX$45,BI43,MATCH($BH$6,$6:$6,0))=0,"",INDEX($A$1:AX81,BI43,MATCH($BH$6,$6:$6,0)))</f>
        <v/>
      </c>
      <c r="BI43">
        <v>41</v>
      </c>
    </row>
    <row r="44" spans="57:61">
      <c r="BE44" s="3" t="str">
        <f t="shared" si="1"/>
        <v/>
      </c>
      <c r="BF44" s="3" t="str">
        <f t="shared" si="2"/>
        <v/>
      </c>
      <c r="BG44" t="str">
        <f t="shared" si="0"/>
        <v/>
      </c>
      <c r="BH44" t="str">
        <f>IF(INDEX($A$1:$AX$45,BI44,MATCH($BH$6,$6:$6,0))=0,"",INDEX($A$1:AX82,BI44,MATCH($BH$6,$6:$6,0)))</f>
        <v/>
      </c>
      <c r="BI44">
        <v>41</v>
      </c>
    </row>
    <row r="45" spans="57:61">
      <c r="BE45" s="3" t="str">
        <f t="shared" si="1"/>
        <v/>
      </c>
      <c r="BF45" s="3" t="str">
        <f t="shared" si="2"/>
        <v/>
      </c>
      <c r="BG45" t="str">
        <f t="shared" si="0"/>
        <v/>
      </c>
      <c r="BH45" t="str">
        <f>IF(INDEX($A$1:$AX$45,BI45,MATCH($BH$6,$6:$6,0))=0,"",INDEX($A$1:AX83,BI45,MATCH($BH$6,$6:$6,0)))</f>
        <v/>
      </c>
      <c r="BI45">
        <v>41</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10A5-2293-4D6C-BAC2-0E322064B7B7}">
  <sheetPr codeName="Sheet10">
    <tabColor theme="9" tint="0.79998168889431442"/>
  </sheetPr>
  <dimension ref="A1:Q35"/>
  <sheetViews>
    <sheetView zoomScale="85" zoomScaleNormal="85" workbookViewId="0">
      <selection activeCell="B1" sqref="B1"/>
    </sheetView>
  </sheetViews>
  <sheetFormatPr defaultRowHeight="15"/>
  <cols>
    <col min="1" max="1" width="9.125" style="306" bestFit="1" customWidth="1"/>
    <col min="2" max="2" width="11.125" style="306" customWidth="1"/>
    <col min="3" max="3" width="14" style="306" customWidth="1"/>
    <col min="4" max="4" width="66.125" style="306" customWidth="1"/>
    <col min="5" max="6" width="9" style="306"/>
    <col min="7" max="7" width="12.125" style="306" bestFit="1" customWidth="1"/>
    <col min="8" max="8" width="9.125" style="306" bestFit="1" customWidth="1"/>
    <col min="9" max="9" width="11" style="306" bestFit="1" customWidth="1"/>
    <col min="10" max="10" width="10.75" style="306" bestFit="1" customWidth="1"/>
    <col min="11" max="11" width="9.75" style="306" bestFit="1" customWidth="1"/>
    <col min="12" max="12" width="9" style="306"/>
    <col min="13" max="15" width="18.875" style="306" customWidth="1"/>
    <col min="16" max="16" width="10.875" style="306" bestFit="1" customWidth="1"/>
    <col min="17" max="16384" width="9" style="306"/>
  </cols>
  <sheetData>
    <row r="1" spans="1:17">
      <c r="A1" s="306" t="s">
        <v>469</v>
      </c>
      <c r="B1" s="307" t="s">
        <v>947</v>
      </c>
    </row>
    <row r="2" spans="1:17" ht="15.75" thickBot="1">
      <c r="C2" s="306" t="s">
        <v>701</v>
      </c>
      <c r="E2" s="306" t="s">
        <v>470</v>
      </c>
      <c r="F2" s="306" t="s">
        <v>471</v>
      </c>
      <c r="G2" s="306" t="s">
        <v>698</v>
      </c>
      <c r="H2" s="306" t="s">
        <v>699</v>
      </c>
      <c r="I2" s="306" t="s">
        <v>700</v>
      </c>
    </row>
    <row r="3" spans="1:17" ht="27.75" thickBot="1">
      <c r="A3" s="436" t="s">
        <v>473</v>
      </c>
      <c r="B3" s="428" t="s">
        <v>474</v>
      </c>
      <c r="C3" s="428" t="s">
        <v>475</v>
      </c>
      <c r="D3" s="308" t="s">
        <v>476</v>
      </c>
      <c r="E3" s="430" t="s">
        <v>477</v>
      </c>
      <c r="F3" s="431"/>
      <c r="G3" s="428" t="s">
        <v>478</v>
      </c>
      <c r="H3" s="428" t="s">
        <v>479</v>
      </c>
      <c r="I3" s="428" t="s">
        <v>480</v>
      </c>
      <c r="J3" s="428" t="s">
        <v>481</v>
      </c>
      <c r="K3" s="432" t="s">
        <v>482</v>
      </c>
      <c r="M3" s="402" t="s">
        <v>1048</v>
      </c>
      <c r="N3" s="403" t="s">
        <v>1049</v>
      </c>
      <c r="O3" s="403" t="s">
        <v>1050</v>
      </c>
      <c r="P3" s="403" t="s">
        <v>995</v>
      </c>
      <c r="Q3" s="404" t="s">
        <v>996</v>
      </c>
    </row>
    <row r="4" spans="1:17" ht="16.5" thickBot="1">
      <c r="A4" s="437"/>
      <c r="B4" s="429"/>
      <c r="C4" s="429"/>
      <c r="D4" s="309" t="s">
        <v>483</v>
      </c>
      <c r="E4" s="309" t="s">
        <v>484</v>
      </c>
      <c r="F4" s="309" t="s">
        <v>485</v>
      </c>
      <c r="G4" s="429"/>
      <c r="H4" s="429"/>
      <c r="I4" s="429"/>
      <c r="J4" s="429"/>
      <c r="K4" s="433"/>
      <c r="M4" s="398">
        <f>SUM(followers!B:B)</f>
        <v>2380</v>
      </c>
      <c r="N4" s="399">
        <f>I14</f>
        <v>0</v>
      </c>
      <c r="O4" s="399">
        <f>M4-N4</f>
        <v>2380</v>
      </c>
      <c r="P4" s="400" t="e">
        <f>J14</f>
        <v>#DIV/0!</v>
      </c>
      <c r="Q4" s="401" t="str">
        <f>K14</f>
        <v/>
      </c>
    </row>
    <row r="5" spans="1:17">
      <c r="A5" s="310">
        <v>1</v>
      </c>
      <c r="B5" s="311"/>
      <c r="C5" s="312" t="str">
        <f>IF($D$5="","",INDEX('Follower Ad data'!$A$1:$AX$15,7,MATCH(C$2,'Follower Ad data'!$6:$6,0))*M11)</f>
        <v/>
      </c>
      <c r="D5" s="313"/>
      <c r="E5" s="314" t="str">
        <f>IF('Follower Ad data'!BE7="","",TEXT('Follower Ad data'!BE7,"mm월 dd일"))</f>
        <v/>
      </c>
      <c r="F5" s="314" t="str">
        <f>IF('Follower Ad data'!BF7="","",TEXT('Follower Ad data'!BF7,"mm월 dd일"))</f>
        <v/>
      </c>
      <c r="G5" s="315" t="str">
        <f>IF($D$5="","",INDEX('Follower Ad data'!$A$1:$AX$15,7,MATCH(G$2,'Follower Ad data'!$6:$6,0)))</f>
        <v/>
      </c>
      <c r="H5" s="315" t="str">
        <f>IF($D$5="","",INDEX('Follower Ad data'!$A$1:$AX$15,7,MATCH(H$2,'Follower Ad data'!$6:$6,0)))</f>
        <v/>
      </c>
      <c r="I5" s="316" t="str">
        <f>IF($D$5="","",INDEX('Follower Ad data'!$A$1:$AX$15,7,MATCH(I$2,'Follower Ad data'!$6:$6,0)))</f>
        <v/>
      </c>
      <c r="J5" s="317" t="str">
        <f>IF(I5="","",I5/H5)</f>
        <v/>
      </c>
      <c r="K5" s="318" t="str">
        <f>IFERROR(C5/I5,"")</f>
        <v/>
      </c>
    </row>
    <row r="6" spans="1:17">
      <c r="A6" s="310">
        <v>2</v>
      </c>
      <c r="B6" s="311"/>
      <c r="C6" s="312" t="str">
        <f>IF($D$6="","",INDEX('Follower Ad data'!$A$1:$AX$15,8,MATCH(C$2,'Follower Ad data'!$6:$6,0))*M11)</f>
        <v/>
      </c>
      <c r="D6" s="313"/>
      <c r="E6" s="314" t="str">
        <f>IF('Follower Ad data'!BE8="","",TEXT('Follower Ad data'!BE8,"mm월 dd일"))</f>
        <v/>
      </c>
      <c r="F6" s="314" t="str">
        <f>IF('Follower Ad data'!BF8="","",TEXT('Follower Ad data'!BF8,"mm월 dd일"))</f>
        <v/>
      </c>
      <c r="G6" s="315" t="str">
        <f>IF($D$6="","",INDEX('Follower Ad data'!$A$1:$AX$15,8,MATCH(G$2,'Follower Ad data'!$6:$6,0)))</f>
        <v/>
      </c>
      <c r="H6" s="315" t="str">
        <f>IF($D$6="","",INDEX('Follower Ad data'!$A$1:$AX$15,8,MATCH(H$2,'Follower Ad data'!$6:$6,0)))</f>
        <v/>
      </c>
      <c r="I6" s="316" t="str">
        <f>IF($D$6="","",INDEX('Follower Ad data'!$A$1:$AX$15,8,MATCH(I$2,'Follower Ad data'!$6:$6,0)))</f>
        <v/>
      </c>
      <c r="J6" s="317" t="str">
        <f t="shared" ref="J6:J14" si="0">IF(I6="","",I6/H6)</f>
        <v/>
      </c>
      <c r="K6" s="318" t="str">
        <f t="shared" ref="K6:K13" si="1">IFERROR(C6/I6,"")</f>
        <v/>
      </c>
    </row>
    <row r="7" spans="1:17" ht="15.75" thickBot="1">
      <c r="A7" s="310">
        <v>3</v>
      </c>
      <c r="B7" s="311"/>
      <c r="C7" s="312" t="str">
        <f>IF($D$7="","",INDEX('Follower Ad data'!$A$1:$AX$15,9,MATCH(C$2,'Follower Ad data'!$6:$6,0))*M11)</f>
        <v/>
      </c>
      <c r="D7" s="313"/>
      <c r="E7" s="314" t="str">
        <f>IF('Follower Ad data'!BE9="","",TEXT('Follower Ad data'!BE9,"mm월 dd일"))</f>
        <v/>
      </c>
      <c r="F7" s="314" t="str">
        <f>IF('Follower Ad data'!BF9="","",TEXT('Follower Ad data'!BF9,"mm월 dd일"))</f>
        <v/>
      </c>
      <c r="G7" s="315" t="str">
        <f>IF($D$7="","",INDEX('Follower Ad data'!$A$1:$AX$15,9,MATCH(G$2,'Follower Ad data'!$6:$6,0)))</f>
        <v/>
      </c>
      <c r="H7" s="315" t="str">
        <f>IF($D$7="","",INDEX('Follower Ad data'!$A$1:$AX$15,9,MATCH(H$2,'Follower Ad data'!$6:$6,0)))</f>
        <v/>
      </c>
      <c r="I7" s="316" t="str">
        <f>IF($D$7="","",INDEX('Follower Ad data'!$A$1:$AX$15,9,MATCH(I$2,'Follower Ad data'!$6:$6,0)))</f>
        <v/>
      </c>
      <c r="J7" s="317" t="str">
        <f t="shared" si="0"/>
        <v/>
      </c>
      <c r="K7" s="318" t="str">
        <f t="shared" si="1"/>
        <v/>
      </c>
    </row>
    <row r="8" spans="1:17">
      <c r="A8" s="310">
        <v>4</v>
      </c>
      <c r="B8" s="311"/>
      <c r="C8" s="312" t="str">
        <f>IF($D$8="","",INDEX('Follower Ad data'!$A$1:$AX$15,10,MATCH(C$2,'Follower Ad data'!$6:$6,0))*M11)</f>
        <v/>
      </c>
      <c r="D8" s="313"/>
      <c r="E8" s="314" t="str">
        <f>IF('Follower Ad data'!BE10="","",TEXT('Follower Ad data'!BE10,"mm월 dd일"))</f>
        <v/>
      </c>
      <c r="F8" s="314" t="str">
        <f>IF('Follower Ad data'!BF10="","",TEXT('Follower Ad data'!BF10,"mm월 dd일"))</f>
        <v/>
      </c>
      <c r="G8" s="315" t="str">
        <f>IF($D$8="","",INDEX('Follower Ad data'!$A$1:$AX$15,10,MATCH(G$2,'Follower Ad data'!$6:$6,0)))</f>
        <v/>
      </c>
      <c r="H8" s="315" t="str">
        <f>IF($D$8="","",INDEX('Follower Ad data'!$A$1:$AX$15,10,MATCH(H$2,'Follower Ad data'!$6:$6,0)))</f>
        <v/>
      </c>
      <c r="I8" s="316" t="str">
        <f>IF($D$8="","",INDEX('Follower Ad data'!$A$1:$AX$15,10,MATCH(I$2,'Follower Ad data'!$6:$6,0)))</f>
        <v/>
      </c>
      <c r="J8" s="317" t="str">
        <f>IF(I8="","",I8/H8)</f>
        <v/>
      </c>
      <c r="K8" s="318" t="str">
        <f t="shared" si="1"/>
        <v/>
      </c>
      <c r="M8" s="319" t="s">
        <v>496</v>
      </c>
    </row>
    <row r="9" spans="1:17">
      <c r="A9" s="310">
        <v>5</v>
      </c>
      <c r="B9" s="311"/>
      <c r="C9" s="312" t="str">
        <f>IF($D$9="","",INDEX('Follower Ad data'!$A$1:$AX$15,11,MATCH(C$2,'Follower Ad data'!$6:$6,0))*M11)</f>
        <v/>
      </c>
      <c r="D9" s="313"/>
      <c r="E9" s="314" t="str">
        <f>IF('Follower Ad data'!BE11="","",TEXT('Follower Ad data'!BE11,"mm월 dd일"))</f>
        <v/>
      </c>
      <c r="F9" s="314" t="str">
        <f>IF('Follower Ad data'!BF11="","",TEXT('Follower Ad data'!BF11,"mm월 dd일"))</f>
        <v/>
      </c>
      <c r="G9" s="315" t="str">
        <f>IF($D$9="","",INDEX('Follower Ad data'!$A$1:$AX$15,11,MATCH(G$2,'Follower Ad data'!$6:$6,0)))</f>
        <v/>
      </c>
      <c r="H9" s="315" t="str">
        <f>IF($D$9="","",INDEX('Follower Ad data'!$A$1:$AX$15,11,MATCH(H$2,'Follower Ad data'!$6:$6,0)))</f>
        <v/>
      </c>
      <c r="I9" s="316" t="str">
        <f>IF($D$9="","",INDEX('Follower Ad data'!$A$1:$AX$15,11,MATCH(I$2,'Follower Ad data'!$6:$6,0)))</f>
        <v/>
      </c>
      <c r="J9" s="317" t="str">
        <f t="shared" si="0"/>
        <v/>
      </c>
      <c r="K9" s="318" t="str">
        <f t="shared" si="1"/>
        <v/>
      </c>
      <c r="M9" s="320">
        <v>45541.984027777777</v>
      </c>
    </row>
    <row r="10" spans="1:17">
      <c r="A10" s="310">
        <v>6</v>
      </c>
      <c r="B10" s="311"/>
      <c r="C10" s="312" t="str">
        <f>IF($D$10="","",INDEX('Follower Ad data'!$A$1:$AX$15,12,MATCH(C$2,'Follower Ad data'!$6:$6,0))*M11)</f>
        <v/>
      </c>
      <c r="D10" s="313"/>
      <c r="E10" s="314" t="str">
        <f>IF('Follower Ad data'!BE12="","",TEXT('Follower Ad data'!BE12,"mm월 dd일"))</f>
        <v/>
      </c>
      <c r="F10" s="314" t="str">
        <f>IF('Follower Ad data'!BF12="","",TEXT('Follower Ad data'!BF12,"mm월 dd일"))</f>
        <v/>
      </c>
      <c r="G10" s="315" t="str">
        <f>IF($D$10="","",INDEX('Follower Ad data'!$A$1:$AX$15,12,MATCH(G$2,'Follower Ad data'!$6:$6,0)))</f>
        <v/>
      </c>
      <c r="H10" s="315" t="str">
        <f>IF($D$10="","",INDEX('Follower Ad data'!$A$1:$AX$15,12,MATCH(H$2,'Follower Ad data'!$6:$6,0)))</f>
        <v/>
      </c>
      <c r="I10" s="316" t="str">
        <f>IF($D$10="","",INDEX('Follower Ad data'!$A$1:$AX$15,12,MATCH(I$2,'Follower Ad data'!$6:$6,0)))</f>
        <v/>
      </c>
      <c r="J10" s="317" t="str">
        <f t="shared" si="0"/>
        <v/>
      </c>
      <c r="K10" s="318" t="str">
        <f t="shared" si="1"/>
        <v/>
      </c>
      <c r="M10" s="321" t="s">
        <v>495</v>
      </c>
    </row>
    <row r="11" spans="1:17" ht="15.75" thickBot="1">
      <c r="A11" s="310">
        <v>7</v>
      </c>
      <c r="B11" s="322"/>
      <c r="C11" s="312" t="str">
        <f>IF($D$11="","",INDEX('Follower Ad data'!$A$1:$AX$15,13,MATCH(C$2,'Follower Ad data'!$6:$6,0))*M11)</f>
        <v/>
      </c>
      <c r="D11" s="323"/>
      <c r="E11" s="314" t="str">
        <f>IF('Follower Ad data'!BE13="","",TEXT('Follower Ad data'!BE13,"mm월 dd일"))</f>
        <v/>
      </c>
      <c r="F11" s="314" t="str">
        <f>IF('Follower Ad data'!BF13="","",TEXT('Follower Ad data'!BF13,"mm월 dd일"))</f>
        <v/>
      </c>
      <c r="G11" s="315" t="str">
        <f>IF($D$11="","",INDEX('Follower Ad data'!$A$1:$AX$15,13,MATCH(G$2,'Follower Ad data'!$6:$6,0)))</f>
        <v/>
      </c>
      <c r="H11" s="315" t="str">
        <f>IF($D$11="","",INDEX('Follower Ad data'!$A$1:$AX$15,13,MATCH(H$2,'Follower Ad data'!$6:$6,0)))</f>
        <v/>
      </c>
      <c r="I11" s="316" t="str">
        <f>IF($D$11="","",INDEX('Follower Ad data'!$A$1:$AX$15,13,MATCH(I$2,'Follower Ad data'!$6:$6,0)))</f>
        <v/>
      </c>
      <c r="J11" s="317" t="str">
        <f t="shared" si="0"/>
        <v/>
      </c>
      <c r="K11" s="318" t="str">
        <f t="shared" si="1"/>
        <v/>
      </c>
      <c r="M11" s="324">
        <v>1334</v>
      </c>
    </row>
    <row r="12" spans="1:17">
      <c r="A12" s="310">
        <v>8</v>
      </c>
      <c r="B12" s="322"/>
      <c r="C12" s="312" t="str">
        <f>IF($D$12="","",INDEX('Follower Ad data'!$A$1:$AX$15,14,MATCH(C$2,'Follower Ad data'!$6:$6,0))*M11)</f>
        <v/>
      </c>
      <c r="D12" s="323"/>
      <c r="E12" s="314" t="str">
        <f>IF('Follower Ad data'!BE14="","",TEXT('Follower Ad data'!BE14,"mm월 dd일"))</f>
        <v/>
      </c>
      <c r="F12" s="314" t="str">
        <f>IF('Follower Ad data'!BF14="","",TEXT('Follower Ad data'!BF14,"mm월 dd일"))</f>
        <v/>
      </c>
      <c r="G12" s="315" t="str">
        <f>IF($D$12="","",INDEX('Follower Ad data'!$A$1:$AX$15,14,MATCH(G$2,'Follower Ad data'!$6:$6,0)))</f>
        <v/>
      </c>
      <c r="H12" s="315" t="str">
        <f>IF($D$12="","",INDEX('Follower Ad data'!$A$1:$AX$15,14,MATCH(H$2,'Follower Ad data'!$6:$6,0)))</f>
        <v/>
      </c>
      <c r="I12" s="316" t="str">
        <f>IF($D$12="","",INDEX('Follower Ad data'!$A$1:$AX$15,14,MATCH(I$2,'Follower Ad data'!$6:$6,0)))</f>
        <v/>
      </c>
      <c r="J12" s="317" t="str">
        <f t="shared" si="0"/>
        <v/>
      </c>
      <c r="K12" s="318" t="str">
        <f t="shared" si="1"/>
        <v/>
      </c>
    </row>
    <row r="13" spans="1:17">
      <c r="A13" s="310">
        <v>9</v>
      </c>
      <c r="B13" s="322"/>
      <c r="C13" s="312" t="str">
        <f>IF($D$13="","",INDEX('Follower Ad data'!$A$1:$AX$15,15,MATCH(C$2,'Follower Ad data'!$6:$6,0))*M11)</f>
        <v/>
      </c>
      <c r="D13" s="323"/>
      <c r="E13" s="314" t="str">
        <f>IF('Follower Ad data'!BE15="","",TEXT('Follower Ad data'!BE15,"mm월 dd일"))</f>
        <v/>
      </c>
      <c r="F13" s="314" t="str">
        <f>IF('Follower Ad data'!BF15="","",TEXT('Follower Ad data'!BF15,"mm월 dd일"))</f>
        <v/>
      </c>
      <c r="G13" s="315" t="str">
        <f>IF($D$13="","",INDEX('Follower Ad data'!$A$1:$AX$15,15,MATCH(G$2,'Follower Ad data'!$6:$6,0)))</f>
        <v/>
      </c>
      <c r="H13" s="315" t="str">
        <f>IF($D$13="","",INDEX('Follower Ad data'!$A$1:$AX$15,15,MATCH(H$2,'Follower Ad data'!$6:$6,0)))</f>
        <v/>
      </c>
      <c r="I13" s="316" t="str">
        <f>IF($D$13="","",INDEX('Follower Ad data'!$A$1:$AX$15,15,MATCH(I$2,'Follower Ad data'!$6:$6,0)))</f>
        <v/>
      </c>
      <c r="J13" s="317" t="str">
        <f t="shared" si="0"/>
        <v/>
      </c>
      <c r="K13" s="318" t="str">
        <f t="shared" si="1"/>
        <v/>
      </c>
    </row>
    <row r="14" spans="1:17" ht="24" thickBot="1">
      <c r="A14" s="434" t="s">
        <v>142</v>
      </c>
      <c r="B14" s="435"/>
      <c r="C14" s="325">
        <f>SUM(C5:C13)</f>
        <v>0</v>
      </c>
      <c r="D14" s="326"/>
      <c r="E14" s="327"/>
      <c r="F14" s="327"/>
      <c r="G14" s="328">
        <f>SUM(G5:G13)</f>
        <v>0</v>
      </c>
      <c r="H14" s="329">
        <f>SUM(H5:H13)</f>
        <v>0</v>
      </c>
      <c r="I14" s="330">
        <f>SUM(I5:I13)</f>
        <v>0</v>
      </c>
      <c r="J14" s="331" t="e">
        <f t="shared" si="0"/>
        <v>#DIV/0!</v>
      </c>
      <c r="K14" s="332" t="str">
        <f>IFERROR(C14/I14,"")</f>
        <v/>
      </c>
    </row>
    <row r="15" spans="1:17" ht="17.45" customHeight="1"/>
    <row r="17" spans="1:13" ht="15.75">
      <c r="D17" s="333" t="str">
        <f>"("&amp;B1&amp;") 총 지출비용 "&amp;TEXT(C14,"\#,##0")&amp;" / 총 클릭 "&amp;TEXT(H14, "#,##0")&amp;" / 신규 팔로워 "&amp;TEXT(M4,"#,##0")&amp;" 명"</f>
        <v>(24 Q3 팔로워 광고) 총 지출비용 ₩0 / 총 클릭 0 / 신규 팔로워 2,380 명</v>
      </c>
    </row>
    <row r="18" spans="1:13" ht="22.5">
      <c r="D18" s="334"/>
    </row>
    <row r="21" spans="1:13" ht="15.75" thickBot="1">
      <c r="G21" s="306" t="s">
        <v>472</v>
      </c>
      <c r="H21" s="306" t="s">
        <v>486</v>
      </c>
      <c r="I21" s="306" t="s">
        <v>487</v>
      </c>
      <c r="J21" s="306" t="s">
        <v>488</v>
      </c>
      <c r="K21" s="306" t="s">
        <v>489</v>
      </c>
    </row>
    <row r="22" spans="1:13">
      <c r="A22" s="436" t="s">
        <v>473</v>
      </c>
      <c r="B22" s="428" t="s">
        <v>474</v>
      </c>
      <c r="C22" s="428" t="s">
        <v>475</v>
      </c>
      <c r="D22" s="308" t="s">
        <v>476</v>
      </c>
      <c r="E22" s="430" t="s">
        <v>477</v>
      </c>
      <c r="F22" s="431"/>
      <c r="G22" s="428" t="s">
        <v>478</v>
      </c>
      <c r="H22" s="428" t="s">
        <v>479</v>
      </c>
      <c r="I22" s="428" t="s">
        <v>487</v>
      </c>
      <c r="J22" s="428" t="s">
        <v>490</v>
      </c>
      <c r="K22" s="432" t="s">
        <v>491</v>
      </c>
    </row>
    <row r="23" spans="1:13">
      <c r="A23" s="437"/>
      <c r="B23" s="429"/>
      <c r="C23" s="429"/>
      <c r="D23" s="309" t="s">
        <v>483</v>
      </c>
      <c r="E23" s="309" t="s">
        <v>484</v>
      </c>
      <c r="F23" s="309" t="s">
        <v>485</v>
      </c>
      <c r="G23" s="429"/>
      <c r="H23" s="429"/>
      <c r="I23" s="429"/>
      <c r="J23" s="429"/>
      <c r="K23" s="433"/>
    </row>
    <row r="24" spans="1:13">
      <c r="A24" s="310">
        <v>1</v>
      </c>
      <c r="B24" s="335" t="str">
        <f t="shared" ref="B24:B32" si="2">IF(B5="","",B5)</f>
        <v/>
      </c>
      <c r="C24" s="312" t="str">
        <f>C5</f>
        <v/>
      </c>
      <c r="D24" s="336" t="str">
        <f t="shared" ref="D24:D32" si="3">IF(D5="","",D5)</f>
        <v/>
      </c>
      <c r="E24" s="314" t="str">
        <f>E5</f>
        <v/>
      </c>
      <c r="F24" s="314" t="str">
        <f>F5</f>
        <v/>
      </c>
      <c r="G24" s="315" t="str">
        <f>G5</f>
        <v/>
      </c>
      <c r="H24" s="315" t="str">
        <f>H5</f>
        <v/>
      </c>
      <c r="I24" s="317" t="str">
        <f t="shared" ref="I24:I32" si="4">IF(D24="","",H24/G24)</f>
        <v/>
      </c>
      <c r="J24" s="318" t="str">
        <f>IF($D24="","",INDEX('Follower Ad data'!$A$1:$AX$15,7,MATCH(J$21,'Follower Ad data'!$6:$6,0))*$M$11)</f>
        <v/>
      </c>
      <c r="K24" s="318" t="str">
        <f>IF($D24="","",INDEX('Follower Ad data'!$A$1:$AX$15,7,MATCH(K$21,'Follower Ad data'!$6:$6,0))*$M$11)</f>
        <v/>
      </c>
      <c r="M24" s="337" t="s">
        <v>492</v>
      </c>
    </row>
    <row r="25" spans="1:13">
      <c r="A25" s="310">
        <v>2</v>
      </c>
      <c r="B25" s="335" t="str">
        <f t="shared" si="2"/>
        <v/>
      </c>
      <c r="C25" s="312" t="str">
        <f t="shared" ref="C25:C32" si="5">C6</f>
        <v/>
      </c>
      <c r="D25" s="336" t="str">
        <f t="shared" si="3"/>
        <v/>
      </c>
      <c r="E25" s="314" t="str">
        <f t="shared" ref="E25:H32" si="6">E6</f>
        <v/>
      </c>
      <c r="F25" s="314" t="str">
        <f t="shared" si="6"/>
        <v/>
      </c>
      <c r="G25" s="315" t="str">
        <f t="shared" si="6"/>
        <v/>
      </c>
      <c r="H25" s="315" t="str">
        <f t="shared" si="6"/>
        <v/>
      </c>
      <c r="I25" s="317" t="str">
        <f t="shared" si="4"/>
        <v/>
      </c>
      <c r="J25" s="318" t="str">
        <f>IF($D25="","",INDEX('Follower Ad data'!$A$1:$AX$15,8,MATCH(J$21,'Follower Ad data'!$6:$6,0))*$M$11)</f>
        <v/>
      </c>
      <c r="K25" s="318" t="str">
        <f>IF($D25="","",INDEX('Follower Ad data'!$A$1:$AX$15,8,MATCH(K$21,'Follower Ad data'!$6:$6,0))*$M$11)</f>
        <v/>
      </c>
    </row>
    <row r="26" spans="1:13">
      <c r="A26" s="310">
        <v>3</v>
      </c>
      <c r="B26" s="335" t="str">
        <f t="shared" si="2"/>
        <v/>
      </c>
      <c r="C26" s="312" t="str">
        <f t="shared" si="5"/>
        <v/>
      </c>
      <c r="D26" s="336" t="str">
        <f t="shared" si="3"/>
        <v/>
      </c>
      <c r="E26" s="314" t="str">
        <f t="shared" si="6"/>
        <v/>
      </c>
      <c r="F26" s="314" t="str">
        <f t="shared" si="6"/>
        <v/>
      </c>
      <c r="G26" s="315" t="str">
        <f t="shared" si="6"/>
        <v/>
      </c>
      <c r="H26" s="315" t="str">
        <f t="shared" si="6"/>
        <v/>
      </c>
      <c r="I26" s="317" t="str">
        <f t="shared" si="4"/>
        <v/>
      </c>
      <c r="J26" s="318" t="str">
        <f>IF($D26="","",INDEX('Follower Ad data'!$A$1:$AX$15,9,MATCH(J$21,'Follower Ad data'!$6:$6,0))*$M$11)</f>
        <v/>
      </c>
      <c r="K26" s="318" t="str">
        <f>IF($D26="","",INDEX('Follower Ad data'!$A$1:$AX$15,9,MATCH(K$21,'Follower Ad data'!$6:$6,0))*$M$11)</f>
        <v/>
      </c>
    </row>
    <row r="27" spans="1:13">
      <c r="A27" s="310">
        <v>4</v>
      </c>
      <c r="B27" s="335" t="str">
        <f t="shared" si="2"/>
        <v/>
      </c>
      <c r="C27" s="312" t="str">
        <f t="shared" si="5"/>
        <v/>
      </c>
      <c r="D27" s="336" t="str">
        <f t="shared" si="3"/>
        <v/>
      </c>
      <c r="E27" s="314" t="str">
        <f t="shared" si="6"/>
        <v/>
      </c>
      <c r="F27" s="314" t="str">
        <f t="shared" si="6"/>
        <v/>
      </c>
      <c r="G27" s="315" t="str">
        <f t="shared" si="6"/>
        <v/>
      </c>
      <c r="H27" s="315" t="str">
        <f t="shared" si="6"/>
        <v/>
      </c>
      <c r="I27" s="317" t="str">
        <f t="shared" si="4"/>
        <v/>
      </c>
      <c r="J27" s="318" t="str">
        <f>IF($D27="","",INDEX('Follower Ad data'!$A$1:$AX$15,10,MATCH(J$21,'Follower Ad data'!$6:$6,0))*$M$11)</f>
        <v/>
      </c>
      <c r="K27" s="318" t="str">
        <f>IF($D27="","",INDEX('Follower Ad data'!$A$1:$AX$15,10,MATCH(K$21,'Follower Ad data'!$6:$6,0))*$M$11)</f>
        <v/>
      </c>
    </row>
    <row r="28" spans="1:13">
      <c r="A28" s="310">
        <v>5</v>
      </c>
      <c r="B28" s="335" t="str">
        <f t="shared" si="2"/>
        <v/>
      </c>
      <c r="C28" s="312" t="str">
        <f t="shared" si="5"/>
        <v/>
      </c>
      <c r="D28" s="336" t="str">
        <f t="shared" si="3"/>
        <v/>
      </c>
      <c r="E28" s="314" t="str">
        <f t="shared" si="6"/>
        <v/>
      </c>
      <c r="F28" s="314" t="str">
        <f t="shared" si="6"/>
        <v/>
      </c>
      <c r="G28" s="315" t="str">
        <f t="shared" si="6"/>
        <v/>
      </c>
      <c r="H28" s="315" t="str">
        <f t="shared" si="6"/>
        <v/>
      </c>
      <c r="I28" s="317" t="str">
        <f t="shared" si="4"/>
        <v/>
      </c>
      <c r="J28" s="318" t="str">
        <f>IF($D28="","",INDEX('Follower Ad data'!$A$1:$AX$15,11,MATCH(J$21,'Follower Ad data'!$6:$6,0))*$M$11)</f>
        <v/>
      </c>
      <c r="K28" s="318" t="str">
        <f>IF($D28="","",INDEX('Follower Ad data'!$A$1:$AX$15,11,MATCH(K$21,'Follower Ad data'!$6:$6,0))*$M$11)</f>
        <v/>
      </c>
    </row>
    <row r="29" spans="1:13">
      <c r="A29" s="310">
        <v>6</v>
      </c>
      <c r="B29" s="335" t="str">
        <f t="shared" si="2"/>
        <v/>
      </c>
      <c r="C29" s="312" t="str">
        <f t="shared" si="5"/>
        <v/>
      </c>
      <c r="D29" s="336" t="str">
        <f t="shared" si="3"/>
        <v/>
      </c>
      <c r="E29" s="314" t="str">
        <f t="shared" si="6"/>
        <v/>
      </c>
      <c r="F29" s="314" t="str">
        <f t="shared" si="6"/>
        <v/>
      </c>
      <c r="G29" s="315" t="str">
        <f t="shared" si="6"/>
        <v/>
      </c>
      <c r="H29" s="315" t="str">
        <f t="shared" si="6"/>
        <v/>
      </c>
      <c r="I29" s="317" t="str">
        <f t="shared" si="4"/>
        <v/>
      </c>
      <c r="J29" s="318" t="str">
        <f>IF($D29="","",INDEX('Follower Ad data'!$A$1:$AX$15,12,MATCH(J$21,'Follower Ad data'!$6:$6,0))*$M$11)</f>
        <v/>
      </c>
      <c r="K29" s="318" t="str">
        <f>IF($D29="","",INDEX('Follower Ad data'!$A$1:$AX$15,12,MATCH(K$21,'Follower Ad data'!$6:$6,0))*$M$11)</f>
        <v/>
      </c>
    </row>
    <row r="30" spans="1:13">
      <c r="A30" s="310">
        <v>7</v>
      </c>
      <c r="B30" s="335" t="str">
        <f t="shared" si="2"/>
        <v/>
      </c>
      <c r="C30" s="312" t="str">
        <f t="shared" si="5"/>
        <v/>
      </c>
      <c r="D30" s="336" t="str">
        <f t="shared" si="3"/>
        <v/>
      </c>
      <c r="E30" s="314" t="str">
        <f t="shared" si="6"/>
        <v/>
      </c>
      <c r="F30" s="314" t="str">
        <f t="shared" si="6"/>
        <v/>
      </c>
      <c r="G30" s="315" t="str">
        <f t="shared" si="6"/>
        <v/>
      </c>
      <c r="H30" s="315" t="str">
        <f t="shared" si="6"/>
        <v/>
      </c>
      <c r="I30" s="317" t="str">
        <f t="shared" si="4"/>
        <v/>
      </c>
      <c r="J30" s="318" t="str">
        <f>IF($D30="","",INDEX('Follower Ad data'!$A$1:$AX$15,13,MATCH(J$21,'Follower Ad data'!$6:$6,0))*$M$11)</f>
        <v/>
      </c>
      <c r="K30" s="318" t="str">
        <f>IF($D30="","",INDEX('Follower Ad data'!$A$1:$AX$15,13,MATCH(K$21,'Follower Ad data'!$6:$6,0))*$M$11)</f>
        <v/>
      </c>
    </row>
    <row r="31" spans="1:13">
      <c r="A31" s="310">
        <v>8</v>
      </c>
      <c r="B31" s="335" t="str">
        <f t="shared" si="2"/>
        <v/>
      </c>
      <c r="C31" s="312" t="str">
        <f t="shared" si="5"/>
        <v/>
      </c>
      <c r="D31" s="336" t="str">
        <f t="shared" si="3"/>
        <v/>
      </c>
      <c r="E31" s="314" t="str">
        <f t="shared" si="6"/>
        <v/>
      </c>
      <c r="F31" s="314" t="str">
        <f t="shared" si="6"/>
        <v/>
      </c>
      <c r="G31" s="315" t="str">
        <f t="shared" si="6"/>
        <v/>
      </c>
      <c r="H31" s="315" t="str">
        <f t="shared" si="6"/>
        <v/>
      </c>
      <c r="I31" s="317" t="str">
        <f t="shared" si="4"/>
        <v/>
      </c>
      <c r="J31" s="318" t="str">
        <f>IF($D31="","",INDEX('Follower Ad data'!$A$1:$AX$15,14,MATCH(J$21,'Follower Ad data'!$6:$6,0))*$M$11)</f>
        <v/>
      </c>
      <c r="K31" s="318" t="str">
        <f>IF($D31="","",INDEX('Follower Ad data'!$A$1:$AX$15,14,MATCH(K$21,'Follower Ad data'!$6:$6,0))*$M$11)</f>
        <v/>
      </c>
    </row>
    <row r="32" spans="1:13">
      <c r="A32" s="310">
        <v>9</v>
      </c>
      <c r="B32" s="335" t="str">
        <f t="shared" si="2"/>
        <v/>
      </c>
      <c r="C32" s="312" t="str">
        <f t="shared" si="5"/>
        <v/>
      </c>
      <c r="D32" s="336" t="str">
        <f t="shared" si="3"/>
        <v/>
      </c>
      <c r="E32" s="314" t="str">
        <f t="shared" si="6"/>
        <v/>
      </c>
      <c r="F32" s="314" t="str">
        <f t="shared" si="6"/>
        <v/>
      </c>
      <c r="G32" s="315" t="str">
        <f t="shared" si="6"/>
        <v/>
      </c>
      <c r="H32" s="315" t="str">
        <f t="shared" si="6"/>
        <v/>
      </c>
      <c r="I32" s="317" t="str">
        <f t="shared" si="4"/>
        <v/>
      </c>
      <c r="J32" s="318" t="str">
        <f>IF($D32="","",INDEX('Follower Ad data'!$A$1:$AX$15,15,MATCH(J$21,'Follower Ad data'!$6:$6,0))*$M$11)</f>
        <v/>
      </c>
      <c r="K32" s="318" t="str">
        <f>IF($D32="","",INDEX('Follower Ad data'!$A$1:$AX$15,15,MATCH(K$21,'Follower Ad data'!$6:$6,0))*$M$11)</f>
        <v/>
      </c>
    </row>
    <row r="33" spans="1:11" ht="24" thickBot="1">
      <c r="A33" s="434" t="s">
        <v>142</v>
      </c>
      <c r="B33" s="435"/>
      <c r="C33" s="325">
        <f>SUM(C24:C32)</f>
        <v>0</v>
      </c>
      <c r="D33" s="326"/>
      <c r="E33" s="327"/>
      <c r="F33" s="327"/>
      <c r="G33" s="328">
        <f>SUM(G24:G32)</f>
        <v>0</v>
      </c>
      <c r="H33" s="329">
        <f>SUM(H24:H32)</f>
        <v>0</v>
      </c>
      <c r="I33" s="331" t="e">
        <f>H33/G33</f>
        <v>#DIV/0!</v>
      </c>
      <c r="J33" s="325" t="e">
        <f>C33/G33*1000</f>
        <v>#DIV/0!</v>
      </c>
      <c r="K33" s="332" t="e">
        <f>C33/H33</f>
        <v>#DIV/0!</v>
      </c>
    </row>
    <row r="35" spans="1:11">
      <c r="D35" s="306" t="s">
        <v>493</v>
      </c>
    </row>
  </sheetData>
  <mergeCells count="20">
    <mergeCell ref="J22:J23"/>
    <mergeCell ref="K22:K23"/>
    <mergeCell ref="A33:B33"/>
    <mergeCell ref="I3:I4"/>
    <mergeCell ref="J3:J4"/>
    <mergeCell ref="K3:K4"/>
    <mergeCell ref="A14:B14"/>
    <mergeCell ref="A22:A23"/>
    <mergeCell ref="B22:B23"/>
    <mergeCell ref="C22:C23"/>
    <mergeCell ref="E22:F22"/>
    <mergeCell ref="G22:G23"/>
    <mergeCell ref="H22:H23"/>
    <mergeCell ref="A3:A4"/>
    <mergeCell ref="B3:B4"/>
    <mergeCell ref="C3:C4"/>
    <mergeCell ref="E3:F3"/>
    <mergeCell ref="G3:G4"/>
    <mergeCell ref="H3:H4"/>
    <mergeCell ref="I22:I23"/>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9" tint="0.79998168889431442"/>
  </sheetPr>
  <dimension ref="A1:X102"/>
  <sheetViews>
    <sheetView topLeftCell="A39" zoomScaleNormal="100" workbookViewId="0">
      <selection activeCell="B63" sqref="B63"/>
    </sheetView>
  </sheetViews>
  <sheetFormatPr defaultRowHeight="16.5"/>
  <cols>
    <col min="2" max="2" width="12.25" bestFit="1" customWidth="1"/>
    <col min="4" max="4" width="9.625" bestFit="1" customWidth="1"/>
    <col min="6" max="6" width="12.25" bestFit="1" customWidth="1"/>
    <col min="8" max="8" width="10.625" bestFit="1" customWidth="1"/>
  </cols>
  <sheetData>
    <row r="1" spans="1:24">
      <c r="T1" s="19"/>
      <c r="U1" s="83" t="str">
        <f>MONTH(followers!H1)&amp;"월"</f>
        <v>9월</v>
      </c>
      <c r="V1" s="84" t="str">
        <f>IF((MONTH(followers!H1)-1)=0,"12월",(MONTH(followers!H1)-1)&amp;"월")</f>
        <v>8월</v>
      </c>
    </row>
    <row r="2" spans="1:24">
      <c r="D2" s="13" t="str">
        <f ca="1">CONCATENATE(U8,", ",U9)</f>
        <v>9월 총 페이지 View 수 14,545회 (전월 대비 15.7% 감소), 순 방문자 수: 7,720명 (전월 대비 12.0% 감소)</v>
      </c>
      <c r="T2" s="4" t="s">
        <v>65</v>
      </c>
      <c r="U2" s="20">
        <f>SUMIF(C11:D41, "&gt;0", C11:D41)</f>
        <v>14545</v>
      </c>
      <c r="V2" s="21">
        <v>17245</v>
      </c>
    </row>
    <row r="3" spans="1:24">
      <c r="D3" s="14" t="str">
        <f>"팔로우 광고 → "&amp;U10&amp;" / 콘텐츠 광고 → "&amp;U11</f>
        <v>팔로우 광고 → PC 페이지 View 수 전월 대비 10.5% 감소 (9,613회) / 콘텐츠 광고 → Mobile 페이지 View 수 전월 대비 24.2% 감소 (4,932회)</v>
      </c>
      <c r="S3" t="s">
        <v>960</v>
      </c>
      <c r="T3" s="4" t="s">
        <v>66</v>
      </c>
      <c r="U3" s="20">
        <f ca="1">SUM(
INDIRECT("visitors!" &amp; CHAR(MATCH(S3, INDEX(visitor, 1, 0), 0) + 64) &amp; ":" &amp;
CHAR(MATCH(S3, INDEX(visitor, 1, 0), 0) + 64)))</f>
        <v>7720</v>
      </c>
      <c r="V3" s="21">
        <v>8773</v>
      </c>
      <c r="X3" t="s">
        <v>962</v>
      </c>
    </row>
    <row r="4" spans="1:24">
      <c r="D4" s="28"/>
      <c r="T4" s="4" t="s">
        <v>67</v>
      </c>
      <c r="U4" s="20">
        <f>SUMIF(C11:C41, "&gt;0", C11:C41)</f>
        <v>9613</v>
      </c>
      <c r="V4" s="21">
        <v>10742</v>
      </c>
      <c r="X4" t="s">
        <v>961</v>
      </c>
    </row>
    <row r="5" spans="1:24" ht="17.25" thickBot="1">
      <c r="T5" s="5" t="s">
        <v>68</v>
      </c>
      <c r="U5" s="11">
        <f>SUMIF(D11:D41, "&gt;0", D11:D41)</f>
        <v>4932</v>
      </c>
      <c r="V5" s="18">
        <v>6503</v>
      </c>
    </row>
    <row r="6" spans="1:24">
      <c r="D6" s="39"/>
    </row>
    <row r="7" spans="1:24">
      <c r="D7" s="15"/>
    </row>
    <row r="8" spans="1:24">
      <c r="U8" s="236" t="str">
        <f>IF(U2&gt;=V2,MONTH(followers!H1)&amp;"월 총 페이지 View 수 "&amp;TEXT(U2,"#,##0")&amp;"회 (전월 대비 "&amp;TEXT(((U2-V2)/V2),"0.0%")&amp;" 증가)",MONTH(followers!H1)&amp;"월 총 페이지 View 수 "&amp;TEXT(U2,"#,##0")&amp;"회 (전월 대비 "&amp;TEXT(ABS(((U2-V2)/V2)),"0.0%")&amp;" 감소)")</f>
        <v>9월 총 페이지 View 수 14,545회 (전월 대비 15.7% 감소)</v>
      </c>
    </row>
    <row r="9" spans="1:24" ht="17.25" thickBot="1">
      <c r="C9" t="s">
        <v>59</v>
      </c>
      <c r="D9" t="s">
        <v>60</v>
      </c>
      <c r="U9" s="236" t="str">
        <f ca="1">IF(U3&gt;=V3,"순 방문자 수: "&amp;TEXT(U3,"#,##0")&amp;"명 (전월 대비 "&amp;TEXT(((U3-V3)/V3),"0.0%")&amp;" 증가)","순 방문자 수: "&amp;TEXT(U3,"#,##0")&amp;"명 (전월 대비 "&amp;TEXT(ABS((((U3-V3)/V3))),"0.0%")&amp;" 감소)")</f>
        <v>순 방문자 수: 7,720명 (전월 대비 12.0% 감소)</v>
      </c>
    </row>
    <row r="10" spans="1:24" ht="17.25" thickBot="1">
      <c r="B10" s="29"/>
      <c r="C10" s="30" t="s">
        <v>79</v>
      </c>
      <c r="D10" s="31" t="s">
        <v>80</v>
      </c>
      <c r="E10" s="12" t="s">
        <v>88</v>
      </c>
      <c r="U10" s="236" t="str">
        <f>IF(U4&gt;=V4,"PC 페이지 View 수 전월 대비 "&amp;TEXT(ABS((U4-V4)/V4),"0.0%")&amp;" 증가 ("&amp;TEXT(U4,"#,##0")&amp;"회)","PC 페이지 View 수 전월 대비 "&amp;TEXT(ABS((U4-V4)/V4),"0.0%")&amp;" 감소 ("&amp;TEXT(U4,"#,##0")&amp;"회)")</f>
        <v>PC 페이지 View 수 전월 대비 10.5% 감소 (9,613회)</v>
      </c>
    </row>
    <row r="11" spans="1:24">
      <c r="A11" t="str">
        <f>IF(
OR(MOD(F11,7)&gt;5,MOD(F11,7)&lt;2),"","1주차")</f>
        <v/>
      </c>
      <c r="B11" s="279" t="str">
        <f>IFERROR(IF(C11="","",TEXT(followers!E2,"d")&amp;CHAR(10)&amp;TEXT(followers!E2,"aaa")),"")</f>
        <v>1
일</v>
      </c>
      <c r="C11" s="280" cm="1">
        <f t="array" ref="C11">IFERROR(IF(
INDEX(visitor, ROW() - 9, MATCH(C$9, INDEX(visitor, 1, 0), 0)) = "", NA(),
INDEX(visitor, ROW() - 9, MATCH(C$9, INDEX(visitor, 1, 0), 0))), "")</f>
        <v>102</v>
      </c>
      <c r="D11" s="280" cm="1">
        <f t="array" ref="D11">IF(
INDEX(visitor, ROW() - 9, MATCH(D$9, INDEX(visitor, 1, 0), 0)) = "", NA(),
INDEX(visitor, ROW() - 9, MATCH(D$9, INDEX(visitor, 1, 0), 0)))</f>
        <v>135</v>
      </c>
      <c r="E11" s="236" t="str">
        <f>IF(COUNTIFS(contents!X:X,followers!E2)&gt;0,"Yes","")</f>
        <v/>
      </c>
      <c r="F11" s="3">
        <f>followers!E2</f>
        <v>45536</v>
      </c>
      <c r="U11" s="236" t="str">
        <f>IF(U5&gt;=V5,"Mobile 페이지 View 수 전월 대비 "&amp;TEXT(ABS((U5-V5)/V5),"0.0%")&amp;" 증가 ("&amp;TEXT(U5,"#,##0")&amp;"회)","Mobile 페이지 View 수 전월 대비 "&amp;TEXT(ABS((U5-V5)/V5),"0.0%")&amp;" 감소 ("&amp;TEXT(U5,"#,##0")&amp;"회)")</f>
        <v>Mobile 페이지 View 수 전월 대비 24.2% 감소 (4,932회)</v>
      </c>
    </row>
    <row r="12" spans="1:24">
      <c r="A12" t="str">
        <f>IF(MOD(F12,7)&lt;&gt;2,"",(COUNTA($A$11:A11)-COUNTBLANK($A$11:A11)+1)&amp;"주차")</f>
        <v>1주차</v>
      </c>
      <c r="B12" s="279" t="str">
        <f>IFERROR(IF(C12="","",TEXT(followers!E3,"d")&amp;CHAR(10)&amp;TEXT(followers!E3,"aaa")),"")</f>
        <v>2
월</v>
      </c>
      <c r="C12" s="280" cm="1">
        <f t="array" ref="C12">IF(
INDEX(visitor, ROW() - 9, MATCH(C$9, INDEX(visitor, 1, 0), 0)) = "", NA(),
INDEX(visitor, ROW() - 9, MATCH(C$9, INDEX(visitor, 1, 0), 0)))</f>
        <v>313</v>
      </c>
      <c r="D12" s="280" cm="1">
        <f t="array" ref="D12">IF(
INDEX(visitor, ROW() - 9, MATCH(D$9, INDEX(visitor, 1, 0), 0)) = "", NA(),
INDEX(visitor, ROW() - 9, MATCH(D$9, INDEX(visitor, 1, 0), 0)))</f>
        <v>195</v>
      </c>
      <c r="E12" s="236" t="str">
        <f>IF(COUNTIFS(contents!X:X,followers!E3)&gt;0,"Yes","")</f>
        <v>Yes</v>
      </c>
      <c r="F12" s="3">
        <f>followers!E3</f>
        <v>45537</v>
      </c>
    </row>
    <row r="13" spans="1:24">
      <c r="A13" t="str">
        <f>IF(MOD(F13,7)&lt;&gt;2,"",(COUNTA($A$11:A12)-COUNTBLANK($A$11:A12)+1)&amp;"주차")</f>
        <v/>
      </c>
      <c r="B13" s="279" t="str">
        <f>IFERROR(IF(C13="","",TEXT(followers!E4,"d")&amp;CHAR(10)&amp;TEXT(followers!E4,"aaa")),"")</f>
        <v>3
화</v>
      </c>
      <c r="C13" s="280" cm="1">
        <f t="array" ref="C13">IF(
INDEX(visitor, ROW() - 9, MATCH(C$9, INDEX(visitor, 1, 0), 0)) = "", NA(),
INDEX(visitor, ROW() - 9, MATCH(C$9, INDEX(visitor, 1, 0), 0)))</f>
        <v>480</v>
      </c>
      <c r="D13" s="280" cm="1">
        <f t="array" ref="D13">IF(
INDEX(visitor, ROW() - 9, MATCH(D$9, INDEX(visitor, 1, 0), 0)) = "", NA(),
INDEX(visitor, ROW() - 9, MATCH(D$9, INDEX(visitor, 1, 0), 0)))</f>
        <v>189</v>
      </c>
      <c r="E13" s="236" t="str">
        <f>IF(COUNTIFS(contents!X:X,followers!E4)&gt;0,"Yes","")</f>
        <v>Yes</v>
      </c>
      <c r="F13" s="3">
        <f>followers!E4</f>
        <v>45538</v>
      </c>
      <c r="V13" s="35" t="str">
        <f>"*"&amp;TEXT(followers!H1,"yyyy.mm.dd.")&amp;" ~ "&amp;TEXT(followers!H2,"yyyy.mm.dd.")</f>
        <v>*2024.09.01. ~ 2024.09.30.</v>
      </c>
    </row>
    <row r="14" spans="1:24">
      <c r="A14" t="str">
        <f>IF(MOD(F14,7)&lt;&gt;2,"",(COUNTA($A$11:A13)-COUNTBLANK($A$11:A13)+1)&amp;"주차")</f>
        <v/>
      </c>
      <c r="B14" s="279" t="str">
        <f>IFERROR(IF(C14="","",TEXT(followers!E5,"d")&amp;CHAR(10)&amp;TEXT(followers!E5,"aaa")),"")</f>
        <v>4
수</v>
      </c>
      <c r="C14" s="280" cm="1">
        <f t="array" ref="C14">IF(
INDEX(visitor, ROW() - 9, MATCH(C$9, INDEX(visitor, 1, 0), 0)) = "", NA(),
INDEX(visitor, ROW() - 9, MATCH(C$9, INDEX(visitor, 1, 0), 0)))</f>
        <v>422</v>
      </c>
      <c r="D14" s="280" cm="1">
        <f t="array" ref="D14">IF(
INDEX(visitor, ROW() - 9, MATCH(D$9, INDEX(visitor, 1, 0), 0)) = "", NA(),
INDEX(visitor, ROW() - 9, MATCH(D$9, INDEX(visitor, 1, 0), 0)))</f>
        <v>185</v>
      </c>
      <c r="E14" s="236" t="str">
        <f>IF(COUNTIFS(contents!X:X,followers!E5)&gt;0,"Yes","")</f>
        <v>Yes</v>
      </c>
      <c r="F14" s="3">
        <f>followers!E5</f>
        <v>45539</v>
      </c>
      <c r="V14" s="34" t="s">
        <v>81</v>
      </c>
    </row>
    <row r="15" spans="1:24">
      <c r="A15" t="str">
        <f>IF(MOD(F15,7)&lt;&gt;2,"",(COUNTA($A$11:A14)-COUNTBLANK($A$11:A14)+1)&amp;"주차")</f>
        <v/>
      </c>
      <c r="B15" s="279" t="str">
        <f>IFERROR(IF(C15="","",TEXT(followers!E6,"d")&amp;CHAR(10)&amp;TEXT(followers!E6,"aaa")),"")</f>
        <v>5
목</v>
      </c>
      <c r="C15" s="280" cm="1">
        <f t="array" ref="C15">IF(
INDEX(visitor, ROW() - 9, MATCH(C$9, INDEX(visitor, 1, 0), 0)) = "", NA(),
INDEX(visitor, ROW() - 9, MATCH(C$9, INDEX(visitor, 1, 0), 0)))</f>
        <v>382</v>
      </c>
      <c r="D15" s="280" cm="1">
        <f t="array" ref="D15">IF(
INDEX(visitor, ROW() - 9, MATCH(D$9, INDEX(visitor, 1, 0), 0)) = "", NA(),
INDEX(visitor, ROW() - 9, MATCH(D$9, INDEX(visitor, 1, 0), 0)))</f>
        <v>209</v>
      </c>
      <c r="E15" s="236" t="str">
        <f>IF(COUNTIFS(contents!X:X,followers!E6)&gt;0,"Yes","")</f>
        <v>Yes</v>
      </c>
      <c r="F15" s="3">
        <f>followers!E6</f>
        <v>45540</v>
      </c>
    </row>
    <row r="16" spans="1:24">
      <c r="A16" t="str">
        <f>IF(MOD(F16,7)&lt;&gt;2,"",(COUNTA($A$11:A15)-COUNTBLANK($A$11:A15)+1)&amp;"주차")</f>
        <v/>
      </c>
      <c r="B16" s="279" t="str">
        <f>IFERROR(IF(C16="","",TEXT(followers!E7,"d")&amp;CHAR(10)&amp;TEXT(followers!E7,"aaa")),"")</f>
        <v>6
금</v>
      </c>
      <c r="C16" s="280" cm="1">
        <f t="array" ref="C16">IF(
INDEX(visitor, ROW() - 9, MATCH(C$9, INDEX(visitor, 1, 0), 0)) = "", NA(),
INDEX(visitor, ROW() - 9, MATCH(C$9, INDEX(visitor, 1, 0), 0)))</f>
        <v>316</v>
      </c>
      <c r="D16" s="280" cm="1">
        <f t="array" ref="D16">IF(
INDEX(visitor, ROW() - 9, MATCH(D$9, INDEX(visitor, 1, 0), 0)) = "", NA(),
INDEX(visitor, ROW() - 9, MATCH(D$9, INDEX(visitor, 1, 0), 0)))</f>
        <v>123</v>
      </c>
      <c r="E16" s="236" t="str">
        <f>IF(COUNTIFS(contents!X:X,followers!E7)&gt;0,"Yes","")</f>
        <v>Yes</v>
      </c>
      <c r="F16" s="3">
        <f>followers!E7</f>
        <v>45541</v>
      </c>
    </row>
    <row r="17" spans="1:6">
      <c r="A17" t="str">
        <f>IF(MOD(F17,7)&lt;&gt;2,"",(COUNTA($A$11:A16)-COUNTBLANK($A$11:A16)+1)&amp;"주차")</f>
        <v/>
      </c>
      <c r="B17" s="279" t="str">
        <f>IFERROR(IF(C17="","",TEXT(followers!E8,"d")&amp;CHAR(10)&amp;TEXT(followers!E8,"aaa")),"")</f>
        <v>7
토</v>
      </c>
      <c r="C17" s="280" cm="1">
        <f t="array" ref="C17">IF(
INDEX(visitor, ROW() - 9, MATCH(C$9, INDEX(visitor, 1, 0), 0)) = "", NA(),
INDEX(visitor, ROW() - 9, MATCH(C$9, INDEX(visitor, 1, 0), 0)))</f>
        <v>165</v>
      </c>
      <c r="D17" s="280" cm="1">
        <f t="array" ref="D17">IF(
INDEX(visitor, ROW() - 9, MATCH(D$9, INDEX(visitor, 1, 0), 0)) = "", NA(),
INDEX(visitor, ROW() - 9, MATCH(D$9, INDEX(visitor, 1, 0), 0)))</f>
        <v>156</v>
      </c>
      <c r="E17" s="236" t="str">
        <f>IF(COUNTIFS(contents!X:X,followers!E8)&gt;0,"Yes","")</f>
        <v/>
      </c>
      <c r="F17" s="3">
        <f>followers!E8</f>
        <v>45542</v>
      </c>
    </row>
    <row r="18" spans="1:6">
      <c r="A18" t="str">
        <f>IF(MOD(F18,7)&lt;&gt;2,"",(COUNTA($A$11:A17)-COUNTBLANK($A$11:A17)+1)&amp;"주차")</f>
        <v/>
      </c>
      <c r="B18" s="279" t="str">
        <f>IFERROR(IF(C18="","",TEXT(followers!E9,"d")&amp;CHAR(10)&amp;TEXT(followers!E9,"aaa")),"")</f>
        <v>8
일</v>
      </c>
      <c r="C18" s="280" cm="1">
        <f t="array" ref="C18">IF(
INDEX(visitor, ROW() - 9, MATCH(C$9, INDEX(visitor, 1, 0), 0)) = "", NA(),
INDEX(visitor, ROW() - 9, MATCH(C$9, INDEX(visitor, 1, 0), 0)))</f>
        <v>134</v>
      </c>
      <c r="D18" s="280" cm="1">
        <f t="array" ref="D18">IF(
INDEX(visitor, ROW() - 9, MATCH(D$9, INDEX(visitor, 1, 0), 0)) = "", NA(),
INDEX(visitor, ROW() - 9, MATCH(D$9, INDEX(visitor, 1, 0), 0)))</f>
        <v>125</v>
      </c>
      <c r="E18" s="236" t="str">
        <f>IF(COUNTIFS(contents!X:X,followers!E9)&gt;0,"Yes","")</f>
        <v/>
      </c>
      <c r="F18" s="3">
        <f>followers!E9</f>
        <v>45543</v>
      </c>
    </row>
    <row r="19" spans="1:6">
      <c r="A19" t="str">
        <f>IF(MOD(F19,7)&lt;&gt;2,"",(COUNTA($A$11:A18)-COUNTBLANK($A$11:A18)+1)&amp;"주차")</f>
        <v>2주차</v>
      </c>
      <c r="B19" s="279" t="str">
        <f>IFERROR(IF(C19="","",TEXT(followers!E10,"d")&amp;CHAR(10)&amp;TEXT(followers!E10,"aaa")),"")</f>
        <v>9
월</v>
      </c>
      <c r="C19" s="280" cm="1">
        <f t="array" ref="C19">IF(
INDEX(visitor, ROW() - 9, MATCH(C$9, INDEX(visitor, 1, 0), 0)) = "", NA(),
INDEX(visitor, ROW() - 9, MATCH(C$9, INDEX(visitor, 1, 0), 0)))</f>
        <v>458</v>
      </c>
      <c r="D19" s="280" cm="1">
        <f t="array" ref="D19">IF(
INDEX(visitor, ROW() - 9, MATCH(D$9, INDEX(visitor, 1, 0), 0)) = "", NA(),
INDEX(visitor, ROW() - 9, MATCH(D$9, INDEX(visitor, 1, 0), 0)))</f>
        <v>167</v>
      </c>
      <c r="E19" s="236" t="str">
        <f>IF(COUNTIFS(contents!X:X,followers!E10)&gt;0,"Yes","")</f>
        <v>Yes</v>
      </c>
      <c r="F19" s="3">
        <f>followers!E10</f>
        <v>45544</v>
      </c>
    </row>
    <row r="20" spans="1:6">
      <c r="A20" t="str">
        <f>IF(MOD(F20,7)&lt;&gt;2,"",(COUNTA($A$11:A19)-COUNTBLANK($A$11:A19)+1)&amp;"주차")</f>
        <v/>
      </c>
      <c r="B20" s="279" t="str">
        <f>IFERROR(IF(C20="","",TEXT(followers!E11,"d")&amp;CHAR(10)&amp;TEXT(followers!E11,"aaa")),"")</f>
        <v>10
화</v>
      </c>
      <c r="C20" s="280" cm="1">
        <f t="array" ref="C20">IF(
INDEX(visitor, ROW() - 9, MATCH(C$9, INDEX(visitor, 1, 0), 0)) = "", NA(),
INDEX(visitor, ROW() - 9, MATCH(C$9, INDEX(visitor, 1, 0), 0)))</f>
        <v>420</v>
      </c>
      <c r="D20" s="280" cm="1">
        <f t="array" ref="D20">IF(
INDEX(visitor, ROW() - 9, MATCH(D$9, INDEX(visitor, 1, 0), 0)) = "", NA(),
INDEX(visitor, ROW() - 9, MATCH(D$9, INDEX(visitor, 1, 0), 0)))</f>
        <v>205</v>
      </c>
      <c r="E20" s="236" t="str">
        <f>IF(COUNTIFS(contents!X:X,followers!E11)&gt;0,"Yes","")</f>
        <v>Yes</v>
      </c>
      <c r="F20" s="3">
        <f>followers!E11</f>
        <v>45545</v>
      </c>
    </row>
    <row r="21" spans="1:6">
      <c r="A21" t="str">
        <f>IF(MOD(F21,7)&lt;&gt;2,"",(COUNTA($A$11:A20)-COUNTBLANK($A$11:A20)+1)&amp;"주차")</f>
        <v/>
      </c>
      <c r="B21" s="279" t="str">
        <f>IFERROR(IF(C21="","",TEXT(followers!E12,"d")&amp;CHAR(10)&amp;TEXT(followers!E12,"aaa")),"")</f>
        <v>11
수</v>
      </c>
      <c r="C21" s="280" cm="1">
        <f t="array" ref="C21">IF(
INDEX(visitor, ROW() - 9, MATCH(C$9, INDEX(visitor, 1, 0), 0)) = "", NA(),
INDEX(visitor, ROW() - 9, MATCH(C$9, INDEX(visitor, 1, 0), 0)))</f>
        <v>423</v>
      </c>
      <c r="D21" s="280" cm="1">
        <f t="array" ref="D21">IF(
INDEX(visitor, ROW() - 9, MATCH(D$9, INDEX(visitor, 1, 0), 0)) = "", NA(),
INDEX(visitor, ROW() - 9, MATCH(D$9, INDEX(visitor, 1, 0), 0)))</f>
        <v>209</v>
      </c>
      <c r="E21" s="236" t="str">
        <f>IF(COUNTIFS(contents!X:X,followers!E12)&gt;0,"Yes","")</f>
        <v>Yes</v>
      </c>
      <c r="F21" s="3">
        <f>followers!E12</f>
        <v>45546</v>
      </c>
    </row>
    <row r="22" spans="1:6">
      <c r="A22" t="str">
        <f>IF(MOD(F22,7)&lt;&gt;2,"",(COUNTA($A$11:A21)-COUNTBLANK($A$11:A21)+1)&amp;"주차")</f>
        <v/>
      </c>
      <c r="B22" s="279" t="str">
        <f>IFERROR(IF(C22="","",TEXT(followers!E13,"d")&amp;CHAR(10)&amp;TEXT(followers!E13,"aaa")),"")</f>
        <v>12
목</v>
      </c>
      <c r="C22" s="280" cm="1">
        <f t="array" ref="C22">IF(
INDEX(visitor, ROW() - 9, MATCH(C$9, INDEX(visitor, 1, 0), 0)) = "", NA(),
INDEX(visitor, ROW() - 9, MATCH(C$9, INDEX(visitor, 1, 0), 0)))</f>
        <v>367</v>
      </c>
      <c r="D22" s="280" cm="1">
        <f t="array" ref="D22">IF(
INDEX(visitor, ROW() - 9, MATCH(D$9, INDEX(visitor, 1, 0), 0)) = "", NA(),
INDEX(visitor, ROW() - 9, MATCH(D$9, INDEX(visitor, 1, 0), 0)))</f>
        <v>134</v>
      </c>
      <c r="E22" s="236" t="str">
        <f>IF(COUNTIFS(contents!X:X,followers!E13)&gt;0,"Yes","")</f>
        <v>Yes</v>
      </c>
      <c r="F22" s="3">
        <f>followers!E13</f>
        <v>45547</v>
      </c>
    </row>
    <row r="23" spans="1:6">
      <c r="A23" t="str">
        <f>IF(MOD(F23,7)&lt;&gt;2,"",(COUNTA($A$11:A22)-COUNTBLANK($A$11:A22)+1)&amp;"주차")</f>
        <v/>
      </c>
      <c r="B23" s="279" t="str">
        <f>IFERROR(IF(C23="","",TEXT(followers!E14,"d")&amp;CHAR(10)&amp;TEXT(followers!E14,"aaa")),"")</f>
        <v>13
금</v>
      </c>
      <c r="C23" s="280" cm="1">
        <f t="array" ref="C23">IF(
INDEX(visitor, ROW() - 9, MATCH(C$9, INDEX(visitor, 1, 0), 0)) = "", NA(),
INDEX(visitor, ROW() - 9, MATCH(C$9, INDEX(visitor, 1, 0), 0)))</f>
        <v>338</v>
      </c>
      <c r="D23" s="280" cm="1">
        <f t="array" ref="D23">IF(
INDEX(visitor, ROW() - 9, MATCH(D$9, INDEX(visitor, 1, 0), 0)) = "", NA(),
INDEX(visitor, ROW() - 9, MATCH(D$9, INDEX(visitor, 1, 0), 0)))</f>
        <v>168</v>
      </c>
      <c r="E23" s="236" t="str">
        <f>IF(COUNTIFS(contents!X:X,followers!E14)&gt;0,"Yes","")</f>
        <v>Yes</v>
      </c>
      <c r="F23" s="3">
        <f>followers!E14</f>
        <v>45548</v>
      </c>
    </row>
    <row r="24" spans="1:6">
      <c r="A24" t="str">
        <f>IF(MOD(F24,7)&lt;&gt;2,"",(COUNTA($A$11:A23)-COUNTBLANK($A$11:A23)+1)&amp;"주차")</f>
        <v/>
      </c>
      <c r="B24" s="279" t="str">
        <f>IFERROR(IF(C24="","",TEXT(followers!E15,"d")&amp;CHAR(10)&amp;TEXT(followers!E15,"aaa")),"")</f>
        <v>14
토</v>
      </c>
      <c r="C24" s="280" cm="1">
        <f t="array" ref="C24">IF(
INDEX(visitor, ROW() - 9, MATCH(C$9, INDEX(visitor, 1, 0), 0)) = "", NA(),
INDEX(visitor, ROW() - 9, MATCH(C$9, INDEX(visitor, 1, 0), 0)))</f>
        <v>187</v>
      </c>
      <c r="D24" s="280" cm="1">
        <f t="array" ref="D24">IF(
INDEX(visitor, ROW() - 9, MATCH(D$9, INDEX(visitor, 1, 0), 0)) = "", NA(),
INDEX(visitor, ROW() - 9, MATCH(D$9, INDEX(visitor, 1, 0), 0)))</f>
        <v>126</v>
      </c>
      <c r="E24" s="236" t="str">
        <f>IF(COUNTIFS(contents!X:X,followers!E15)&gt;0,"Yes","")</f>
        <v/>
      </c>
      <c r="F24" s="3">
        <f>followers!E15</f>
        <v>45549</v>
      </c>
    </row>
    <row r="25" spans="1:6">
      <c r="A25" t="str">
        <f>IF(MOD(F25,7)&lt;&gt;2,"",(COUNTA($A$11:A24)-COUNTBLANK($A$11:A24)+1)&amp;"주차")</f>
        <v/>
      </c>
      <c r="B25" s="279" t="str">
        <f>IFERROR(IF(C25="","",TEXT(followers!E16,"d")&amp;CHAR(10)&amp;TEXT(followers!E16,"aaa")),"")</f>
        <v>15
일</v>
      </c>
      <c r="C25" s="280" cm="1">
        <f t="array" ref="C25">IF(
INDEX(visitor, ROW() - 9, MATCH(C$9, INDEX(visitor, 1, 0), 0)) = "", NA(),
INDEX(visitor, ROW() - 9, MATCH(C$9, INDEX(visitor, 1, 0), 0)))</f>
        <v>118</v>
      </c>
      <c r="D25" s="280" cm="1">
        <f t="array" ref="D25">IF(
INDEX(visitor, ROW() - 9, MATCH(D$9, INDEX(visitor, 1, 0), 0)) = "", NA(),
INDEX(visitor, ROW() - 9, MATCH(D$9, INDEX(visitor, 1, 0), 0)))</f>
        <v>130</v>
      </c>
      <c r="E25" s="236" t="str">
        <f>IF(COUNTIFS(contents!X:X,followers!E16)&gt;0,"Yes","")</f>
        <v/>
      </c>
      <c r="F25" s="3">
        <f>followers!E16</f>
        <v>45550</v>
      </c>
    </row>
    <row r="26" spans="1:6">
      <c r="A26" t="str">
        <f>IF(MOD(F26,7)&lt;&gt;2,"",(COUNTA($A$11:A25)-COUNTBLANK($A$11:A25)+1)&amp;"주차")</f>
        <v>3주차</v>
      </c>
      <c r="B26" s="279" t="str">
        <f>IFERROR(IF(C26="","",TEXT(followers!E17,"d")&amp;CHAR(10)&amp;TEXT(followers!E17,"aaa")),"")</f>
        <v>16
월</v>
      </c>
      <c r="C26" s="280" cm="1">
        <f t="array" ref="C26">IF(
INDEX(visitor, ROW() - 9, MATCH(C$9, INDEX(visitor, 1, 0), 0)) = "", NA(),
INDEX(visitor, ROW() - 9, MATCH(C$9, INDEX(visitor, 1, 0), 0)))</f>
        <v>341</v>
      </c>
      <c r="D26" s="280" cm="1">
        <f t="array" ref="D26">IF(
INDEX(visitor, ROW() - 9, MATCH(D$9, INDEX(visitor, 1, 0), 0)) = "", NA(),
INDEX(visitor, ROW() - 9, MATCH(D$9, INDEX(visitor, 1, 0), 0)))</f>
        <v>124</v>
      </c>
      <c r="E26" s="236" t="str">
        <f>IF(COUNTIFS(contents!X:X,followers!E17)&gt;0,"Yes","")</f>
        <v/>
      </c>
      <c r="F26" s="3">
        <f>followers!E17</f>
        <v>45551</v>
      </c>
    </row>
    <row r="27" spans="1:6">
      <c r="A27" t="str">
        <f>IF(MOD(F27,7)&lt;&gt;2,"",(COUNTA($A$11:A26)-COUNTBLANK($A$11:A26)+1)&amp;"주차")</f>
        <v/>
      </c>
      <c r="B27" s="279" t="str">
        <f>IFERROR(IF(C27="","",TEXT(followers!E18,"d")&amp;CHAR(10)&amp;TEXT(followers!E18,"aaa")),"")</f>
        <v>17
화</v>
      </c>
      <c r="C27" s="280" cm="1">
        <f t="array" ref="C27">IF(
INDEX(visitor, ROW() - 9, MATCH(C$9, INDEX(visitor, 1, 0), 0)) = "", NA(),
INDEX(visitor, ROW() - 9, MATCH(C$9, INDEX(visitor, 1, 0), 0)))</f>
        <v>396</v>
      </c>
      <c r="D27" s="280" cm="1">
        <f t="array" ref="D27">IF(
INDEX(visitor, ROW() - 9, MATCH(D$9, INDEX(visitor, 1, 0), 0)) = "", NA(),
INDEX(visitor, ROW() - 9, MATCH(D$9, INDEX(visitor, 1, 0), 0)))</f>
        <v>181</v>
      </c>
      <c r="E27" s="236" t="str">
        <f>IF(COUNTIFS(contents!X:X,followers!E18)&gt;0,"Yes","")</f>
        <v/>
      </c>
      <c r="F27" s="3">
        <f>followers!E18</f>
        <v>45552</v>
      </c>
    </row>
    <row r="28" spans="1:6">
      <c r="A28" t="str">
        <f>IF(MOD(F28,7)&lt;&gt;2,"",(COUNTA($A$11:A27)-COUNTBLANK($A$11:A27)+1)&amp;"주차")</f>
        <v/>
      </c>
      <c r="B28" s="279" t="str">
        <f>IFERROR(IF(C28="","",TEXT(followers!E19,"d")&amp;CHAR(10)&amp;TEXT(followers!E19,"aaa")),"")</f>
        <v>18
수</v>
      </c>
      <c r="C28" s="280" cm="1">
        <f t="array" ref="C28">IF(
INDEX(visitor, ROW() - 9, MATCH(C$9, INDEX(visitor, 1, 0), 0)) = "", NA(),
INDEX(visitor, ROW() - 9, MATCH(C$9, INDEX(visitor, 1, 0), 0)))</f>
        <v>338</v>
      </c>
      <c r="D28" s="280" cm="1">
        <f t="array" ref="D28">IF(
INDEX(visitor, ROW() - 9, MATCH(D$9, INDEX(visitor, 1, 0), 0)) = "", NA(),
INDEX(visitor, ROW() - 9, MATCH(D$9, INDEX(visitor, 1, 0), 0)))</f>
        <v>165</v>
      </c>
      <c r="E28" s="236" t="str">
        <f>IF(COUNTIFS(contents!X:X,followers!E19)&gt;0,"Yes","")</f>
        <v/>
      </c>
      <c r="F28" s="3">
        <f>followers!E19</f>
        <v>45553</v>
      </c>
    </row>
    <row r="29" spans="1:6">
      <c r="A29" t="str">
        <f>IF(MOD(F29,7)&lt;&gt;2,"",(COUNTA($A$11:A28)-COUNTBLANK($A$11:A28)+1)&amp;"주차")</f>
        <v/>
      </c>
      <c r="B29" s="279" t="str">
        <f>IFERROR(IF(C29="","",TEXT(followers!E20,"d")&amp;CHAR(10)&amp;TEXT(followers!E20,"aaa")),"")</f>
        <v>19
목</v>
      </c>
      <c r="C29" s="280" cm="1">
        <f t="array" ref="C29">IF(
INDEX(visitor, ROW() - 9, MATCH(C$9, INDEX(visitor, 1, 0), 0)) = "", NA(),
INDEX(visitor, ROW() - 9, MATCH(C$9, INDEX(visitor, 1, 0), 0)))</f>
        <v>368</v>
      </c>
      <c r="D29" s="280" cm="1">
        <f t="array" ref="D29">IF(
INDEX(visitor, ROW() - 9, MATCH(D$9, INDEX(visitor, 1, 0), 0)) = "", NA(),
INDEX(visitor, ROW() - 9, MATCH(D$9, INDEX(visitor, 1, 0), 0)))</f>
        <v>159</v>
      </c>
      <c r="E29" s="236" t="str">
        <f>IF(COUNTIFS(contents!X:X,followers!E20)&gt;0,"Yes","")</f>
        <v>Yes</v>
      </c>
      <c r="F29" s="3">
        <f>followers!E20</f>
        <v>45554</v>
      </c>
    </row>
    <row r="30" spans="1:6">
      <c r="A30" t="str">
        <f>IF(MOD(F30,7)&lt;&gt;2,"",(COUNTA($A$11:A29)-COUNTBLANK($A$11:A29)+1)&amp;"주차")</f>
        <v/>
      </c>
      <c r="B30" s="279" t="str">
        <f>IFERROR(IF(C30="","",TEXT(followers!E21,"d")&amp;CHAR(10)&amp;TEXT(followers!E21,"aaa")),"")</f>
        <v>20
금</v>
      </c>
      <c r="C30" s="280" cm="1">
        <f t="array" ref="C30">IF(
INDEX(visitor, ROW() - 9, MATCH(C$9, INDEX(visitor, 1, 0), 0)) = "", NA(),
INDEX(visitor, ROW() - 9, MATCH(C$9, INDEX(visitor, 1, 0), 0)))</f>
        <v>376</v>
      </c>
      <c r="D30" s="280" cm="1">
        <f t="array" ref="D30">IF(
INDEX(visitor, ROW() - 9, MATCH(D$9, INDEX(visitor, 1, 0), 0)) = "", NA(),
INDEX(visitor, ROW() - 9, MATCH(D$9, INDEX(visitor, 1, 0), 0)))</f>
        <v>196</v>
      </c>
      <c r="E30" s="236" t="str">
        <f>IF(COUNTIFS(contents!X:X,followers!E21)&gt;0,"Yes","")</f>
        <v>Yes</v>
      </c>
      <c r="F30" s="3">
        <f>followers!E21</f>
        <v>45555</v>
      </c>
    </row>
    <row r="31" spans="1:6">
      <c r="A31" t="str">
        <f>IF(MOD(F31,7)&lt;&gt;2,"",(COUNTA($A$11:A30)-COUNTBLANK($A$11:A30)+1)&amp;"주차")</f>
        <v/>
      </c>
      <c r="B31" s="279" t="str">
        <f>IFERROR(IF(C31="","",TEXT(followers!E22,"d")&amp;CHAR(10)&amp;TEXT(followers!E22,"aaa")),"")</f>
        <v>21
토</v>
      </c>
      <c r="C31" s="280" cm="1">
        <f t="array" ref="C31">IF(
INDEX(visitor, ROW() - 9, MATCH(C$9, INDEX(visitor, 1, 0), 0)) = "", NA(),
INDEX(visitor, ROW() - 9, MATCH(C$9, INDEX(visitor, 1, 0), 0)))</f>
        <v>177</v>
      </c>
      <c r="D31" s="280" cm="1">
        <f t="array" ref="D31">IF(
INDEX(visitor, ROW() - 9, MATCH(D$9, INDEX(visitor, 1, 0), 0)) = "", NA(),
INDEX(visitor, ROW() - 9, MATCH(D$9, INDEX(visitor, 1, 0), 0)))</f>
        <v>153</v>
      </c>
      <c r="E31" s="236" t="str">
        <f>IF(COUNTIFS(contents!X:X,followers!E22)&gt;0,"Yes","")</f>
        <v/>
      </c>
      <c r="F31" s="3">
        <f>followers!E22</f>
        <v>45556</v>
      </c>
    </row>
    <row r="32" spans="1:6">
      <c r="A32" t="str">
        <f>IF(MOD(F32,7)&lt;&gt;2,"",(COUNTA($A$11:A31)-COUNTBLANK($A$11:A31)+1)&amp;"주차")</f>
        <v/>
      </c>
      <c r="B32" s="279" t="str">
        <f>IFERROR(IF(C32="","",TEXT(followers!E23,"d")&amp;CHAR(10)&amp;TEXT(followers!E23,"aaa")),"")</f>
        <v>22
일</v>
      </c>
      <c r="C32" s="280" cm="1">
        <f t="array" ref="C32">IF(
INDEX(visitor, ROW() - 9, MATCH(C$9, INDEX(visitor, 1, 0), 0)) = "", NA(),
INDEX(visitor, ROW() - 9, MATCH(C$9, INDEX(visitor, 1, 0), 0)))</f>
        <v>143</v>
      </c>
      <c r="D32" s="280" cm="1">
        <f t="array" ref="D32">IF(
INDEX(visitor, ROW() - 9, MATCH(D$9, INDEX(visitor, 1, 0), 0)) = "", NA(),
INDEX(visitor, ROW() - 9, MATCH(D$9, INDEX(visitor, 1, 0), 0)))</f>
        <v>126</v>
      </c>
      <c r="E32" s="236" t="str">
        <f>IF(COUNTIFS(contents!X:X,followers!E23)&gt;0,"Yes","")</f>
        <v/>
      </c>
      <c r="F32" s="3">
        <f>followers!E23</f>
        <v>45557</v>
      </c>
    </row>
    <row r="33" spans="1:24">
      <c r="A33" t="str">
        <f>IF(MOD(F33,7)&lt;&gt;2,"",(COUNTA($A$11:A32)-COUNTBLANK($A$11:A32)+1)&amp;"주차")</f>
        <v>4주차</v>
      </c>
      <c r="B33" s="279" t="str">
        <f>IFERROR(IF(C33="","",TEXT(followers!E24,"d")&amp;CHAR(10)&amp;TEXT(followers!E24,"aaa")),"")</f>
        <v>23
월</v>
      </c>
      <c r="C33" s="280" cm="1">
        <f t="array" ref="C33">IF(
INDEX(visitor, ROW() - 9, MATCH(C$9, INDEX(visitor, 1, 0), 0)) = "", NA(),
INDEX(visitor, ROW() - 9, MATCH(C$9, INDEX(visitor, 1, 0), 0)))</f>
        <v>411</v>
      </c>
      <c r="D33" s="280" cm="1">
        <f t="array" ref="D33">IF(
INDEX(visitor, ROW() - 9, MATCH(D$9, INDEX(visitor, 1, 0), 0)) = "", NA(),
INDEX(visitor, ROW() - 9, MATCH(D$9, INDEX(visitor, 1, 0), 0)))</f>
        <v>141</v>
      </c>
      <c r="E33" s="236" t="str">
        <f>IF(COUNTIFS(contents!X:X,followers!E24)&gt;0,"Yes","")</f>
        <v/>
      </c>
      <c r="F33" s="3">
        <f>followers!E24</f>
        <v>45558</v>
      </c>
    </row>
    <row r="34" spans="1:24">
      <c r="A34" t="str">
        <f>IF(MOD(F34,7)&lt;&gt;2,"",(COUNTA($A$11:A33)-COUNTBLANK($A$11:A33)+1)&amp;"주차")</f>
        <v/>
      </c>
      <c r="B34" s="279" t="str">
        <f>IFERROR(IF(C34="","",TEXT(followers!E25,"d")&amp;CHAR(10)&amp;TEXT(followers!E25,"aaa")),"")</f>
        <v>24
화</v>
      </c>
      <c r="C34" s="280" cm="1">
        <f t="array" ref="C34">IF(
INDEX(visitor, ROW() - 9, MATCH(C$9, INDEX(visitor, 1, 0), 0)) = "", NA(),
INDEX(visitor, ROW() - 9, MATCH(C$9, INDEX(visitor, 1, 0), 0)))</f>
        <v>493</v>
      </c>
      <c r="D34" s="280" cm="1">
        <f t="array" ref="D34">IF(
INDEX(visitor, ROW() - 9, MATCH(D$9, INDEX(visitor, 1, 0), 0)) = "", NA(),
INDEX(visitor, ROW() - 9, MATCH(D$9, INDEX(visitor, 1, 0), 0)))</f>
        <v>233</v>
      </c>
      <c r="E34" s="236" t="str">
        <f>IF(COUNTIFS(contents!X:X,followers!E25)&gt;0,"Yes","")</f>
        <v>Yes</v>
      </c>
      <c r="F34" s="3">
        <f>followers!E25</f>
        <v>45559</v>
      </c>
    </row>
    <row r="35" spans="1:24">
      <c r="A35" t="str">
        <f>IF(MOD(F35,7)&lt;&gt;2,"",(COUNTA($A$11:A34)-COUNTBLANK($A$11:A34)+1)&amp;"주차")</f>
        <v/>
      </c>
      <c r="B35" s="279" t="str">
        <f>IFERROR(IF(C35="","",TEXT(followers!E26,"d")&amp;CHAR(10)&amp;TEXT(followers!E26,"aaa")),"")</f>
        <v>25
수</v>
      </c>
      <c r="C35" s="280" cm="1">
        <f t="array" ref="C35">IF(
INDEX(visitor, ROW() - 9, MATCH(C$9, INDEX(visitor, 1, 0), 0)) = "", NA(),
INDEX(visitor, ROW() - 9, MATCH(C$9, INDEX(visitor, 1, 0), 0)))</f>
        <v>428</v>
      </c>
      <c r="D35" s="280" cm="1">
        <f t="array" ref="D35">IF(
INDEX(visitor, ROW() - 9, MATCH(D$9, INDEX(visitor, 1, 0), 0)) = "", NA(),
INDEX(visitor, ROW() - 9, MATCH(D$9, INDEX(visitor, 1, 0), 0)))</f>
        <v>205</v>
      </c>
      <c r="E35" s="236" t="str">
        <f>IF(COUNTIFS(contents!X:X,followers!E26)&gt;0,"Yes","")</f>
        <v>Yes</v>
      </c>
      <c r="F35" s="3">
        <f>followers!E26</f>
        <v>45560</v>
      </c>
    </row>
    <row r="36" spans="1:24">
      <c r="A36" t="str">
        <f>IF(MOD(F36,7)&lt;&gt;2,"",(COUNTA($A$11:A35)-COUNTBLANK($A$11:A35)+1)&amp;"주차")</f>
        <v/>
      </c>
      <c r="B36" s="279" t="str">
        <f>IFERROR(IF(C36="","",TEXT(followers!E27,"d")&amp;CHAR(10)&amp;TEXT(followers!E27,"aaa")),"")</f>
        <v>26
목</v>
      </c>
      <c r="C36" s="280" cm="1">
        <f t="array" ref="C36">IF(
INDEX(visitor, ROW() - 9, MATCH(C$9, INDEX(visitor, 1, 0), 0)) = "", NA(),
INDEX(visitor, ROW() - 9, MATCH(C$9, INDEX(visitor, 1, 0), 0)))</f>
        <v>474</v>
      </c>
      <c r="D36" s="280" cm="1">
        <f t="array" ref="D36">IF(
INDEX(visitor, ROW() - 9, MATCH(D$9, INDEX(visitor, 1, 0), 0)) = "", NA(),
INDEX(visitor, ROW() - 9, MATCH(D$9, INDEX(visitor, 1, 0), 0)))</f>
        <v>247</v>
      </c>
      <c r="E36" s="236" t="str">
        <f>IF(COUNTIFS(contents!X:X,followers!E27)&gt;0,"Yes","")</f>
        <v>Yes</v>
      </c>
      <c r="F36" s="3">
        <f>followers!E27</f>
        <v>45561</v>
      </c>
    </row>
    <row r="37" spans="1:24">
      <c r="A37" t="str">
        <f>IF(MOD(F37,7)&lt;&gt;2,"",(COUNTA($A$11:A36)-COUNTBLANK($A$11:A36)+1)&amp;"주차")</f>
        <v/>
      </c>
      <c r="B37" s="279" t="str">
        <f>IFERROR(IF(C37="","",TEXT(followers!E28,"d")&amp;CHAR(10)&amp;TEXT(followers!E28,"aaa")),"")</f>
        <v>27
금</v>
      </c>
      <c r="C37" s="280" cm="1">
        <f t="array" ref="C37">IF(
INDEX(visitor, ROW() - 9, MATCH(C$9, INDEX(visitor, 1, 0), 0)) = "", NA(),
INDEX(visitor, ROW() - 9, MATCH(C$9, INDEX(visitor, 1, 0), 0)))</f>
        <v>368</v>
      </c>
      <c r="D37" s="280" cm="1">
        <f t="array" ref="D37">IF(
INDEX(visitor, ROW() - 9, MATCH(D$9, INDEX(visitor, 1, 0), 0)) = "", NA(),
INDEX(visitor, ROW() - 9, MATCH(D$9, INDEX(visitor, 1, 0), 0)))</f>
        <v>158</v>
      </c>
      <c r="E37" s="236" t="str">
        <f>IF(COUNTIFS(contents!X:X,followers!E28)&gt;0,"Yes","")</f>
        <v>Yes</v>
      </c>
      <c r="F37" s="3">
        <f>followers!E28</f>
        <v>45562</v>
      </c>
    </row>
    <row r="38" spans="1:24">
      <c r="A38" t="str">
        <f>IF(MOD(F38,7)&lt;&gt;2,"",(COUNTA($A$11:A37)-COUNTBLANK($A$11:A37)+1)&amp;"주차")</f>
        <v/>
      </c>
      <c r="B38" s="279" t="str">
        <f>IFERROR(IF(C38="","",TEXT(followers!E29,"d")&amp;CHAR(10)&amp;TEXT(followers!E29,"aaa")),"")</f>
        <v>28
토</v>
      </c>
      <c r="C38" s="280" cm="1">
        <f t="array" ref="C38">IF(
INDEX(visitor, ROW() - 9, MATCH(C$9, INDEX(visitor, 1, 0), 0)) = "", NA(),
INDEX(visitor, ROW() - 9, MATCH(C$9, INDEX(visitor, 1, 0), 0)))</f>
        <v>165</v>
      </c>
      <c r="D38" s="280" cm="1">
        <f t="array" ref="D38">IF(
INDEX(visitor, ROW() - 9, MATCH(D$9, INDEX(visitor, 1, 0), 0)) = "", NA(),
INDEX(visitor, ROW() - 9, MATCH(D$9, INDEX(visitor, 1, 0), 0)))</f>
        <v>78</v>
      </c>
      <c r="E38" s="236" t="str">
        <f>IF(COUNTIFS(contents!X:X,followers!E29)&gt;0,"Yes","")</f>
        <v/>
      </c>
      <c r="F38" s="3">
        <f>followers!E29</f>
        <v>45563</v>
      </c>
    </row>
    <row r="39" spans="1:24">
      <c r="A39" t="str">
        <f>IF(MOD(F39,7)&lt;&gt;2,"",(COUNTA($A$11:A38)-COUNTBLANK($A$11:A38)+1)&amp;"주차")</f>
        <v/>
      </c>
      <c r="B39" s="279" t="str">
        <f>IFERROR(IF(C39="","",TEXT(followers!E30,"d")&amp;CHAR(10)&amp;TEXT(followers!E30,"aaa")),"")</f>
        <v>29
일</v>
      </c>
      <c r="C39" s="280" cm="1">
        <f t="array" ref="C39">IF(
INDEX(visitor, ROW() - 9, MATCH(C$9, INDEX(visitor, 1, 0), 0)) = "", NA(),
INDEX(visitor, ROW() - 9, MATCH(C$9, INDEX(visitor, 1, 0), 0)))</f>
        <v>150</v>
      </c>
      <c r="D39" s="280" cm="1">
        <f t="array" ref="D39">IF(
INDEX(visitor, ROW() - 9, MATCH(D$9, INDEX(visitor, 1, 0), 0)) = "", NA(),
INDEX(visitor, ROW() - 9, MATCH(D$9, INDEX(visitor, 1, 0), 0)))</f>
        <v>176</v>
      </c>
      <c r="E39" s="236" t="str">
        <f>IF(COUNTIFS(contents!X:X,followers!E30)&gt;0,"Yes","")</f>
        <v/>
      </c>
      <c r="F39" s="3">
        <f>followers!E30</f>
        <v>45564</v>
      </c>
    </row>
    <row r="40" spans="1:24">
      <c r="A40" t="str">
        <f>IF(MOD(F40,7)&lt;&gt;2,"",(COUNTA($A$11:A39)-COUNTBLANK($A$11:A39)+1)&amp;"주차")</f>
        <v>5주차</v>
      </c>
      <c r="B40" s="279" t="str">
        <f>IFERROR(IF(C40="","",TEXT(followers!E31,"d")&amp;CHAR(10)&amp;TEXT(followers!E31,"aaa")),"")</f>
        <v>30
월</v>
      </c>
      <c r="C40" s="280" cm="1">
        <f t="array" ref="C40">IF(
INDEX(visitor, ROW() - 9, MATCH(C$9, INDEX(visitor, 1, 0), 0)) = "", NA(),
INDEX(visitor, ROW() - 9, MATCH(C$9, INDEX(visitor, 1, 0), 0)))</f>
        <v>360</v>
      </c>
      <c r="D40" s="280" cm="1">
        <f t="array" ref="D40">IF(
INDEX(visitor, ROW() - 9, MATCH(D$9, INDEX(visitor, 1, 0), 0)) = "", NA(),
INDEX(visitor, ROW() - 9, MATCH(D$9, INDEX(visitor, 1, 0), 0)))</f>
        <v>134</v>
      </c>
      <c r="E40" s="236" t="str">
        <f>IF(COUNTIFS(contents!X:X,followers!E31)&gt;0,"Yes","")</f>
        <v/>
      </c>
      <c r="F40" s="3">
        <f>followers!E31</f>
        <v>45565</v>
      </c>
    </row>
    <row r="41" spans="1:24">
      <c r="A41" t="e">
        <f>IF(MOD(F41,7)&lt;&gt;2,"",(COUNTA($A$11:A40)-COUNTBLANK($A$11:A40)+1)&amp;"주차")</f>
        <v>#VALUE!</v>
      </c>
      <c r="B41" s="279" t="str">
        <f>IFERROR(IF(C41="","",TEXT(followers!E32,"d")&amp;CHAR(10)&amp;TEXT(followers!E32,"aaa")),"")</f>
        <v/>
      </c>
      <c r="C41" s="280" t="e" cm="1">
        <f t="array" ref="C41">IF(
INDEX(visitor, ROW() - 9, MATCH(C$9, INDEX(visitor, 1, 0), 0)) = "", NA(),
INDEX(visitor, ROW() - 9, MATCH(C$9, INDEX(visitor, 1, 0), 0)))</f>
        <v>#N/A</v>
      </c>
      <c r="D41" s="280" t="e" cm="1">
        <f t="array" ref="D41">IF(
INDEX(visitor, ROW() - 9, MATCH(D$9, INDEX(visitor, 1, 0), 0)) = "", NA(),
INDEX(visitor, ROW() - 9, MATCH(D$9, INDEX(visitor, 1, 0), 0)))</f>
        <v>#N/A</v>
      </c>
      <c r="E41" s="236" t="str">
        <f>IF(COUNTIFS(contents!X:X,followers!E32)&gt;0,"Yes","")</f>
        <v/>
      </c>
      <c r="F41" s="3" t="e">
        <f>followers!E32</f>
        <v>#VALUE!</v>
      </c>
    </row>
    <row r="44" spans="1:24" ht="17.25" thickBot="1"/>
    <row r="45" spans="1:24" ht="17.25" thickBot="1">
      <c r="B45" s="283" t="s">
        <v>4</v>
      </c>
      <c r="C45" s="284" t="s">
        <v>972</v>
      </c>
      <c r="D45" s="285" t="s">
        <v>973</v>
      </c>
      <c r="X45" t="s">
        <v>974</v>
      </c>
    </row>
    <row r="46" spans="1:24" ht="17.25" thickBot="1">
      <c r="B46" s="286">
        <f>followers!H1</f>
        <v>45536</v>
      </c>
      <c r="C46" s="281">
        <f>SUMIF(C11:C41, "&gt;0", C11:C41)</f>
        <v>9613</v>
      </c>
      <c r="D46" s="282">
        <f>SUMIF(D11:D41, "&gt;0", D11:D41)</f>
        <v>4932</v>
      </c>
      <c r="X46" t="s">
        <v>975</v>
      </c>
    </row>
    <row r="48" spans="1:24" ht="17.25" thickBot="1"/>
    <row r="49" spans="2:4" ht="17.25" thickBot="1">
      <c r="B49" s="283" t="s">
        <v>4</v>
      </c>
      <c r="C49" s="284" t="s">
        <v>972</v>
      </c>
      <c r="D49" s="285" t="s">
        <v>973</v>
      </c>
    </row>
    <row r="50" spans="2:4">
      <c r="B50" s="293">
        <v>45139</v>
      </c>
      <c r="C50" s="287">
        <v>10516</v>
      </c>
      <c r="D50" s="288">
        <v>5315</v>
      </c>
    </row>
    <row r="51" spans="2:4">
      <c r="B51" s="293">
        <v>45170</v>
      </c>
      <c r="C51" s="46">
        <v>4950</v>
      </c>
      <c r="D51" s="128">
        <v>3883</v>
      </c>
    </row>
    <row r="52" spans="2:4">
      <c r="B52" s="293">
        <v>45200</v>
      </c>
      <c r="C52" s="46">
        <v>4950</v>
      </c>
      <c r="D52" s="128">
        <v>3883</v>
      </c>
    </row>
    <row r="53" spans="2:4">
      <c r="B53" s="293">
        <v>45231</v>
      </c>
      <c r="C53" s="46">
        <v>5743</v>
      </c>
      <c r="D53" s="128">
        <v>6921</v>
      </c>
    </row>
    <row r="54" spans="2:4">
      <c r="B54" s="293">
        <v>45261</v>
      </c>
      <c r="C54" s="46">
        <v>2160</v>
      </c>
      <c r="D54" s="128">
        <v>1915</v>
      </c>
    </row>
    <row r="55" spans="2:4">
      <c r="B55" s="293">
        <v>45292</v>
      </c>
      <c r="C55" s="46">
        <v>6482</v>
      </c>
      <c r="D55" s="128">
        <v>4016</v>
      </c>
    </row>
    <row r="56" spans="2:4">
      <c r="B56" s="293">
        <v>45323</v>
      </c>
      <c r="C56" s="46">
        <v>6414</v>
      </c>
      <c r="D56" s="128">
        <v>4664</v>
      </c>
    </row>
    <row r="57" spans="2:4">
      <c r="B57" s="293">
        <v>45352</v>
      </c>
      <c r="C57" s="46">
        <v>7280</v>
      </c>
      <c r="D57" s="128">
        <v>6025</v>
      </c>
    </row>
    <row r="58" spans="2:4">
      <c r="B58" s="293">
        <v>45383</v>
      </c>
      <c r="C58" s="46">
        <v>5814</v>
      </c>
      <c r="D58" s="128">
        <v>7480</v>
      </c>
    </row>
    <row r="59" spans="2:4">
      <c r="B59" s="293">
        <v>45413</v>
      </c>
      <c r="C59" s="46">
        <v>5693</v>
      </c>
      <c r="D59" s="128">
        <v>8413</v>
      </c>
    </row>
    <row r="60" spans="2:4">
      <c r="B60" s="293">
        <v>45444</v>
      </c>
      <c r="C60" s="46">
        <v>5607</v>
      </c>
      <c r="D60" s="128">
        <v>5987</v>
      </c>
    </row>
    <row r="61" spans="2:4">
      <c r="B61" s="293">
        <v>45474</v>
      </c>
      <c r="C61" s="46">
        <v>10516</v>
      </c>
      <c r="D61" s="128">
        <v>5315</v>
      </c>
    </row>
    <row r="62" spans="2:4">
      <c r="B62" s="293">
        <v>45505</v>
      </c>
      <c r="C62" s="46">
        <v>10742</v>
      </c>
      <c r="D62" s="128">
        <v>6503</v>
      </c>
    </row>
    <row r="63" spans="2:4">
      <c r="B63" s="293">
        <v>45536</v>
      </c>
      <c r="C63" s="46">
        <v>9613</v>
      </c>
      <c r="D63" s="128">
        <v>4932</v>
      </c>
    </row>
    <row r="64" spans="2:4">
      <c r="B64" s="293"/>
      <c r="C64" s="46"/>
      <c r="D64" s="128"/>
    </row>
    <row r="65" spans="2:10">
      <c r="B65" s="293"/>
      <c r="C65" s="46"/>
      <c r="D65" s="128"/>
    </row>
    <row r="66" spans="2:10">
      <c r="B66" s="293"/>
      <c r="C66" s="46"/>
      <c r="D66" s="128"/>
    </row>
    <row r="67" spans="2:10">
      <c r="B67" s="293"/>
      <c r="C67" s="46"/>
      <c r="D67" s="128"/>
    </row>
    <row r="68" spans="2:10" ht="17.25" thickBot="1">
      <c r="B68" s="293"/>
      <c r="C68" s="46"/>
      <c r="D68" s="128"/>
      <c r="H68">
        <v>1</v>
      </c>
      <c r="I68">
        <v>2</v>
      </c>
      <c r="J68">
        <v>3</v>
      </c>
    </row>
    <row r="69" spans="2:10">
      <c r="B69" s="293"/>
      <c r="C69" s="46"/>
      <c r="D69" s="128"/>
      <c r="H69" s="138" t="s">
        <v>4</v>
      </c>
      <c r="I69" s="139" t="s">
        <v>79</v>
      </c>
      <c r="J69" s="140" t="s">
        <v>80</v>
      </c>
    </row>
    <row r="70" spans="2:10">
      <c r="B70" s="293"/>
      <c r="C70" s="46"/>
      <c r="D70" s="128"/>
      <c r="G70">
        <v>11</v>
      </c>
      <c r="H70" s="294" cm="1">
        <f t="array" ref="H70">INDEX(INDEX(Yearly_PV, 0, H$68), COUNTA(INDEX(Yearly_PV, 0, H$68))-$G70)</f>
        <v>45200</v>
      </c>
      <c r="I70" s="289" cm="1">
        <f t="array" ref="I70">INDEX(INDEX(Yearly_PV, 0, I$68), COUNTA(INDEX(Yearly_PV, 0, I$68))-$G70)</f>
        <v>4950</v>
      </c>
      <c r="J70" s="290" cm="1">
        <f t="array" ref="J70">INDEX(INDEX(Yearly_PV, 0, J$68), COUNTA(INDEX(Yearly_PV, 0, J$68))-$G70)</f>
        <v>3883</v>
      </c>
    </row>
    <row r="71" spans="2:10">
      <c r="B71" s="293"/>
      <c r="C71" s="46"/>
      <c r="D71" s="128"/>
      <c r="G71">
        <v>10</v>
      </c>
      <c r="H71" s="294" cm="1">
        <f t="array" ref="H71">INDEX(INDEX(Yearly_PV, 0, H$68), COUNTA(INDEX(Yearly_PV, 0, H$68))-$G71)</f>
        <v>45231</v>
      </c>
      <c r="I71" s="289" cm="1">
        <f t="array" ref="I71">INDEX(INDEX(Yearly_PV, 0, I$68), COUNTA(INDEX(Yearly_PV, 0, I$68))-$G71)</f>
        <v>5743</v>
      </c>
      <c r="J71" s="290" cm="1">
        <f t="array" ref="J71">INDEX(INDEX(Yearly_PV, 0, J$68), COUNTA(INDEX(Yearly_PV, 0, J$68))-$G71)</f>
        <v>6921</v>
      </c>
    </row>
    <row r="72" spans="2:10">
      <c r="B72" s="293"/>
      <c r="C72" s="46"/>
      <c r="D72" s="128"/>
      <c r="G72">
        <v>9</v>
      </c>
      <c r="H72" s="294" cm="1">
        <f t="array" ref="H72">INDEX(INDEX(Yearly_PV, 0, H$68), COUNTA(INDEX(Yearly_PV, 0, H$68))-$G72)</f>
        <v>45261</v>
      </c>
      <c r="I72" s="289" cm="1">
        <f t="array" ref="I72">INDEX(INDEX(Yearly_PV, 0, I$68), COUNTA(INDEX(Yearly_PV, 0, I$68))-$G72)</f>
        <v>2160</v>
      </c>
      <c r="J72" s="290" cm="1">
        <f t="array" ref="J72">INDEX(INDEX(Yearly_PV, 0, J$68), COUNTA(INDEX(Yearly_PV, 0, J$68))-$G72)</f>
        <v>1915</v>
      </c>
    </row>
    <row r="73" spans="2:10">
      <c r="B73" s="293"/>
      <c r="C73" s="46"/>
      <c r="D73" s="128"/>
      <c r="G73">
        <v>8</v>
      </c>
      <c r="H73" s="294" cm="1">
        <f t="array" ref="H73">INDEX(INDEX(Yearly_PV, 0, H$68), COUNTA(INDEX(Yearly_PV, 0, H$68))-$G73)</f>
        <v>45292</v>
      </c>
      <c r="I73" s="289" cm="1">
        <f t="array" ref="I73">INDEX(INDEX(Yearly_PV, 0, I$68), COUNTA(INDEX(Yearly_PV, 0, I$68))-$G73)</f>
        <v>6482</v>
      </c>
      <c r="J73" s="290" cm="1">
        <f t="array" ref="J73">INDEX(INDEX(Yearly_PV, 0, J$68), COUNTA(INDEX(Yearly_PV, 0, J$68))-$G73)</f>
        <v>4016</v>
      </c>
    </row>
    <row r="74" spans="2:10">
      <c r="B74" s="293"/>
      <c r="C74" s="46"/>
      <c r="D74" s="128"/>
      <c r="G74">
        <v>7</v>
      </c>
      <c r="H74" s="294" cm="1">
        <f t="array" ref="H74">INDEX(INDEX(Yearly_PV, 0, H$68), COUNTA(INDEX(Yearly_PV, 0, H$68))-$G74)</f>
        <v>45323</v>
      </c>
      <c r="I74" s="289" cm="1">
        <f t="array" ref="I74">INDEX(INDEX(Yearly_PV, 0, I$68), COUNTA(INDEX(Yearly_PV, 0, I$68))-$G74)</f>
        <v>6414</v>
      </c>
      <c r="J74" s="290" cm="1">
        <f t="array" ref="J74">INDEX(INDEX(Yearly_PV, 0, J$68), COUNTA(INDEX(Yearly_PV, 0, J$68))-$G74)</f>
        <v>4664</v>
      </c>
    </row>
    <row r="75" spans="2:10">
      <c r="B75" s="293"/>
      <c r="C75" s="46"/>
      <c r="D75" s="128"/>
      <c r="G75">
        <v>6</v>
      </c>
      <c r="H75" s="294" cm="1">
        <f t="array" ref="H75">INDEX(INDEX(Yearly_PV, 0, H$68), COUNTA(INDEX(Yearly_PV, 0, H$68))-$G75)</f>
        <v>45352</v>
      </c>
      <c r="I75" s="289" cm="1">
        <f t="array" ref="I75">INDEX(INDEX(Yearly_PV, 0, I$68), COUNTA(INDEX(Yearly_PV, 0, I$68))-$G75)</f>
        <v>7280</v>
      </c>
      <c r="J75" s="290" cm="1">
        <f t="array" ref="J75">INDEX(INDEX(Yearly_PV, 0, J$68), COUNTA(INDEX(Yearly_PV, 0, J$68))-$G75)</f>
        <v>6025</v>
      </c>
    </row>
    <row r="76" spans="2:10">
      <c r="B76" s="293"/>
      <c r="C76" s="46"/>
      <c r="D76" s="128"/>
      <c r="G76">
        <v>5</v>
      </c>
      <c r="H76" s="294" cm="1">
        <f t="array" ref="H76">INDEX(INDEX(Yearly_PV, 0, H$68), COUNTA(INDEX(Yearly_PV, 0, H$68))-$G76)</f>
        <v>45383</v>
      </c>
      <c r="I76" s="289" cm="1">
        <f t="array" ref="I76">INDEX(INDEX(Yearly_PV, 0, I$68), COUNTA(INDEX(Yearly_PV, 0, I$68))-$G76)</f>
        <v>5814</v>
      </c>
      <c r="J76" s="290" cm="1">
        <f t="array" ref="J76">INDEX(INDEX(Yearly_PV, 0, J$68), COUNTA(INDEX(Yearly_PV, 0, J$68))-$G76)</f>
        <v>7480</v>
      </c>
    </row>
    <row r="77" spans="2:10">
      <c r="B77" s="293"/>
      <c r="C77" s="46"/>
      <c r="D77" s="128"/>
      <c r="G77">
        <v>4</v>
      </c>
      <c r="H77" s="294" cm="1">
        <f t="array" ref="H77">INDEX(INDEX(Yearly_PV, 0, H$68), COUNTA(INDEX(Yearly_PV, 0, H$68))-$G77)</f>
        <v>45413</v>
      </c>
      <c r="I77" s="289" cm="1">
        <f t="array" ref="I77">INDEX(INDEX(Yearly_PV, 0, I$68), COUNTA(INDEX(Yearly_PV, 0, I$68))-$G77)</f>
        <v>5693</v>
      </c>
      <c r="J77" s="290" cm="1">
        <f t="array" ref="J77">INDEX(INDEX(Yearly_PV, 0, J$68), COUNTA(INDEX(Yearly_PV, 0, J$68))-$G77)</f>
        <v>8413</v>
      </c>
    </row>
    <row r="78" spans="2:10">
      <c r="B78" s="293"/>
      <c r="C78" s="46"/>
      <c r="D78" s="128"/>
      <c r="G78">
        <v>3</v>
      </c>
      <c r="H78" s="294" cm="1">
        <f t="array" ref="H78">INDEX(INDEX(Yearly_PV, 0, H$68), COUNTA(INDEX(Yearly_PV, 0, H$68))-$G78)</f>
        <v>45444</v>
      </c>
      <c r="I78" s="289" cm="1">
        <f t="array" ref="I78">INDEX(INDEX(Yearly_PV, 0, I$68), COUNTA(INDEX(Yearly_PV, 0, I$68))-$G78)</f>
        <v>5607</v>
      </c>
      <c r="J78" s="290" cm="1">
        <f t="array" ref="J78">INDEX(INDEX(Yearly_PV, 0, J$68), COUNTA(INDEX(Yearly_PV, 0, J$68))-$G78)</f>
        <v>5987</v>
      </c>
    </row>
    <row r="79" spans="2:10">
      <c r="B79" s="293"/>
      <c r="C79" s="46"/>
      <c r="D79" s="128"/>
      <c r="G79">
        <v>2</v>
      </c>
      <c r="H79" s="294" cm="1">
        <f t="array" ref="H79">INDEX(INDEX(Yearly_PV, 0, H$68), COUNTA(INDEX(Yearly_PV, 0, H$68))-$G79)</f>
        <v>45474</v>
      </c>
      <c r="I79" s="289" cm="1">
        <f t="array" ref="I79">INDEX(INDEX(Yearly_PV, 0, I$68), COUNTA(INDEX(Yearly_PV, 0, I$68))-$G79)</f>
        <v>10516</v>
      </c>
      <c r="J79" s="290" cm="1">
        <f t="array" ref="J79">INDEX(INDEX(Yearly_PV, 0, J$68), COUNTA(INDEX(Yearly_PV, 0, J$68))-$G79)</f>
        <v>5315</v>
      </c>
    </row>
    <row r="80" spans="2:10">
      <c r="B80" s="293"/>
      <c r="C80" s="46"/>
      <c r="D80" s="128"/>
      <c r="G80">
        <v>1</v>
      </c>
      <c r="H80" s="294" cm="1">
        <f t="array" ref="H80">INDEX(INDEX(Yearly_PV, 0, H$68), COUNTA(INDEX(Yearly_PV, 0, H$68))-$G80)</f>
        <v>45505</v>
      </c>
      <c r="I80" s="289" cm="1">
        <f t="array" ref="I80">INDEX(INDEX(Yearly_PV, 0, I$68), COUNTA(INDEX(Yearly_PV, 0, I$68))-$G80)</f>
        <v>10742</v>
      </c>
      <c r="J80" s="290" cm="1">
        <f t="array" ref="J80">INDEX(INDEX(Yearly_PV, 0, J$68), COUNTA(INDEX(Yearly_PV, 0, J$68))-$G80)</f>
        <v>6503</v>
      </c>
    </row>
    <row r="81" spans="2:10" ht="17.25" thickBot="1">
      <c r="B81" s="293"/>
      <c r="C81" s="46"/>
      <c r="D81" s="128"/>
      <c r="G81">
        <v>0</v>
      </c>
      <c r="H81" s="295" cm="1">
        <f t="array" ref="H81">INDEX(INDEX(Yearly_PV, 0, H$68), COUNTA(INDEX(Yearly_PV, 0, H$68))-$G81)</f>
        <v>45536</v>
      </c>
      <c r="I81" s="291" cm="1">
        <f t="array" ref="I81">INDEX(INDEX(Yearly_PV, 0, I$68), COUNTA(INDEX(Yearly_PV, 0, I$68))-$G81)</f>
        <v>9613</v>
      </c>
      <c r="J81" s="292" cm="1">
        <f t="array" ref="J81">INDEX(INDEX(Yearly_PV, 0, J$68), COUNTA(INDEX(Yearly_PV, 0, J$68))-$G81)</f>
        <v>4932</v>
      </c>
    </row>
    <row r="82" spans="2:10">
      <c r="B82" s="293"/>
      <c r="C82" s="46"/>
      <c r="D82" s="128"/>
    </row>
    <row r="83" spans="2:10">
      <c r="B83" s="293"/>
      <c r="C83" s="46"/>
      <c r="D83" s="128"/>
    </row>
    <row r="84" spans="2:10">
      <c r="B84" s="293"/>
      <c r="C84" s="46"/>
      <c r="D84" s="128"/>
    </row>
    <row r="85" spans="2:10">
      <c r="B85" s="293"/>
      <c r="C85" s="46"/>
      <c r="D85" s="128"/>
    </row>
    <row r="86" spans="2:10">
      <c r="B86" s="293"/>
      <c r="C86" s="46"/>
      <c r="D86" s="128"/>
    </row>
    <row r="87" spans="2:10">
      <c r="B87" s="293"/>
      <c r="C87" s="46"/>
      <c r="D87" s="128"/>
    </row>
    <row r="88" spans="2:10">
      <c r="B88" s="293"/>
      <c r="C88" s="46"/>
      <c r="D88" s="128"/>
    </row>
    <row r="89" spans="2:10">
      <c r="B89" s="293"/>
      <c r="C89" s="46"/>
      <c r="D89" s="128"/>
    </row>
    <row r="90" spans="2:10">
      <c r="B90" s="293"/>
      <c r="C90" s="46"/>
      <c r="D90" s="128"/>
    </row>
    <row r="91" spans="2:10">
      <c r="B91" s="293"/>
      <c r="C91" s="46"/>
      <c r="D91" s="128"/>
    </row>
    <row r="92" spans="2:10">
      <c r="B92" s="293"/>
      <c r="C92" s="46"/>
      <c r="D92" s="128"/>
    </row>
    <row r="93" spans="2:10">
      <c r="B93" s="293"/>
      <c r="C93" s="46"/>
      <c r="D93" s="128"/>
    </row>
    <row r="94" spans="2:10">
      <c r="B94" s="293"/>
      <c r="C94" s="46"/>
      <c r="D94" s="128"/>
    </row>
    <row r="95" spans="2:10">
      <c r="B95" s="293"/>
      <c r="C95" s="46"/>
      <c r="D95" s="128"/>
    </row>
    <row r="96" spans="2:10">
      <c r="B96" s="293"/>
      <c r="C96" s="46"/>
      <c r="D96" s="128"/>
    </row>
    <row r="97" spans="2:4">
      <c r="B97" s="293"/>
      <c r="C97" s="46"/>
      <c r="D97" s="128"/>
    </row>
    <row r="98" spans="2:4">
      <c r="B98" s="293"/>
      <c r="C98" s="46"/>
      <c r="D98" s="128"/>
    </row>
    <row r="99" spans="2:4">
      <c r="B99" s="293"/>
      <c r="C99" s="46"/>
      <c r="D99" s="128"/>
    </row>
    <row r="100" spans="2:4">
      <c r="B100" s="293"/>
      <c r="C100" s="46"/>
      <c r="D100" s="128"/>
    </row>
    <row r="101" spans="2:4">
      <c r="B101" s="293"/>
      <c r="C101" s="46"/>
      <c r="D101" s="128"/>
    </row>
    <row r="102" spans="2:4" ht="17.25" thickBot="1">
      <c r="B102" s="106"/>
      <c r="C102" s="107"/>
      <c r="D102" s="108"/>
    </row>
  </sheetData>
  <phoneticPr fontId="2"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8507-8C39-4999-9D9C-935E1A9FDBA1}">
  <sheetPr codeName="Sheet12">
    <tabColor theme="9" tint="0.79998168889431442"/>
  </sheetPr>
  <dimension ref="A1:X40"/>
  <sheetViews>
    <sheetView zoomScale="85" zoomScaleNormal="85" workbookViewId="0">
      <selection activeCell="A18" sqref="A18"/>
    </sheetView>
  </sheetViews>
  <sheetFormatPr defaultRowHeight="16.5"/>
  <cols>
    <col min="1" max="1" width="6.75" customWidth="1"/>
    <col min="2" max="6" width="20.375" customWidth="1"/>
    <col min="8" max="8" width="6.25" customWidth="1"/>
    <col min="9" max="13" width="20.375" customWidth="1"/>
  </cols>
  <sheetData>
    <row r="1" spans="1:24" ht="17.25" thickBot="1">
      <c r="A1" t="str">
        <f>"["&amp;IF(MONTH(followers!H1)=1,11,IF(MONTH(followers!H1)=2,12,MONTH(followers!H1)-2))&amp;"·"&amp;IF(MONTH(followers!H1)=1,12,MONTH(followers!H1)-1)&amp;"·"&amp;MONTH(followers!H1)&amp;"월 페이지 지표 비교]"</f>
        <v>[7·8·9월 페이지 지표 비교]</v>
      </c>
      <c r="I1" t="s">
        <v>61</v>
      </c>
      <c r="J1" t="s">
        <v>59</v>
      </c>
      <c r="K1" t="s">
        <v>60</v>
      </c>
      <c r="L1" t="s">
        <v>64</v>
      </c>
    </row>
    <row r="2" spans="1:24">
      <c r="A2" s="111" t="s">
        <v>4</v>
      </c>
      <c r="B2" s="101" t="s">
        <v>146</v>
      </c>
      <c r="C2" s="101" t="s">
        <v>147</v>
      </c>
      <c r="D2" s="101" t="s">
        <v>148</v>
      </c>
      <c r="E2" s="101" t="s">
        <v>149</v>
      </c>
      <c r="F2" s="102" t="s">
        <v>150</v>
      </c>
      <c r="H2" s="90"/>
      <c r="I2" s="92" t="s">
        <v>146</v>
      </c>
      <c r="J2" s="92" t="s">
        <v>147</v>
      </c>
      <c r="K2" s="92" t="s">
        <v>148</v>
      </c>
      <c r="L2" s="92" t="s">
        <v>149</v>
      </c>
      <c r="M2" s="93" t="s">
        <v>150</v>
      </c>
    </row>
    <row r="3" spans="1:24" ht="17.25" thickBot="1">
      <c r="A3" s="103" t="s">
        <v>143</v>
      </c>
      <c r="B3" s="104">
        <v>11158</v>
      </c>
      <c r="C3" s="104">
        <v>5980</v>
      </c>
      <c r="D3" s="104">
        <v>5178</v>
      </c>
      <c r="E3" s="104">
        <v>4979</v>
      </c>
      <c r="F3" s="197">
        <v>24</v>
      </c>
      <c r="H3" s="110" t="str">
        <f>MONTH(followers!H1)&amp;"월"</f>
        <v>9월</v>
      </c>
      <c r="I3" s="94">
        <f>SUM(visitors!V:V)</f>
        <v>14545</v>
      </c>
      <c r="J3" s="94">
        <f>SUM(visitors!T:T)</f>
        <v>9613</v>
      </c>
      <c r="K3" s="94">
        <f>SUM(visitors!U:U)</f>
        <v>4932</v>
      </c>
      <c r="L3" s="94">
        <f>SUM(visitors!Y:Y)</f>
        <v>7720</v>
      </c>
      <c r="M3" s="109">
        <f>MAX(contents!W:W)</f>
        <v>30</v>
      </c>
    </row>
    <row r="4" spans="1:24">
      <c r="A4" s="103" t="s">
        <v>144</v>
      </c>
      <c r="B4" s="104">
        <v>12664</v>
      </c>
      <c r="C4" s="104">
        <v>5743</v>
      </c>
      <c r="D4" s="104">
        <v>6921</v>
      </c>
      <c r="E4" s="104">
        <v>5093</v>
      </c>
      <c r="F4" s="197">
        <v>25</v>
      </c>
    </row>
    <row r="5" spans="1:24">
      <c r="A5" s="103" t="s">
        <v>145</v>
      </c>
      <c r="B5" s="104">
        <v>8281</v>
      </c>
      <c r="C5" s="104">
        <v>5077</v>
      </c>
      <c r="D5" s="104">
        <v>3204</v>
      </c>
      <c r="E5" s="104">
        <v>4034</v>
      </c>
      <c r="F5" s="197">
        <v>18</v>
      </c>
    </row>
    <row r="6" spans="1:24">
      <c r="A6" s="105" t="s">
        <v>151</v>
      </c>
      <c r="B6" s="104">
        <v>10498</v>
      </c>
      <c r="C6" s="104">
        <v>6482</v>
      </c>
      <c r="D6" s="104">
        <v>4016</v>
      </c>
      <c r="E6" s="104">
        <v>4648</v>
      </c>
      <c r="F6" s="197">
        <v>16</v>
      </c>
    </row>
    <row r="7" spans="1:24">
      <c r="A7" s="105" t="s">
        <v>196</v>
      </c>
      <c r="B7" s="104">
        <v>11078</v>
      </c>
      <c r="C7" s="104">
        <v>6414</v>
      </c>
      <c r="D7" s="104">
        <v>4664</v>
      </c>
      <c r="E7" s="104">
        <v>4914</v>
      </c>
      <c r="F7" s="197">
        <v>25</v>
      </c>
    </row>
    <row r="8" spans="1:24">
      <c r="A8" s="105" t="s">
        <v>468</v>
      </c>
      <c r="B8" s="104">
        <v>13305</v>
      </c>
      <c r="C8" s="104">
        <v>7280</v>
      </c>
      <c r="D8" s="104">
        <v>6025</v>
      </c>
      <c r="E8" s="104">
        <v>5246</v>
      </c>
      <c r="F8" s="197">
        <v>29</v>
      </c>
    </row>
    <row r="9" spans="1:24">
      <c r="A9" s="105" t="s">
        <v>497</v>
      </c>
      <c r="B9" s="104">
        <v>13294</v>
      </c>
      <c r="C9" s="104">
        <v>5814</v>
      </c>
      <c r="D9" s="104">
        <v>7480</v>
      </c>
      <c r="E9" s="104">
        <v>4961</v>
      </c>
      <c r="F9" s="197">
        <v>34</v>
      </c>
    </row>
    <row r="10" spans="1:24">
      <c r="A10" s="105" t="s">
        <v>498</v>
      </c>
      <c r="B10" s="104">
        <v>14106</v>
      </c>
      <c r="C10" s="104">
        <v>5693</v>
      </c>
      <c r="D10" s="104">
        <v>8413</v>
      </c>
      <c r="E10" s="104">
        <v>5026</v>
      </c>
      <c r="F10" s="197">
        <v>41</v>
      </c>
    </row>
    <row r="11" spans="1:24">
      <c r="A11" s="105" t="s">
        <v>933</v>
      </c>
      <c r="B11" s="104">
        <v>11594</v>
      </c>
      <c r="C11" s="104">
        <v>5607</v>
      </c>
      <c r="D11" s="104">
        <v>5987</v>
      </c>
      <c r="E11" s="104">
        <v>5125</v>
      </c>
      <c r="F11" s="197">
        <v>38</v>
      </c>
      <c r="T11" s="52"/>
      <c r="U11" s="52"/>
      <c r="V11" s="52"/>
      <c r="W11" s="52"/>
      <c r="X11" s="52"/>
    </row>
    <row r="12" spans="1:24">
      <c r="A12" s="105" t="s">
        <v>993</v>
      </c>
      <c r="B12" s="104">
        <v>15831</v>
      </c>
      <c r="C12" s="104">
        <v>10516</v>
      </c>
      <c r="D12" s="104">
        <v>5315</v>
      </c>
      <c r="E12" s="104">
        <v>7851</v>
      </c>
      <c r="F12" s="197">
        <v>36</v>
      </c>
      <c r="T12" s="99"/>
      <c r="U12" s="100"/>
      <c r="V12" s="99"/>
      <c r="W12" s="99"/>
      <c r="X12" s="99"/>
    </row>
    <row r="13" spans="1:24">
      <c r="A13" s="105" t="s">
        <v>994</v>
      </c>
      <c r="B13" s="104">
        <v>17245</v>
      </c>
      <c r="C13" s="104">
        <v>10742</v>
      </c>
      <c r="D13" s="104">
        <v>6503</v>
      </c>
      <c r="E13" s="104">
        <v>8773</v>
      </c>
      <c r="F13" s="197">
        <v>53</v>
      </c>
      <c r="T13" s="99"/>
      <c r="U13" s="100"/>
      <c r="V13" s="99"/>
      <c r="W13" s="99"/>
      <c r="X13" s="99"/>
    </row>
    <row r="14" spans="1:24">
      <c r="A14" s="105"/>
      <c r="B14" s="104"/>
      <c r="C14" s="104"/>
      <c r="D14" s="104"/>
      <c r="E14" s="104"/>
      <c r="F14" s="197"/>
      <c r="T14" s="99"/>
      <c r="U14" s="100"/>
      <c r="V14" s="99"/>
      <c r="W14" s="99"/>
      <c r="X14" s="99"/>
    </row>
    <row r="15" spans="1:24">
      <c r="A15" s="105"/>
      <c r="B15" s="104"/>
      <c r="C15" s="104"/>
      <c r="D15" s="104"/>
      <c r="E15" s="104"/>
      <c r="F15" s="197"/>
    </row>
    <row r="16" spans="1:24">
      <c r="A16" s="105"/>
      <c r="B16" s="104"/>
      <c r="C16" s="104"/>
      <c r="D16" s="104"/>
      <c r="E16" s="104"/>
      <c r="F16" s="197"/>
    </row>
    <row r="17" spans="1:13">
      <c r="A17" s="105"/>
      <c r="B17" s="104"/>
      <c r="C17" s="104"/>
      <c r="D17" s="104"/>
      <c r="E17" s="104"/>
      <c r="F17" s="197"/>
    </row>
    <row r="18" spans="1:13">
      <c r="A18" s="105"/>
      <c r="B18" s="104"/>
      <c r="C18" s="104"/>
      <c r="D18" s="104"/>
      <c r="E18" s="104"/>
      <c r="F18" s="197"/>
    </row>
    <row r="19" spans="1:13">
      <c r="A19" s="105"/>
      <c r="B19" s="104"/>
      <c r="C19" s="104"/>
      <c r="D19" s="104"/>
      <c r="E19" s="104"/>
      <c r="F19" s="197"/>
    </row>
    <row r="20" spans="1:13">
      <c r="A20" s="105"/>
      <c r="B20" s="104"/>
      <c r="C20" s="104"/>
      <c r="D20" s="104"/>
      <c r="E20" s="104"/>
      <c r="F20" s="197"/>
    </row>
    <row r="21" spans="1:13">
      <c r="A21" s="105"/>
      <c r="B21" s="104"/>
      <c r="C21" s="104"/>
      <c r="D21" s="104"/>
      <c r="E21" s="104"/>
      <c r="F21" s="197"/>
    </row>
    <row r="22" spans="1:13">
      <c r="A22" s="105"/>
      <c r="B22" s="104"/>
      <c r="C22" s="104"/>
      <c r="D22" s="104"/>
      <c r="E22" s="104"/>
      <c r="F22" s="197"/>
    </row>
    <row r="23" spans="1:13">
      <c r="A23" s="105"/>
      <c r="B23" s="104"/>
      <c r="C23" s="104"/>
      <c r="D23" s="104"/>
      <c r="E23" s="104"/>
      <c r="F23" s="197"/>
    </row>
    <row r="24" spans="1:13">
      <c r="A24" s="105"/>
      <c r="B24" s="104"/>
      <c r="C24" s="104"/>
      <c r="D24" s="104"/>
      <c r="E24" s="104"/>
      <c r="F24" s="197"/>
    </row>
    <row r="25" spans="1:13">
      <c r="A25" s="105"/>
      <c r="B25" s="104"/>
      <c r="C25" s="104"/>
      <c r="D25" s="104"/>
      <c r="E25" s="104"/>
      <c r="F25" s="197"/>
    </row>
    <row r="26" spans="1:13">
      <c r="A26" s="105"/>
      <c r="B26" s="104"/>
      <c r="C26" s="104"/>
      <c r="D26" s="104"/>
      <c r="E26" s="104"/>
      <c r="F26" s="197"/>
    </row>
    <row r="27" spans="1:13" ht="17.25" thickBot="1">
      <c r="A27" s="105"/>
      <c r="B27" s="104"/>
      <c r="C27" s="104"/>
      <c r="D27" s="104"/>
      <c r="E27" s="104"/>
      <c r="F27" s="197"/>
    </row>
    <row r="28" spans="1:13">
      <c r="A28" s="105"/>
      <c r="B28" s="104"/>
      <c r="C28" s="104"/>
      <c r="D28" s="104"/>
      <c r="E28" s="104"/>
      <c r="F28" s="197"/>
      <c r="I28" s="296"/>
      <c r="J28" s="302" t="str" cm="1">
        <f t="array" ref="J28">INDEX(A:A,COUNTA(A:A)-2)</f>
        <v>6월</v>
      </c>
      <c r="K28" s="302" t="str" cm="1">
        <f t="array" ref="K28">INDEX(A:A,COUNTA(A:A)-1)</f>
        <v>7월</v>
      </c>
      <c r="L28" s="302" t="str" cm="1">
        <f t="array" ref="L28">INDEX(A:A,COUNTA(A:A))</f>
        <v>8월</v>
      </c>
      <c r="M28" s="297" t="s">
        <v>959</v>
      </c>
    </row>
    <row r="29" spans="1:13">
      <c r="A29" s="105"/>
      <c r="B29" s="104"/>
      <c r="C29" s="104"/>
      <c r="D29" s="104"/>
      <c r="E29" s="104"/>
      <c r="F29" s="197"/>
      <c r="I29" s="298" t="s">
        <v>146</v>
      </c>
      <c r="J29" s="303" cm="1">
        <f t="array" ref="J29">INDEX(B:B,COUNTA(B:B)-1)</f>
        <v>11594</v>
      </c>
      <c r="K29" s="303" cm="1">
        <f t="array" ref="K29">INDEX(B:B,COUNTA(B:B))</f>
        <v>15831</v>
      </c>
      <c r="L29" s="303" cm="1">
        <f t="array" ref="L29">INDEX(B:B,COUNTA(B:B)+1)</f>
        <v>17245</v>
      </c>
      <c r="M29" s="165">
        <v>9067</v>
      </c>
    </row>
    <row r="30" spans="1:13">
      <c r="A30" s="105"/>
      <c r="B30" s="104"/>
      <c r="C30" s="104"/>
      <c r="D30" s="104"/>
      <c r="E30" s="104"/>
      <c r="F30" s="197"/>
      <c r="I30" s="298" t="s">
        <v>147</v>
      </c>
      <c r="J30" s="303" cm="1">
        <f t="array" ref="J30">INDEX(C:C,COUNTA(C:C)-1)</f>
        <v>5607</v>
      </c>
      <c r="K30" s="303" cm="1">
        <f t="array" ref="K30">INDEX(C:C,COUNTA(C:C))</f>
        <v>10516</v>
      </c>
      <c r="L30" s="303" cm="1">
        <f t="array" ref="L30">INDEX(C:C,COUNTA(C:C)+1)</f>
        <v>10742</v>
      </c>
      <c r="M30" s="165">
        <v>5141</v>
      </c>
    </row>
    <row r="31" spans="1:13">
      <c r="A31" s="105"/>
      <c r="B31" s="104"/>
      <c r="C31" s="104"/>
      <c r="D31" s="104"/>
      <c r="E31" s="104"/>
      <c r="F31" s="197"/>
      <c r="I31" s="298" t="s">
        <v>148</v>
      </c>
      <c r="J31" s="303" cm="1">
        <f t="array" ref="J31">INDEX(D:D,COUNTA(D:D)-1)</f>
        <v>5987</v>
      </c>
      <c r="K31" s="303" cm="1">
        <f t="array" ref="K31">INDEX(D:D,COUNTA(D:D))</f>
        <v>5315</v>
      </c>
      <c r="L31" s="303" cm="1">
        <f t="array" ref="L31">INDEX(D:D,COUNTA(D:D)+1)</f>
        <v>6503</v>
      </c>
      <c r="M31" s="165">
        <v>3925</v>
      </c>
    </row>
    <row r="32" spans="1:13" ht="17.25" thickBot="1">
      <c r="A32" s="105"/>
      <c r="B32" s="104"/>
      <c r="C32" s="104"/>
      <c r="D32" s="104"/>
      <c r="E32" s="104"/>
      <c r="F32" s="197"/>
      <c r="I32" s="299" t="s">
        <v>149</v>
      </c>
      <c r="J32" s="304" cm="1">
        <f t="array" ref="J32">INDEX(E:E,COUNTA(E:E)-1)</f>
        <v>5125</v>
      </c>
      <c r="K32" s="304" cm="1">
        <f t="array" ref="K32">INDEX(E:E,COUNTA(E:E))</f>
        <v>7851</v>
      </c>
      <c r="L32" s="304" cm="1">
        <f t="array" ref="L32">INDEX(E:E,COUNTA(E:E)+1)</f>
        <v>8773</v>
      </c>
      <c r="M32" s="167">
        <v>4110</v>
      </c>
    </row>
    <row r="33" spans="1:16" ht="17.25" thickBot="1">
      <c r="A33" s="105"/>
      <c r="B33" s="104"/>
      <c r="C33" s="104"/>
      <c r="D33" s="104"/>
      <c r="E33" s="104"/>
      <c r="F33" s="197"/>
      <c r="I33" s="300" t="s">
        <v>150</v>
      </c>
      <c r="J33" s="305" cm="1">
        <f t="array" ref="J33">INDEX(F:F,COUNTA(F:F)-1)</f>
        <v>38</v>
      </c>
      <c r="K33" s="305" cm="1">
        <f t="array" ref="K33">INDEX(F:F,COUNTA(F:F))</f>
        <v>36</v>
      </c>
      <c r="L33" s="305" cm="1">
        <f t="array" ref="L33">INDEX(F:F,COUNTA(F:F)+1)</f>
        <v>53</v>
      </c>
      <c r="M33" s="301" t="s">
        <v>949</v>
      </c>
      <c r="P33" t="s">
        <v>467</v>
      </c>
    </row>
    <row r="34" spans="1:16">
      <c r="A34" s="105"/>
      <c r="B34" s="104"/>
      <c r="C34" s="104"/>
      <c r="D34" s="104"/>
      <c r="E34" s="104"/>
      <c r="F34" s="197"/>
    </row>
    <row r="35" spans="1:16">
      <c r="A35" s="105"/>
      <c r="B35" s="104"/>
      <c r="C35" s="104"/>
      <c r="D35" s="104"/>
      <c r="E35" s="104"/>
      <c r="F35" s="197"/>
    </row>
    <row r="36" spans="1:16" ht="17.25" thickBot="1">
      <c r="A36" s="106"/>
      <c r="B36" s="107"/>
      <c r="C36" s="107"/>
      <c r="D36" s="107"/>
      <c r="E36" s="107"/>
      <c r="F36" s="108"/>
    </row>
    <row r="39" spans="1:16">
      <c r="I39" t="s">
        <v>963</v>
      </c>
    </row>
    <row r="40" spans="1:16">
      <c r="I40" t="s">
        <v>964</v>
      </c>
    </row>
  </sheetData>
  <phoneticPr fontId="2"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04F78-AA7E-4546-83B8-9BF535CF88D6}">
  <sheetPr codeName="Sheet13">
    <tabColor theme="7" tint="0.79998168889431442"/>
  </sheetPr>
  <dimension ref="A2:W288"/>
  <sheetViews>
    <sheetView zoomScaleNormal="100" workbookViewId="0">
      <selection activeCell="A5" sqref="A5"/>
    </sheetView>
  </sheetViews>
  <sheetFormatPr defaultRowHeight="16.5"/>
  <cols>
    <col min="1" max="1" width="31.625" bestFit="1" customWidth="1"/>
    <col min="2" max="2" width="10.125" bestFit="1" customWidth="1"/>
    <col min="3" max="3" width="0" hidden="1" customWidth="1"/>
    <col min="4" max="4" width="8.375" customWidth="1"/>
    <col min="5" max="5" width="31.625" bestFit="1" customWidth="1"/>
    <col min="6" max="6" width="10.125" bestFit="1" customWidth="1"/>
    <col min="7" max="7" width="0" hidden="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37"/>
      <c r="E2" s="137"/>
    </row>
    <row r="3" spans="1:23" ht="17.25" thickBot="1"/>
    <row r="4" spans="1:23">
      <c r="A4" s="129" t="s">
        <v>157</v>
      </c>
      <c r="B4" s="130" t="s">
        <v>156</v>
      </c>
      <c r="E4" s="129" t="s">
        <v>155</v>
      </c>
      <c r="F4" s="130" t="s">
        <v>156</v>
      </c>
      <c r="J4" s="138"/>
      <c r="K4" s="139" t="s">
        <v>154</v>
      </c>
      <c r="L4" s="139" t="s">
        <v>159</v>
      </c>
      <c r="M4" s="140" t="s">
        <v>160</v>
      </c>
      <c r="T4" s="138"/>
      <c r="U4" s="139" t="s">
        <v>158</v>
      </c>
      <c r="V4" s="139" t="s">
        <v>159</v>
      </c>
      <c r="W4" s="140" t="s">
        <v>160</v>
      </c>
    </row>
    <row r="5" spans="1:23">
      <c r="A5" s="131" t="s">
        <v>840</v>
      </c>
      <c r="B5" s="132">
        <v>34</v>
      </c>
      <c r="C5" s="9">
        <f>IF(B5="","",RANK(B5,B:B,0)++COUNTIF($B$1:B4,B5))</f>
        <v>61</v>
      </c>
      <c r="E5" s="131" t="s">
        <v>814</v>
      </c>
      <c r="F5" s="132">
        <v>224</v>
      </c>
      <c r="G5" s="9">
        <f>IF(F5="","",RANK(F5,F:F,0)+COUNTIF($F$1:F4,F5))</f>
        <v>11</v>
      </c>
      <c r="J5" s="96">
        <v>1</v>
      </c>
      <c r="K5" s="112" t="str">
        <f>INDEX($E:$E,MATCH($J5,$G:$G,0))</f>
        <v>Engineering</v>
      </c>
      <c r="L5" s="112">
        <f>INDEX($F:$F,MATCH($J5,$G:$G,0))</f>
        <v>1921</v>
      </c>
      <c r="M5" s="141">
        <f t="shared" ref="M5:M14" si="0">L5/SUM(F:F)</f>
        <v>0.21019805230331545</v>
      </c>
      <c r="T5" s="96">
        <v>1</v>
      </c>
      <c r="U5" s="112" t="str">
        <f t="shared" ref="U5:U14" si="1">INDEX($A:$A,MATCH($T5,$C:$C,0))</f>
        <v>IT Services and IT Consulting</v>
      </c>
      <c r="V5" s="112">
        <f t="shared" ref="V5:V14" si="2">INDEX($B:$B,MATCH($T5,$C:$C,0))</f>
        <v>2308</v>
      </c>
      <c r="W5" s="141">
        <f t="shared" ref="W5:W14" si="3">V5/SUM(B:B)</f>
        <v>0.15725284458676841</v>
      </c>
    </row>
    <row r="6" spans="1:23">
      <c r="A6" s="131" t="s">
        <v>841</v>
      </c>
      <c r="B6" s="132">
        <v>81</v>
      </c>
      <c r="C6" s="9">
        <f>IF(B6="","",RANK(B6,B:B,0)++COUNTIF($B$1:B5,B6))</f>
        <v>28</v>
      </c>
      <c r="E6" s="131" t="s">
        <v>815</v>
      </c>
      <c r="F6" s="132">
        <v>17</v>
      </c>
      <c r="G6" s="9">
        <f>IF(F6="","",RANK(F6,F:F,0)+COUNTIF($F$1:F5,F6))</f>
        <v>26</v>
      </c>
      <c r="J6" s="96">
        <v>2</v>
      </c>
      <c r="K6" s="112" t="str">
        <f t="shared" ref="K6:K14" si="4">INDEX($E:$E,MATCH($J6,$G:$G,0))</f>
        <v>Business Development</v>
      </c>
      <c r="L6" s="112">
        <f t="shared" ref="L6:L14" si="5">INDEX($F:$F,MATCH($J6,$G:$G,0))</f>
        <v>1059</v>
      </c>
      <c r="M6" s="141">
        <f t="shared" si="0"/>
        <v>0.11587701061385272</v>
      </c>
      <c r="T6" s="96">
        <v>2</v>
      </c>
      <c r="U6" s="112" t="str">
        <f t="shared" si="1"/>
        <v>Semiconductor Manufacturing</v>
      </c>
      <c r="V6" s="112">
        <f t="shared" si="2"/>
        <v>2074</v>
      </c>
      <c r="W6" s="141">
        <f t="shared" si="3"/>
        <v>0.14130953192069223</v>
      </c>
    </row>
    <row r="7" spans="1:23">
      <c r="A7" s="131" t="s">
        <v>842</v>
      </c>
      <c r="B7" s="132">
        <v>617</v>
      </c>
      <c r="C7" s="9">
        <f>IF(B7="","",RANK(B7,B:B,0)++COUNTIF($B$1:B6,B7))</f>
        <v>5</v>
      </c>
      <c r="E7" s="131" t="s">
        <v>816</v>
      </c>
      <c r="F7" s="132">
        <v>551</v>
      </c>
      <c r="G7" s="9">
        <f>IF(F7="","",RANK(F7,F:F,0)+COUNTIF($F$1:F6,F7))</f>
        <v>6</v>
      </c>
      <c r="J7" s="96">
        <v>3</v>
      </c>
      <c r="K7" s="112" t="str">
        <f t="shared" si="4"/>
        <v>Sales</v>
      </c>
      <c r="L7" s="112">
        <f t="shared" si="5"/>
        <v>995</v>
      </c>
      <c r="M7" s="141">
        <f t="shared" si="0"/>
        <v>0.1088740562424773</v>
      </c>
      <c r="T7" s="96">
        <v>3</v>
      </c>
      <c r="U7" s="112" t="str">
        <f t="shared" si="1"/>
        <v>Software Development</v>
      </c>
      <c r="V7" s="112">
        <f t="shared" si="2"/>
        <v>2032</v>
      </c>
      <c r="W7" s="141">
        <f t="shared" si="3"/>
        <v>0.13844791169857601</v>
      </c>
    </row>
    <row r="8" spans="1:23">
      <c r="A8" s="131" t="s">
        <v>843</v>
      </c>
      <c r="B8" s="132">
        <v>23</v>
      </c>
      <c r="C8" s="9">
        <f>IF(B8="","",RANK(B8,B:B,0)++COUNTIF($B$1:B7,B8))</f>
        <v>71</v>
      </c>
      <c r="E8" s="131" t="s">
        <v>817</v>
      </c>
      <c r="F8" s="132">
        <v>995</v>
      </c>
      <c r="G8" s="9">
        <f>IF(F8="","",RANK(F8,F:F,0)+COUNTIF($F$1:F7,F8))</f>
        <v>3</v>
      </c>
      <c r="J8" s="96">
        <v>4</v>
      </c>
      <c r="K8" s="112" t="str">
        <f t="shared" si="4"/>
        <v>Human Resources</v>
      </c>
      <c r="L8" s="112">
        <f t="shared" si="5"/>
        <v>634</v>
      </c>
      <c r="M8" s="141">
        <f t="shared" si="0"/>
        <v>6.9373016741437796E-2</v>
      </c>
      <c r="T8" s="96">
        <v>4</v>
      </c>
      <c r="U8" s="112" t="str">
        <f t="shared" si="1"/>
        <v>Advertising Services</v>
      </c>
      <c r="V8" s="112">
        <f t="shared" si="2"/>
        <v>819</v>
      </c>
      <c r="W8" s="141">
        <f t="shared" si="3"/>
        <v>5.5801594331266607E-2</v>
      </c>
    </row>
    <row r="9" spans="1:23">
      <c r="A9" s="131" t="s">
        <v>844</v>
      </c>
      <c r="B9" s="132">
        <v>44</v>
      </c>
      <c r="C9" s="9">
        <f>IF(B9="","",RANK(B9,B:B,0)++COUNTIF($B$1:B8,B9))</f>
        <v>50</v>
      </c>
      <c r="E9" s="131" t="s">
        <v>818</v>
      </c>
      <c r="F9" s="132">
        <v>128</v>
      </c>
      <c r="G9" s="9">
        <f>IF(F9="","",RANK(F9,F:F,0)+COUNTIF($F$1:F8,F9))</f>
        <v>16</v>
      </c>
      <c r="J9" s="96">
        <v>5</v>
      </c>
      <c r="K9" s="112" t="str">
        <f t="shared" si="4"/>
        <v>Operations</v>
      </c>
      <c r="L9" s="112">
        <f t="shared" si="5"/>
        <v>634</v>
      </c>
      <c r="M9" s="141">
        <f t="shared" si="0"/>
        <v>6.9373016741437796E-2</v>
      </c>
      <c r="T9" s="96">
        <v>5</v>
      </c>
      <c r="U9" s="112" t="str">
        <f t="shared" si="1"/>
        <v>Appliances, Electrical, and Electronics Manufacturing</v>
      </c>
      <c r="V9" s="112">
        <f t="shared" si="2"/>
        <v>617</v>
      </c>
      <c r="W9" s="141">
        <f t="shared" si="3"/>
        <v>4.2038563739183757E-2</v>
      </c>
    </row>
    <row r="10" spans="1:23">
      <c r="A10" s="131" t="s">
        <v>943</v>
      </c>
      <c r="B10" s="132">
        <v>10</v>
      </c>
      <c r="C10" s="9">
        <f>IF(B10="","",RANK(B10,B:B,0)++COUNTIF($B$1:B9,B10))</f>
        <v>100</v>
      </c>
      <c r="E10" s="131" t="s">
        <v>819</v>
      </c>
      <c r="F10" s="132">
        <v>169</v>
      </c>
      <c r="G10" s="9">
        <f>IF(F10="","",RANK(F10,F:F,0)+COUNTIF($F$1:F9,F10))</f>
        <v>13</v>
      </c>
      <c r="J10" s="96">
        <v>6</v>
      </c>
      <c r="K10" s="112" t="str">
        <f t="shared" si="4"/>
        <v>Research</v>
      </c>
      <c r="L10" s="112">
        <f t="shared" si="5"/>
        <v>551</v>
      </c>
      <c r="M10" s="141">
        <f t="shared" si="0"/>
        <v>6.0291060291060294E-2</v>
      </c>
      <c r="T10" s="96">
        <v>6</v>
      </c>
      <c r="U10" s="112" t="str">
        <f t="shared" si="1"/>
        <v>Financial Services</v>
      </c>
      <c r="V10" s="112">
        <f t="shared" si="2"/>
        <v>480</v>
      </c>
      <c r="W10" s="141">
        <f t="shared" si="3"/>
        <v>3.2704231109899846E-2</v>
      </c>
    </row>
    <row r="11" spans="1:23">
      <c r="A11" s="131" t="s">
        <v>845</v>
      </c>
      <c r="B11" s="132">
        <v>75</v>
      </c>
      <c r="C11" s="9">
        <f>IF(B11="","",RANK(B11,B:B,0)++COUNTIF($B$1:B10,B11))</f>
        <v>32</v>
      </c>
      <c r="E11" s="131" t="s">
        <v>820</v>
      </c>
      <c r="F11" s="132">
        <v>30</v>
      </c>
      <c r="G11" s="9">
        <f>IF(F11="","",RANK(F11,F:F,0)+COUNTIF($F$1:F10,F11))</f>
        <v>25</v>
      </c>
      <c r="J11" s="96">
        <v>7</v>
      </c>
      <c r="K11" s="112" t="str">
        <f t="shared" si="4"/>
        <v>Information Technology</v>
      </c>
      <c r="L11" s="112">
        <f t="shared" si="5"/>
        <v>504</v>
      </c>
      <c r="M11" s="141">
        <f t="shared" si="0"/>
        <v>5.5148265674581462E-2</v>
      </c>
      <c r="T11" s="96">
        <v>7</v>
      </c>
      <c r="U11" s="112" t="str">
        <f t="shared" si="1"/>
        <v>Higher Education</v>
      </c>
      <c r="V11" s="112">
        <f t="shared" si="2"/>
        <v>402</v>
      </c>
      <c r="W11" s="141">
        <f t="shared" si="3"/>
        <v>2.738979355454112E-2</v>
      </c>
    </row>
    <row r="12" spans="1:23">
      <c r="A12" s="131" t="s">
        <v>1097</v>
      </c>
      <c r="B12" s="132">
        <v>18</v>
      </c>
      <c r="C12" s="9">
        <f>IF(B12="","",RANK(B12,B:B,0)++COUNTIF($B$1:B11,B12))</f>
        <v>81</v>
      </c>
      <c r="E12" s="131" t="s">
        <v>821</v>
      </c>
      <c r="F12" s="132">
        <v>634</v>
      </c>
      <c r="G12" s="9">
        <f>IF(F12="","",RANK(F12,F:F,0)+COUNTIF($F$1:F11,F12))</f>
        <v>4</v>
      </c>
      <c r="J12" s="96">
        <v>8</v>
      </c>
      <c r="K12" s="112" t="str">
        <f t="shared" si="4"/>
        <v>Marketing</v>
      </c>
      <c r="L12" s="112">
        <f t="shared" si="5"/>
        <v>447</v>
      </c>
      <c r="M12" s="141">
        <f t="shared" si="0"/>
        <v>4.8911259437575225E-2</v>
      </c>
      <c r="T12" s="96">
        <v>8</v>
      </c>
      <c r="U12" s="112" t="str">
        <f t="shared" si="1"/>
        <v>Staffing and Recruiting</v>
      </c>
      <c r="V12" s="112">
        <f t="shared" si="2"/>
        <v>322</v>
      </c>
      <c r="W12" s="141">
        <f t="shared" si="3"/>
        <v>2.193908836955781E-2</v>
      </c>
    </row>
    <row r="13" spans="1:23">
      <c r="A13" s="131" t="s">
        <v>986</v>
      </c>
      <c r="B13" s="132">
        <v>19</v>
      </c>
      <c r="C13" s="9">
        <f>IF(B13="","",RANK(B13,B:B,0)++COUNTIF($B$1:B12,B13))</f>
        <v>79</v>
      </c>
      <c r="E13" s="131" t="s">
        <v>822</v>
      </c>
      <c r="F13" s="132">
        <v>504</v>
      </c>
      <c r="G13" s="9">
        <f>IF(F13="","",RANK(F13,F:F,0)+COUNTIF($F$1:F12,F13))</f>
        <v>7</v>
      </c>
      <c r="J13" s="96">
        <v>9</v>
      </c>
      <c r="K13" s="112" t="str">
        <f t="shared" si="4"/>
        <v>Education</v>
      </c>
      <c r="L13" s="112">
        <f t="shared" si="5"/>
        <v>407</v>
      </c>
      <c r="M13" s="141">
        <f t="shared" si="0"/>
        <v>4.4534412955465584E-2</v>
      </c>
      <c r="T13" s="96">
        <v>9</v>
      </c>
      <c r="U13" s="112" t="str">
        <f t="shared" si="1"/>
        <v>Human Resources Services</v>
      </c>
      <c r="V13" s="112">
        <f t="shared" si="2"/>
        <v>273</v>
      </c>
      <c r="W13" s="141">
        <f t="shared" si="3"/>
        <v>1.8600531443755536E-2</v>
      </c>
    </row>
    <row r="14" spans="1:23" ht="17.25" thickBot="1">
      <c r="A14" s="131" t="s">
        <v>846</v>
      </c>
      <c r="B14" s="132">
        <v>53</v>
      </c>
      <c r="C14" s="9">
        <f>IF(B14="","",RANK(B14,B:B,0)++COUNTIF($B$1:B13,B14))</f>
        <v>45</v>
      </c>
      <c r="E14" s="131" t="s">
        <v>823</v>
      </c>
      <c r="F14" s="132">
        <v>76</v>
      </c>
      <c r="G14" s="9">
        <f>IF(F14="","",RANK(F14,F:F,0)+COUNTIF($F$1:F13,F14))</f>
        <v>21</v>
      </c>
      <c r="J14" s="97">
        <v>10</v>
      </c>
      <c r="K14" s="98" t="str">
        <f t="shared" si="4"/>
        <v>Arts and Design</v>
      </c>
      <c r="L14" s="98">
        <f t="shared" si="5"/>
        <v>332</v>
      </c>
      <c r="M14" s="142">
        <f t="shared" si="0"/>
        <v>3.6327825801510012E-2</v>
      </c>
      <c r="T14" s="97">
        <v>10</v>
      </c>
      <c r="U14" s="98" t="str">
        <f t="shared" si="1"/>
        <v>Business Consulting and Services</v>
      </c>
      <c r="V14" s="98">
        <f t="shared" si="2"/>
        <v>271</v>
      </c>
      <c r="W14" s="142">
        <f t="shared" si="3"/>
        <v>1.8464263814130952E-2</v>
      </c>
    </row>
    <row r="15" spans="1:23">
      <c r="A15" s="131" t="s">
        <v>847</v>
      </c>
      <c r="B15" s="132">
        <v>65</v>
      </c>
      <c r="C15" s="9">
        <f>IF(B15="","",RANK(B15,B:B,0)++COUNTIF($B$1:B14,B15))</f>
        <v>36</v>
      </c>
      <c r="E15" s="131" t="s">
        <v>824</v>
      </c>
      <c r="F15" s="132">
        <v>447</v>
      </c>
      <c r="G15" s="9">
        <f>IF(F15="","",RANK(F15,F:F,0)+COUNTIF($F$1:F14,F15))</f>
        <v>8</v>
      </c>
    </row>
    <row r="16" spans="1:23">
      <c r="A16" s="131" t="s">
        <v>848</v>
      </c>
      <c r="B16" s="132">
        <v>20</v>
      </c>
      <c r="C16" s="9">
        <f>IF(B16="","",RANK(B16,B:B,0)++COUNTIF($B$1:B15,B16))</f>
        <v>76</v>
      </c>
      <c r="E16" s="131" t="s">
        <v>825</v>
      </c>
      <c r="F16" s="132">
        <v>187</v>
      </c>
      <c r="G16" s="9">
        <f>IF(F16="","",RANK(F16,F:F,0)+COUNTIF($F$1:F15,F16))</f>
        <v>12</v>
      </c>
    </row>
    <row r="17" spans="1:7">
      <c r="A17" s="131" t="s">
        <v>849</v>
      </c>
      <c r="B17" s="132">
        <v>90</v>
      </c>
      <c r="C17" s="9">
        <f>IF(B17="","",RANK(B17,B:B,0)++COUNTIF($B$1:B16,B17))</f>
        <v>26</v>
      </c>
      <c r="E17" s="131" t="s">
        <v>826</v>
      </c>
      <c r="F17" s="132">
        <v>38</v>
      </c>
      <c r="G17" s="9">
        <f>IF(F17="","",RANK(F17,F:F,0)+COUNTIF($F$1:F16,F17))</f>
        <v>24</v>
      </c>
    </row>
    <row r="18" spans="1:7">
      <c r="A18" s="131" t="s">
        <v>850</v>
      </c>
      <c r="B18" s="132">
        <v>18</v>
      </c>
      <c r="C18" s="9">
        <f>IF(B18="","",RANK(B18,B:B,0)++COUNTIF($B$1:B17,B18))</f>
        <v>82</v>
      </c>
      <c r="E18" s="131" t="s">
        <v>827</v>
      </c>
      <c r="F18" s="132">
        <v>634</v>
      </c>
      <c r="G18" s="9">
        <f>IF(F18="","",RANK(F18,F:F,0)+COUNTIF($F$1:F17,F18))</f>
        <v>5</v>
      </c>
    </row>
    <row r="19" spans="1:7">
      <c r="A19" s="131" t="s">
        <v>851</v>
      </c>
      <c r="B19" s="132">
        <v>2308</v>
      </c>
      <c r="C19" s="9">
        <f>IF(B19="","",RANK(B19,B:B,0)++COUNTIF($B$1:B18,B19))</f>
        <v>1</v>
      </c>
      <c r="E19" s="131" t="s">
        <v>828</v>
      </c>
      <c r="F19" s="132">
        <v>84</v>
      </c>
      <c r="G19" s="9">
        <f>IF(F19="","",RANK(F19,F:F,0)+COUNTIF($F$1:F18,F19))</f>
        <v>20</v>
      </c>
    </row>
    <row r="20" spans="1:7">
      <c r="A20" s="131" t="s">
        <v>852</v>
      </c>
      <c r="B20" s="132">
        <v>57</v>
      </c>
      <c r="C20" s="9">
        <f>IF(B20="","",RANK(B20,B:B,0)++COUNTIF($B$1:B19,B20))</f>
        <v>42</v>
      </c>
      <c r="E20" s="131" t="s">
        <v>829</v>
      </c>
      <c r="F20" s="132">
        <v>89</v>
      </c>
      <c r="G20" s="9">
        <f>IF(F20="","",RANK(F20,F:F,0)+COUNTIF($F$1:F19,F20))</f>
        <v>19</v>
      </c>
    </row>
    <row r="21" spans="1:7">
      <c r="A21" s="131" t="s">
        <v>853</v>
      </c>
      <c r="B21" s="132">
        <v>39</v>
      </c>
      <c r="C21" s="9">
        <f>IF(B21="","",RANK(B21,B:B,0)++COUNTIF($B$1:B20,B21))</f>
        <v>57</v>
      </c>
      <c r="E21" s="131" t="s">
        <v>830</v>
      </c>
      <c r="F21" s="132">
        <v>139</v>
      </c>
      <c r="G21" s="9">
        <f>IF(F21="","",RANK(F21,F:F,0)+COUNTIF($F$1:F20,F21))</f>
        <v>15</v>
      </c>
    </row>
    <row r="22" spans="1:7">
      <c r="A22" s="131" t="s">
        <v>854</v>
      </c>
      <c r="B22" s="132">
        <v>101</v>
      </c>
      <c r="C22" s="9">
        <f>IF(B22="","",RANK(B22,B:B,0)++COUNTIF($B$1:B21,B22))</f>
        <v>23</v>
      </c>
      <c r="E22" s="131" t="s">
        <v>831</v>
      </c>
      <c r="F22" s="132">
        <v>332</v>
      </c>
      <c r="G22" s="9">
        <f>IF(F22="","",RANK(F22,F:F,0)+COUNTIF($F$1:F21,F22))</f>
        <v>10</v>
      </c>
    </row>
    <row r="23" spans="1:7">
      <c r="A23" s="131" t="s">
        <v>855</v>
      </c>
      <c r="B23" s="132">
        <v>78</v>
      </c>
      <c r="C23" s="9">
        <f>IF(B23="","",RANK(B23,B:B,0)++COUNTIF($B$1:B22,B23))</f>
        <v>30</v>
      </c>
      <c r="E23" s="131" t="s">
        <v>832</v>
      </c>
      <c r="F23" s="132">
        <v>1059</v>
      </c>
      <c r="G23" s="9">
        <f>IF(F23="","",RANK(F23,F:F,0)+COUNTIF($F$1:F22,F23))</f>
        <v>2</v>
      </c>
    </row>
    <row r="24" spans="1:7">
      <c r="A24" s="131" t="s">
        <v>856</v>
      </c>
      <c r="B24" s="132">
        <v>271</v>
      </c>
      <c r="C24" s="9">
        <f>IF(B24="","",RANK(B24,B:B,0)++COUNTIF($B$1:B23,B24))</f>
        <v>10</v>
      </c>
      <c r="E24" s="131" t="s">
        <v>833</v>
      </c>
      <c r="F24" s="132">
        <v>101</v>
      </c>
      <c r="G24" s="9">
        <f>IF(F24="","",RANK(F24,F:F,0)+COUNTIF($F$1:F23,F24))</f>
        <v>18</v>
      </c>
    </row>
    <row r="25" spans="1:7">
      <c r="A25" s="131" t="s">
        <v>857</v>
      </c>
      <c r="B25" s="132">
        <v>28</v>
      </c>
      <c r="C25" s="9">
        <f>IF(B25="","",RANK(B25,B:B,0)++COUNTIF($B$1:B24,B25))</f>
        <v>65</v>
      </c>
      <c r="E25" s="131" t="s">
        <v>834</v>
      </c>
      <c r="F25" s="132">
        <v>120</v>
      </c>
      <c r="G25" s="9">
        <f>IF(F25="","",RANK(F25,F:F,0)+COUNTIF($F$1:F24,F25))</f>
        <v>17</v>
      </c>
    </row>
    <row r="26" spans="1:7">
      <c r="A26" s="131" t="s">
        <v>858</v>
      </c>
      <c r="B26" s="132">
        <v>77</v>
      </c>
      <c r="C26" s="9">
        <f>IF(B26="","",RANK(B26,B:B,0)++COUNTIF($B$1:B25,B26))</f>
        <v>31</v>
      </c>
      <c r="E26" s="131" t="s">
        <v>835</v>
      </c>
      <c r="F26" s="132">
        <v>407</v>
      </c>
      <c r="G26" s="9">
        <f>IF(F26="","",RANK(F26,F:F,0)+COUNTIF($F$1:F25,F26))</f>
        <v>9</v>
      </c>
    </row>
    <row r="27" spans="1:7">
      <c r="A27" s="131" t="s">
        <v>859</v>
      </c>
      <c r="B27" s="132">
        <v>96</v>
      </c>
      <c r="C27" s="9">
        <f>IF(B27="","",RANK(B27,B:B,0)++COUNTIF($B$1:B26,B27))</f>
        <v>25</v>
      </c>
      <c r="E27" s="131" t="s">
        <v>836</v>
      </c>
      <c r="F27" s="132">
        <v>1921</v>
      </c>
      <c r="G27" s="9">
        <f>IF(F27="","",RANK(F27,F:F,0)+COUNTIF($F$1:F26,F27))</f>
        <v>1</v>
      </c>
    </row>
    <row r="28" spans="1:7">
      <c r="A28" s="131" t="s">
        <v>860</v>
      </c>
      <c r="B28" s="132">
        <v>30</v>
      </c>
      <c r="C28" s="9">
        <f>IF(B28="","",RANK(B28,B:B,0)++COUNTIF($B$1:B27,B28))</f>
        <v>63</v>
      </c>
      <c r="E28" s="131" t="s">
        <v>837</v>
      </c>
      <c r="F28" s="132">
        <v>44</v>
      </c>
      <c r="G28" s="9">
        <f>IF(F28="","",RANK(F28,F:F,0)+COUNTIF($F$1:F27,F28))</f>
        <v>23</v>
      </c>
    </row>
    <row r="29" spans="1:7">
      <c r="A29" s="131" t="s">
        <v>861</v>
      </c>
      <c r="B29" s="132">
        <v>13</v>
      </c>
      <c r="C29" s="9">
        <f>IF(B29="","",RANK(B29,B:B,0)++COUNTIF($B$1:B28,B29))</f>
        <v>93</v>
      </c>
      <c r="E29" s="131" t="s">
        <v>838</v>
      </c>
      <c r="F29" s="132">
        <v>161</v>
      </c>
      <c r="G29" s="9">
        <f>IF(F29="","",RANK(F29,F:F,0)+COUNTIF($F$1:F28,F29))</f>
        <v>14</v>
      </c>
    </row>
    <row r="30" spans="1:7">
      <c r="A30" s="131" t="s">
        <v>862</v>
      </c>
      <c r="B30" s="132">
        <v>20</v>
      </c>
      <c r="C30" s="9">
        <f>IF(B30="","",RANK(B30,B:B,0)++COUNTIF($B$1:B29,B30))</f>
        <v>77</v>
      </c>
      <c r="E30" s="131" t="s">
        <v>839</v>
      </c>
      <c r="F30" s="132">
        <v>48</v>
      </c>
      <c r="G30" s="9">
        <f>IF(F30="","",RANK(F30,F:F,0)+COUNTIF($F$1:F29,F30))</f>
        <v>22</v>
      </c>
    </row>
    <row r="31" spans="1:7">
      <c r="A31" s="131" t="s">
        <v>863</v>
      </c>
      <c r="B31" s="132">
        <v>16</v>
      </c>
      <c r="C31" s="9">
        <f>IF(B31="","",RANK(B31,B:B,0)++COUNTIF($B$1:B30,B31))</f>
        <v>85</v>
      </c>
      <c r="E31" s="133"/>
      <c r="F31" s="134"/>
      <c r="G31" s="9" t="str">
        <f>IF(F31="","",RANK(F31,F:F,0)+COUNTIF($F$1:F30,F31))</f>
        <v/>
      </c>
    </row>
    <row r="32" spans="1:7">
      <c r="A32" s="131" t="s">
        <v>864</v>
      </c>
      <c r="B32" s="132">
        <v>15</v>
      </c>
      <c r="C32" s="9">
        <f>IF(B32="","",RANK(B32,B:B,0)++COUNTIF($B$1:B31,B32))</f>
        <v>89</v>
      </c>
      <c r="E32" s="133"/>
      <c r="F32" s="134"/>
      <c r="G32" s="9" t="str">
        <f>IF(F32="","",RANK(F32,F:F,0)+COUNTIF($F$1:F31,F32))</f>
        <v/>
      </c>
    </row>
    <row r="33" spans="1:11">
      <c r="A33" s="131" t="s">
        <v>865</v>
      </c>
      <c r="B33" s="132">
        <v>28</v>
      </c>
      <c r="C33" s="9">
        <f>IF(B33="","",RANK(B33,B:B,0)++COUNTIF($B$1:B32,B33))</f>
        <v>66</v>
      </c>
      <c r="E33" s="133"/>
      <c r="F33" s="134"/>
      <c r="G33" s="9" t="str">
        <f>IF(F33="","",RANK(F33,F:F,0)+COUNTIF($F$1:F32,F33))</f>
        <v/>
      </c>
    </row>
    <row r="34" spans="1:11">
      <c r="A34" s="131" t="s">
        <v>866</v>
      </c>
      <c r="B34" s="132">
        <v>53</v>
      </c>
      <c r="C34" s="9">
        <f>IF(B34="","",RANK(B34,B:B,0)++COUNTIF($B$1:B33,B34))</f>
        <v>46</v>
      </c>
      <c r="E34" s="133"/>
      <c r="F34" s="134"/>
      <c r="G34" s="9" t="str">
        <f>IF(F34="","",RANK(F34,F:F,0)+COUNTIF($F$1:F33,F34))</f>
        <v/>
      </c>
    </row>
    <row r="35" spans="1:11">
      <c r="A35" s="131" t="s">
        <v>867</v>
      </c>
      <c r="B35" s="132">
        <v>23</v>
      </c>
      <c r="C35" s="9">
        <f>IF(B35="","",RANK(B35,B:B,0)++COUNTIF($B$1:B34,B35))</f>
        <v>72</v>
      </c>
      <c r="E35" s="133"/>
      <c r="F35" s="134"/>
      <c r="G35" s="9" t="str">
        <f>IF(F35="","",RANK(F35,F:F,0)+COUNTIF($F$1:F34,F35))</f>
        <v/>
      </c>
    </row>
    <row r="36" spans="1:11">
      <c r="A36" s="131" t="s">
        <v>868</v>
      </c>
      <c r="B36" s="132">
        <v>214</v>
      </c>
      <c r="C36" s="9">
        <f>IF(B36="","",RANK(B36,B:B,0)++COUNTIF($B$1:B35,B36))</f>
        <v>13</v>
      </c>
      <c r="E36" s="133"/>
      <c r="F36" s="134"/>
      <c r="G36" s="9" t="str">
        <f>IF(F36="","",RANK(F36,F:F,0)+COUNTIF($F$1:F35,F36))</f>
        <v/>
      </c>
    </row>
    <row r="37" spans="1:11">
      <c r="A37" s="131" t="s">
        <v>869</v>
      </c>
      <c r="B37" s="132">
        <v>2032</v>
      </c>
      <c r="C37" s="9">
        <f>IF(B37="","",RANK(B37,B:B,0)++COUNTIF($B$1:B36,B37))</f>
        <v>3</v>
      </c>
      <c r="E37" s="133"/>
      <c r="F37" s="134"/>
      <c r="G37" s="9" t="str">
        <f>IF(F37="","",RANK(F37,F:F,0)+COUNTIF($F$1:F36,F37))</f>
        <v/>
      </c>
    </row>
    <row r="38" spans="1:11">
      <c r="A38" s="131" t="s">
        <v>871</v>
      </c>
      <c r="B38" s="132">
        <v>43</v>
      </c>
      <c r="C38" s="9">
        <f>IF(B38="","",RANK(B38,B:B,0)++COUNTIF($B$1:B37,B38))</f>
        <v>52</v>
      </c>
      <c r="E38" s="133"/>
      <c r="F38" s="134"/>
      <c r="G38" s="9" t="str">
        <f>IF(F38="","",RANK(F38,F:F,0)+COUNTIF($F$1:F37,F38))</f>
        <v/>
      </c>
    </row>
    <row r="39" spans="1:11" ht="17.25" thickBot="1">
      <c r="A39" s="131" t="s">
        <v>870</v>
      </c>
      <c r="B39" s="132">
        <v>67</v>
      </c>
      <c r="C39" s="9">
        <f>IF(B39="","",RANK(B39,B:B,0)++COUNTIF($B$1:B38,B39))</f>
        <v>35</v>
      </c>
      <c r="E39" s="135"/>
      <c r="F39" s="136"/>
      <c r="G39" s="9" t="str">
        <f>IF(F39="","",RANK(F39,F:F,0)+COUNTIF($F$1:F38,F39))</f>
        <v/>
      </c>
      <c r="K39" t="s">
        <v>962</v>
      </c>
    </row>
    <row r="40" spans="1:11">
      <c r="A40" s="131" t="s">
        <v>872</v>
      </c>
      <c r="B40" s="132">
        <v>69</v>
      </c>
      <c r="C40" s="9">
        <f>IF(B40="","",RANK(B40,B:B,0)++COUNTIF($B$1:B39,B40))</f>
        <v>34</v>
      </c>
      <c r="K40" t="s">
        <v>965</v>
      </c>
    </row>
    <row r="41" spans="1:11">
      <c r="A41" s="131" t="s">
        <v>873</v>
      </c>
      <c r="B41" s="132">
        <v>157</v>
      </c>
      <c r="C41" s="9">
        <f>IF(B41="","",RANK(B41,B:B,0)++COUNTIF($B$1:B40,B41))</f>
        <v>15</v>
      </c>
      <c r="K41" t="s">
        <v>966</v>
      </c>
    </row>
    <row r="42" spans="1:11">
      <c r="A42" s="131" t="s">
        <v>874</v>
      </c>
      <c r="B42" s="132">
        <v>2074</v>
      </c>
      <c r="C42" s="9">
        <f>IF(B42="","",RANK(B42,B:B,0)++COUNTIF($B$1:B41,B42))</f>
        <v>2</v>
      </c>
    </row>
    <row r="43" spans="1:11">
      <c r="A43" s="131" t="s">
        <v>875</v>
      </c>
      <c r="B43" s="132">
        <v>179</v>
      </c>
      <c r="C43" s="9">
        <f>IF(B43="","",RANK(B43,B:B,0)++COUNTIF($B$1:B42,B43))</f>
        <v>14</v>
      </c>
    </row>
    <row r="44" spans="1:11">
      <c r="A44" s="131" t="s">
        <v>876</v>
      </c>
      <c r="B44" s="132">
        <v>62</v>
      </c>
      <c r="C44" s="9">
        <f>IF(B44="","",RANK(B44,B:B,0)++COUNTIF($B$1:B43,B44))</f>
        <v>39</v>
      </c>
    </row>
    <row r="45" spans="1:11">
      <c r="A45" s="131" t="s">
        <v>877</v>
      </c>
      <c r="B45" s="132">
        <v>19</v>
      </c>
      <c r="C45" s="9">
        <f>IF(B45="","",RANK(B45,B:B,0)++COUNTIF($B$1:B44,B45))</f>
        <v>80</v>
      </c>
    </row>
    <row r="46" spans="1:11">
      <c r="A46" s="131" t="s">
        <v>878</v>
      </c>
      <c r="B46" s="132">
        <v>271</v>
      </c>
      <c r="C46" s="9">
        <f>IF(B46="","",RANK(B46,B:B,0)++COUNTIF($B$1:B45,B46))</f>
        <v>11</v>
      </c>
    </row>
    <row r="47" spans="1:11">
      <c r="A47" s="131" t="s">
        <v>879</v>
      </c>
      <c r="B47" s="132">
        <v>150</v>
      </c>
      <c r="C47" s="9">
        <f>IF(B47="","",RANK(B47,B:B,0)++COUNTIF($B$1:B46,B47))</f>
        <v>16</v>
      </c>
    </row>
    <row r="48" spans="1:11">
      <c r="A48" s="131" t="s">
        <v>880</v>
      </c>
      <c r="B48" s="132">
        <v>13</v>
      </c>
      <c r="C48" s="9">
        <f>IF(B48="","",RANK(B48,B:B,0)++COUNTIF($B$1:B47,B48))</f>
        <v>94</v>
      </c>
    </row>
    <row r="49" spans="1:3">
      <c r="A49" s="131" t="s">
        <v>881</v>
      </c>
      <c r="B49" s="132">
        <v>116</v>
      </c>
      <c r="C49" s="9">
        <f>IF(B49="","",RANK(B49,B:B,0)++COUNTIF($B$1:B48,B49))</f>
        <v>21</v>
      </c>
    </row>
    <row r="50" spans="1:3">
      <c r="A50" s="131" t="s">
        <v>882</v>
      </c>
      <c r="B50" s="132">
        <v>20</v>
      </c>
      <c r="C50" s="9">
        <f>IF(B50="","",RANK(B50,B:B,0)++COUNTIF($B$1:B49,B50))</f>
        <v>78</v>
      </c>
    </row>
    <row r="51" spans="1:3">
      <c r="A51" s="131" t="s">
        <v>883</v>
      </c>
      <c r="B51" s="132">
        <v>24</v>
      </c>
      <c r="C51" s="9">
        <f>IF(B51="","",RANK(B51,B:B,0)++COUNTIF($B$1:B50,B51))</f>
        <v>70</v>
      </c>
    </row>
    <row r="52" spans="1:3">
      <c r="A52" s="131" t="s">
        <v>987</v>
      </c>
      <c r="B52" s="132">
        <v>16</v>
      </c>
      <c r="C52" s="9">
        <f>IF(B52="","",RANK(B52,B:B,0)++COUNTIF($B$1:B51,B52))</f>
        <v>86</v>
      </c>
    </row>
    <row r="53" spans="1:3">
      <c r="A53" s="131" t="s">
        <v>884</v>
      </c>
      <c r="B53" s="132">
        <v>218</v>
      </c>
      <c r="C53" s="9">
        <f>IF(B53="","",RANK(B53,B:B,0)++COUNTIF($B$1:B52,B53))</f>
        <v>12</v>
      </c>
    </row>
    <row r="54" spans="1:3">
      <c r="A54" s="131" t="s">
        <v>885</v>
      </c>
      <c r="B54" s="132">
        <v>273</v>
      </c>
      <c r="C54" s="9">
        <f>IF(B54="","",RANK(B54,B:B,0)++COUNTIF($B$1:B53,B54))</f>
        <v>9</v>
      </c>
    </row>
    <row r="55" spans="1:3">
      <c r="A55" s="131" t="s">
        <v>988</v>
      </c>
      <c r="B55" s="132">
        <v>12</v>
      </c>
      <c r="C55" s="9">
        <f>IF(B55="","",RANK(B55,B:B,0)++COUNTIF($B$1:B54,B55))</f>
        <v>96</v>
      </c>
    </row>
    <row r="56" spans="1:3">
      <c r="A56" s="131" t="s">
        <v>1098</v>
      </c>
      <c r="B56" s="132">
        <v>14</v>
      </c>
      <c r="C56" s="9">
        <f>IF(B56="","",RANK(B56,B:B,0)++COUNTIF($B$1:B55,B56))</f>
        <v>91</v>
      </c>
    </row>
    <row r="57" spans="1:3">
      <c r="A57" s="131" t="s">
        <v>944</v>
      </c>
      <c r="B57" s="132">
        <v>17</v>
      </c>
      <c r="C57" s="9">
        <f>IF(B57="","",RANK(B57,B:B,0)++COUNTIF($B$1:B56,B57))</f>
        <v>83</v>
      </c>
    </row>
    <row r="58" spans="1:3">
      <c r="A58" s="131" t="s">
        <v>886</v>
      </c>
      <c r="B58" s="132">
        <v>39</v>
      </c>
      <c r="C58" s="9">
        <f>IF(B58="","",RANK(B58,B:B,0)++COUNTIF($B$1:B57,B58))</f>
        <v>58</v>
      </c>
    </row>
    <row r="59" spans="1:3">
      <c r="A59" s="131" t="s">
        <v>1099</v>
      </c>
      <c r="B59" s="132">
        <v>23</v>
      </c>
      <c r="C59" s="9">
        <f>IF(B59="","",RANK(B59,B:B,0)++COUNTIF($B$1:B58,B59))</f>
        <v>73</v>
      </c>
    </row>
    <row r="60" spans="1:3">
      <c r="A60" s="131" t="s">
        <v>887</v>
      </c>
      <c r="B60" s="132">
        <v>25</v>
      </c>
      <c r="C60" s="9">
        <f>IF(B60="","",RANK(B60,B:B,0)++COUNTIF($B$1:B59,B60))</f>
        <v>68</v>
      </c>
    </row>
    <row r="61" spans="1:3">
      <c r="A61" s="131" t="s">
        <v>888</v>
      </c>
      <c r="B61" s="132">
        <v>35</v>
      </c>
      <c r="C61" s="9">
        <f>IF(B61="","",RANK(B61,B:B,0)++COUNTIF($B$1:B60,B61))</f>
        <v>60</v>
      </c>
    </row>
    <row r="62" spans="1:3">
      <c r="A62" s="131" t="s">
        <v>889</v>
      </c>
      <c r="B62" s="132">
        <v>43</v>
      </c>
      <c r="C62" s="9">
        <f>IF(B62="","",RANK(B62,B:B,0)++COUNTIF($B$1:B61,B62))</f>
        <v>53</v>
      </c>
    </row>
    <row r="63" spans="1:3">
      <c r="A63" s="131" t="s">
        <v>890</v>
      </c>
      <c r="B63" s="132">
        <v>49</v>
      </c>
      <c r="C63" s="9">
        <f>IF(B63="","",RANK(B63,B:B,0)++COUNTIF($B$1:B62,B63))</f>
        <v>47</v>
      </c>
    </row>
    <row r="64" spans="1:3">
      <c r="A64" s="131" t="s">
        <v>891</v>
      </c>
      <c r="B64" s="132">
        <v>64</v>
      </c>
      <c r="C64" s="9">
        <f>IF(B64="","",RANK(B64,B:B,0)++COUNTIF($B$1:B63,B64))</f>
        <v>38</v>
      </c>
    </row>
    <row r="65" spans="1:3">
      <c r="A65" s="131" t="s">
        <v>892</v>
      </c>
      <c r="B65" s="132">
        <v>60</v>
      </c>
      <c r="C65" s="9">
        <f>IF(B65="","",RANK(B65,B:B,0)++COUNTIF($B$1:B64,B65))</f>
        <v>40</v>
      </c>
    </row>
    <row r="66" spans="1:3">
      <c r="A66" s="131" t="s">
        <v>893</v>
      </c>
      <c r="B66" s="132">
        <v>16</v>
      </c>
      <c r="C66" s="9">
        <f>IF(B66="","",RANK(B66,B:B,0)++COUNTIF($B$1:B65,B66))</f>
        <v>87</v>
      </c>
    </row>
    <row r="67" spans="1:3">
      <c r="A67" s="131" t="s">
        <v>894</v>
      </c>
      <c r="B67" s="132">
        <v>71</v>
      </c>
      <c r="C67" s="9">
        <f>IF(B67="","",RANK(B67,B:B,0)++COUNTIF($B$1:B66,B67))</f>
        <v>33</v>
      </c>
    </row>
    <row r="68" spans="1:3">
      <c r="A68" s="131" t="s">
        <v>895</v>
      </c>
      <c r="B68" s="132">
        <v>44</v>
      </c>
      <c r="C68" s="9">
        <f>IF(B68="","",RANK(B68,B:B,0)++COUNTIF($B$1:B67,B68))</f>
        <v>51</v>
      </c>
    </row>
    <row r="69" spans="1:3">
      <c r="A69" s="131" t="s">
        <v>896</v>
      </c>
      <c r="B69" s="132">
        <v>480</v>
      </c>
      <c r="C69" s="9">
        <f>IF(B69="","",RANK(B69,B:B,0)++COUNTIF($B$1:B68,B69))</f>
        <v>6</v>
      </c>
    </row>
    <row r="70" spans="1:3">
      <c r="A70" s="131" t="s">
        <v>815</v>
      </c>
      <c r="B70" s="132">
        <v>80</v>
      </c>
      <c r="C70" s="9">
        <f>IF(B70="","",RANK(B70,B:B,0)++COUNTIF($B$1:B69,B70))</f>
        <v>29</v>
      </c>
    </row>
    <row r="71" spans="1:3">
      <c r="A71" s="131" t="s">
        <v>897</v>
      </c>
      <c r="B71" s="132">
        <v>23</v>
      </c>
      <c r="C71" s="9">
        <f>IF(B71="","",RANK(B71,B:B,0)++COUNTIF($B$1:B70,B71))</f>
        <v>74</v>
      </c>
    </row>
    <row r="72" spans="1:3">
      <c r="A72" s="131" t="s">
        <v>898</v>
      </c>
      <c r="B72" s="132">
        <v>10</v>
      </c>
      <c r="C72" s="9">
        <f>IF(B72="","",RANK(B72,B:B,0)++COUNTIF($B$1:B71,B72))</f>
        <v>101</v>
      </c>
    </row>
    <row r="73" spans="1:3">
      <c r="A73" s="131" t="s">
        <v>829</v>
      </c>
      <c r="B73" s="132">
        <v>145</v>
      </c>
      <c r="C73" s="9">
        <f>IF(B73="","",RANK(B73,B:B,0)++COUNTIF($B$1:B72,B73))</f>
        <v>17</v>
      </c>
    </row>
    <row r="74" spans="1:3">
      <c r="A74" s="131" t="s">
        <v>899</v>
      </c>
      <c r="B74" s="132">
        <v>106</v>
      </c>
      <c r="C74" s="9">
        <f>IF(B74="","",RANK(B74,B:B,0)++COUNTIF($B$1:B73,B74))</f>
        <v>22</v>
      </c>
    </row>
    <row r="75" spans="1:3">
      <c r="A75" s="131" t="s">
        <v>989</v>
      </c>
      <c r="B75" s="132">
        <v>14</v>
      </c>
      <c r="C75" s="9">
        <f>IF(B75="","",RANK(B75,B:B,0)++COUNTIF($B$1:B74,B75))</f>
        <v>92</v>
      </c>
    </row>
    <row r="76" spans="1:3">
      <c r="A76" s="131" t="s">
        <v>900</v>
      </c>
      <c r="B76" s="132">
        <v>29</v>
      </c>
      <c r="C76" s="9">
        <f>IF(B76="","",RANK(B76,B:B,0)++COUNTIF($B$1:B75,B76))</f>
        <v>64</v>
      </c>
    </row>
    <row r="77" spans="1:3">
      <c r="A77" s="131" t="s">
        <v>901</v>
      </c>
      <c r="B77" s="132">
        <v>42</v>
      </c>
      <c r="C77" s="9">
        <f>IF(B77="","",RANK(B77,B:B,0)++COUNTIF($B$1:B76,B77))</f>
        <v>54</v>
      </c>
    </row>
    <row r="78" spans="1:3">
      <c r="A78" s="131" t="s">
        <v>902</v>
      </c>
      <c r="B78" s="132">
        <v>26</v>
      </c>
      <c r="C78" s="9">
        <f>IF(B78="","",RANK(B78,B:B,0)++COUNTIF($B$1:B77,B78))</f>
        <v>67</v>
      </c>
    </row>
    <row r="79" spans="1:3">
      <c r="A79" s="131" t="s">
        <v>903</v>
      </c>
      <c r="B79" s="132">
        <v>128</v>
      </c>
      <c r="C79" s="9">
        <f>IF(B79="","",RANK(B79,B:B,0)++COUNTIF($B$1:B78,B79))</f>
        <v>20</v>
      </c>
    </row>
    <row r="80" spans="1:3">
      <c r="A80" s="131" t="s">
        <v>904</v>
      </c>
      <c r="B80" s="132">
        <v>99</v>
      </c>
      <c r="C80" s="9">
        <f>IF(B80="","",RANK(B80,B:B,0)++COUNTIF($B$1:B79,B80))</f>
        <v>24</v>
      </c>
    </row>
    <row r="81" spans="1:3">
      <c r="A81" s="131" t="s">
        <v>905</v>
      </c>
      <c r="B81" s="132">
        <v>40</v>
      </c>
      <c r="C81" s="9">
        <f>IF(B81="","",RANK(B81,B:B,0)++COUNTIF($B$1:B80,B81))</f>
        <v>55</v>
      </c>
    </row>
    <row r="82" spans="1:3">
      <c r="A82" s="131" t="s">
        <v>906</v>
      </c>
      <c r="B82" s="132">
        <v>31</v>
      </c>
      <c r="C82" s="9">
        <f>IF(B82="","",RANK(B82,B:B,0)++COUNTIF($B$1:B81,B82))</f>
        <v>62</v>
      </c>
    </row>
    <row r="83" spans="1:3">
      <c r="A83" s="131" t="s">
        <v>907</v>
      </c>
      <c r="B83" s="132">
        <v>65</v>
      </c>
      <c r="C83" s="9">
        <f>IF(B83="","",RANK(B83,B:B,0)++COUNTIF($B$1:B82,B83))</f>
        <v>37</v>
      </c>
    </row>
    <row r="84" spans="1:3">
      <c r="A84" s="131" t="s">
        <v>908</v>
      </c>
      <c r="B84" s="132">
        <v>56</v>
      </c>
      <c r="C84" s="9">
        <f>IF(B84="","",RANK(B84,B:B,0)++COUNTIF($B$1:B83,B84))</f>
        <v>43</v>
      </c>
    </row>
    <row r="85" spans="1:3">
      <c r="A85" s="131" t="s">
        <v>909</v>
      </c>
      <c r="B85" s="132">
        <v>16</v>
      </c>
      <c r="C85" s="9">
        <f>IF(B85="","",RANK(B85,B:B,0)++COUNTIF($B$1:B84,B85))</f>
        <v>88</v>
      </c>
    </row>
    <row r="86" spans="1:3">
      <c r="A86" s="131" t="s">
        <v>945</v>
      </c>
      <c r="B86" s="132">
        <v>12</v>
      </c>
      <c r="C86" s="9">
        <f>IF(B86="","",RANK(B86,B:B,0)++COUNTIF($B$1:B85,B86))</f>
        <v>97</v>
      </c>
    </row>
    <row r="87" spans="1:3">
      <c r="A87" s="131" t="s">
        <v>946</v>
      </c>
      <c r="B87" s="132">
        <v>39</v>
      </c>
      <c r="C87" s="9">
        <f>IF(B87="","",RANK(B87,B:B,0)++COUNTIF($B$1:B86,B87))</f>
        <v>59</v>
      </c>
    </row>
    <row r="88" spans="1:3">
      <c r="A88" s="131" t="s">
        <v>910</v>
      </c>
      <c r="B88" s="132">
        <v>402</v>
      </c>
      <c r="C88" s="9">
        <f>IF(B88="","",RANK(B88,B:B,0)++COUNTIF($B$1:B87,B88))</f>
        <v>7</v>
      </c>
    </row>
    <row r="89" spans="1:3">
      <c r="A89" s="131" t="s">
        <v>911</v>
      </c>
      <c r="B89" s="132">
        <v>135</v>
      </c>
      <c r="C89" s="9">
        <f>IF(B89="","",RANK(B89,B:B,0)++COUNTIF($B$1:B88,B89))</f>
        <v>18</v>
      </c>
    </row>
    <row r="90" spans="1:3">
      <c r="A90" s="131" t="s">
        <v>912</v>
      </c>
      <c r="B90" s="132">
        <v>134</v>
      </c>
      <c r="C90" s="9">
        <f>IF(B90="","",RANK(B90,B:B,0)++COUNTIF($B$1:B89,B90))</f>
        <v>19</v>
      </c>
    </row>
    <row r="91" spans="1:3">
      <c r="A91" s="131" t="s">
        <v>913</v>
      </c>
      <c r="B91" s="132">
        <v>23</v>
      </c>
      <c r="C91" s="9">
        <f>IF(B91="","",RANK(B91,B:B,0)++COUNTIF($B$1:B90,B91))</f>
        <v>75</v>
      </c>
    </row>
    <row r="92" spans="1:3">
      <c r="A92" s="131" t="s">
        <v>914</v>
      </c>
      <c r="B92" s="132">
        <v>12</v>
      </c>
      <c r="C92" s="9">
        <f>IF(B92="","",RANK(B92,B:B,0)++COUNTIF($B$1:B91,B92))</f>
        <v>98</v>
      </c>
    </row>
    <row r="93" spans="1:3">
      <c r="A93" s="131" t="s">
        <v>915</v>
      </c>
      <c r="B93" s="132">
        <v>83</v>
      </c>
      <c r="C93" s="9">
        <f>IF(B93="","",RANK(B93,B:B,0)++COUNTIF($B$1:B92,B93))</f>
        <v>27</v>
      </c>
    </row>
    <row r="94" spans="1:3">
      <c r="A94" s="131" t="s">
        <v>1100</v>
      </c>
      <c r="B94" s="132">
        <v>15</v>
      </c>
      <c r="C94" s="9">
        <f>IF(B94="","",RANK(B94,B:B,0)++COUNTIF($B$1:B93,B94))</f>
        <v>90</v>
      </c>
    </row>
    <row r="95" spans="1:3">
      <c r="A95" s="131" t="s">
        <v>916</v>
      </c>
      <c r="B95" s="132">
        <v>60</v>
      </c>
      <c r="C95" s="9">
        <f>IF(B95="","",RANK(B95,B:B,0)++COUNTIF($B$1:B94,B95))</f>
        <v>41</v>
      </c>
    </row>
    <row r="96" spans="1:3">
      <c r="A96" s="131" t="s">
        <v>917</v>
      </c>
      <c r="B96" s="132">
        <v>17</v>
      </c>
      <c r="C96" s="9">
        <f>IF(B96="","",RANK(B96,B:B,0)++COUNTIF($B$1:B95,B96))</f>
        <v>84</v>
      </c>
    </row>
    <row r="97" spans="1:3">
      <c r="A97" s="131" t="s">
        <v>918</v>
      </c>
      <c r="B97" s="132">
        <v>11</v>
      </c>
      <c r="C97" s="9">
        <f>IF(B97="","",RANK(B97,B:B,0)++COUNTIF($B$1:B96,B97))</f>
        <v>99</v>
      </c>
    </row>
    <row r="98" spans="1:3">
      <c r="A98" s="131" t="s">
        <v>919</v>
      </c>
      <c r="B98" s="132">
        <v>322</v>
      </c>
      <c r="C98" s="9">
        <f>IF(B98="","",RANK(B98,B:B,0)++COUNTIF($B$1:B97,B98))</f>
        <v>8</v>
      </c>
    </row>
    <row r="99" spans="1:3">
      <c r="A99" s="131" t="s">
        <v>920</v>
      </c>
      <c r="B99" s="132">
        <v>13</v>
      </c>
      <c r="C99" s="9">
        <f>IF(B99="","",RANK(B99,B:B,0)++COUNTIF($B$1:B98,B99))</f>
        <v>95</v>
      </c>
    </row>
    <row r="100" spans="1:3">
      <c r="A100" s="131" t="s">
        <v>921</v>
      </c>
      <c r="B100" s="132">
        <v>25</v>
      </c>
      <c r="C100" s="9">
        <f>IF(B100="","",RANK(B100,B:B,0)++COUNTIF($B$1:B99,B100))</f>
        <v>69</v>
      </c>
    </row>
    <row r="101" spans="1:3">
      <c r="A101" s="131" t="s">
        <v>922</v>
      </c>
      <c r="B101" s="132">
        <v>819</v>
      </c>
      <c r="C101" s="9">
        <f>IF(B101="","",RANK(B101,B:B,0)++COUNTIF($B$1:B100,B101))</f>
        <v>4</v>
      </c>
    </row>
    <row r="102" spans="1:3">
      <c r="A102" s="131" t="s">
        <v>923</v>
      </c>
      <c r="B102" s="132">
        <v>9</v>
      </c>
      <c r="C102" s="9">
        <f>IF(B102="","",RANK(B102,B:B,0)++COUNTIF($B$1:B101,B102))</f>
        <v>103</v>
      </c>
    </row>
    <row r="103" spans="1:3">
      <c r="A103" s="131" t="s">
        <v>1101</v>
      </c>
      <c r="B103" s="132">
        <v>10</v>
      </c>
      <c r="C103" s="9">
        <f>IF(B103="","",RANK(B103,B:B,0)++COUNTIF($B$1:B102,B103))</f>
        <v>102</v>
      </c>
    </row>
    <row r="104" spans="1:3">
      <c r="A104" s="131" t="s">
        <v>925</v>
      </c>
      <c r="B104" s="132">
        <v>45</v>
      </c>
      <c r="C104" s="9">
        <f>IF(B104="","",RANK(B104,B:B,0)++COUNTIF($B$1:B103,B104))</f>
        <v>49</v>
      </c>
    </row>
    <row r="105" spans="1:3">
      <c r="A105" s="131" t="s">
        <v>924</v>
      </c>
      <c r="B105" s="132">
        <v>49</v>
      </c>
      <c r="C105" s="9">
        <f>IF(B105="","",RANK(B105,B:B,0)++COUNTIF($B$1:B104,B105))</f>
        <v>48</v>
      </c>
    </row>
    <row r="106" spans="1:3">
      <c r="A106" s="131" t="s">
        <v>926</v>
      </c>
      <c r="B106" s="132">
        <v>54</v>
      </c>
      <c r="C106" s="9">
        <f>IF(B106="","",RANK(B106,B:B,0)++COUNTIF($B$1:B105,B106))</f>
        <v>44</v>
      </c>
    </row>
    <row r="107" spans="1:3">
      <c r="A107" s="131" t="s">
        <v>1102</v>
      </c>
      <c r="B107" s="132">
        <v>9</v>
      </c>
      <c r="C107" s="9">
        <f>IF(B107="","",RANK(B107,B:B,0)++COUNTIF($B$1:B106,B107))</f>
        <v>104</v>
      </c>
    </row>
    <row r="108" spans="1:3">
      <c r="A108" s="131" t="s">
        <v>927</v>
      </c>
      <c r="B108" s="132">
        <v>40</v>
      </c>
      <c r="C108" s="9">
        <f>IF(B108="","",RANK(B108,B:B,0)++COUNTIF($B$1:B107,B108))</f>
        <v>56</v>
      </c>
    </row>
    <row r="109" spans="1:3">
      <c r="A109" s="131"/>
      <c r="B109" s="132"/>
      <c r="C109" s="9" t="str">
        <f>IF(B109="","",RANK(B109,B:B,0)++COUNTIF($B$1:B108,B109))</f>
        <v/>
      </c>
    </row>
    <row r="110" spans="1:3">
      <c r="A110" s="131"/>
      <c r="B110" s="132"/>
      <c r="C110" s="9" t="str">
        <f>IF(B110="","",RANK(B110,B:B,0)++COUNTIF($B$1:B109,B110))</f>
        <v/>
      </c>
    </row>
    <row r="111" spans="1:3">
      <c r="A111" s="131"/>
      <c r="B111" s="132"/>
      <c r="C111" s="9" t="str">
        <f>IF(B111="","",RANK(B111,B:B,0)++COUNTIF($B$1:B110,B111))</f>
        <v/>
      </c>
    </row>
    <row r="112" spans="1:3">
      <c r="A112" s="131"/>
      <c r="B112" s="132"/>
      <c r="C112" s="9" t="str">
        <f>IF(B112="","",RANK(B112,B:B,0)++COUNTIF($B$1:B111,B112))</f>
        <v/>
      </c>
    </row>
    <row r="113" spans="1:3">
      <c r="A113" s="131"/>
      <c r="B113" s="132"/>
      <c r="C113" s="9" t="str">
        <f>IF(B113="","",RANK(B113,B:B,0)++COUNTIF($B$1:B112,B113))</f>
        <v/>
      </c>
    </row>
    <row r="114" spans="1:3">
      <c r="A114" s="131"/>
      <c r="B114" s="132"/>
      <c r="C114" s="9" t="str">
        <f>IF(B114="","",RANK(B114,B:B,0)++COUNTIF($B$1:B113,B114))</f>
        <v/>
      </c>
    </row>
    <row r="115" spans="1:3">
      <c r="A115" s="131"/>
      <c r="B115" s="132"/>
      <c r="C115" s="9" t="str">
        <f>IF(B115="","",RANK(B115,B:B,0)++COUNTIF($B$1:B114,B115))</f>
        <v/>
      </c>
    </row>
    <row r="116" spans="1:3">
      <c r="A116" s="131"/>
      <c r="B116" s="132"/>
      <c r="C116" s="9" t="str">
        <f>IF(B116="","",RANK(B116,B:B,0)++COUNTIF($B$1:B115,B116))</f>
        <v/>
      </c>
    </row>
    <row r="117" spans="1:3">
      <c r="A117" s="131"/>
      <c r="B117" s="132"/>
      <c r="C117" s="9" t="str">
        <f>IF(B117="","",RANK(B117,B:B,0)++COUNTIF($B$1:B116,B117))</f>
        <v/>
      </c>
    </row>
    <row r="118" spans="1:3">
      <c r="A118" s="131"/>
      <c r="B118" s="132"/>
      <c r="C118" s="9" t="str">
        <f>IF(B118="","",RANK(B118,B:B,0)++COUNTIF($B$1:B117,B118))</f>
        <v/>
      </c>
    </row>
    <row r="119" spans="1:3">
      <c r="A119" s="131"/>
      <c r="B119" s="132"/>
      <c r="C119" s="9" t="str">
        <f>IF(B119="","",RANK(B119,B:B,0)++COUNTIF($B$1:B118,B119))</f>
        <v/>
      </c>
    </row>
    <row r="120" spans="1:3">
      <c r="A120" s="131"/>
      <c r="B120" s="132"/>
      <c r="C120" s="9" t="str">
        <f>IF(B120="","",RANK(B120,B:B,0)++COUNTIF($B$1:B119,B120))</f>
        <v/>
      </c>
    </row>
    <row r="121" spans="1:3">
      <c r="A121" s="131"/>
      <c r="B121" s="132"/>
      <c r="C121" s="9" t="str">
        <f>IF(B121="","",RANK(B121,B:B,0)++COUNTIF($B$1:B120,B121))</f>
        <v/>
      </c>
    </row>
    <row r="122" spans="1:3">
      <c r="A122" s="131"/>
      <c r="B122" s="132"/>
      <c r="C122" s="9" t="str">
        <f>IF(B122="","",RANK(B122,B:B,0)++COUNTIF($B$1:B121,B122))</f>
        <v/>
      </c>
    </row>
    <row r="123" spans="1:3">
      <c r="A123" s="131"/>
      <c r="B123" s="132"/>
      <c r="C123" s="9" t="str">
        <f>IF(B123="","",RANK(B123,B:B,0)++COUNTIF($B$1:B122,B123))</f>
        <v/>
      </c>
    </row>
    <row r="124" spans="1:3">
      <c r="A124" s="131"/>
      <c r="B124" s="132"/>
      <c r="C124" s="9" t="str">
        <f>IF(B124="","",RANK(B124,B:B,0)++COUNTIF($B$1:B123,B124))</f>
        <v/>
      </c>
    </row>
    <row r="125" spans="1:3">
      <c r="A125" s="131"/>
      <c r="B125" s="132"/>
      <c r="C125" s="9" t="str">
        <f>IF(B125="","",RANK(B125,B:B,0)++COUNTIF($B$1:B124,B125))</f>
        <v/>
      </c>
    </row>
    <row r="126" spans="1:3">
      <c r="A126" s="131"/>
      <c r="B126" s="132"/>
      <c r="C126" s="9" t="str">
        <f>IF(B126="","",RANK(B126,B:B,0)++COUNTIF($B$1:B125,B126))</f>
        <v/>
      </c>
    </row>
    <row r="127" spans="1:3">
      <c r="A127" s="131"/>
      <c r="B127" s="132"/>
      <c r="C127" s="9" t="str">
        <f>IF(B127="","",RANK(B127,B:B,0)++COUNTIF($B$1:B126,B127))</f>
        <v/>
      </c>
    </row>
    <row r="128" spans="1:3">
      <c r="A128" s="131"/>
      <c r="B128" s="132"/>
      <c r="C128" s="9" t="str">
        <f>IF(B128="","",RANK(B128,B:B,0)++COUNTIF($B$1:B127,B128))</f>
        <v/>
      </c>
    </row>
    <row r="129" spans="1:3">
      <c r="A129" s="131"/>
      <c r="B129" s="132"/>
      <c r="C129" s="9" t="str">
        <f>IF(B129="","",RANK(B129,B:B,0)++COUNTIF($B$1:B128,B129))</f>
        <v/>
      </c>
    </row>
    <row r="130" spans="1:3">
      <c r="A130" s="131"/>
      <c r="B130" s="132"/>
      <c r="C130" s="9" t="str">
        <f>IF(B130="","",RANK(B130,B:B,0)++COUNTIF($B$1:B129,B130))</f>
        <v/>
      </c>
    </row>
    <row r="131" spans="1:3">
      <c r="A131" s="131"/>
      <c r="B131" s="132"/>
      <c r="C131" s="9" t="str">
        <f>IF(B131="","",RANK(B131,B:B,0)++COUNTIF($B$1:B130,B131))</f>
        <v/>
      </c>
    </row>
    <row r="132" spans="1:3">
      <c r="A132" s="131"/>
      <c r="B132" s="132"/>
      <c r="C132" s="9" t="str">
        <f>IF(B132="","",RANK(B132,B:B,0)++COUNTIF($B$1:B131,B132))</f>
        <v/>
      </c>
    </row>
    <row r="133" spans="1:3">
      <c r="A133" s="131"/>
      <c r="B133" s="132"/>
      <c r="C133" s="9" t="str">
        <f>IF(B133="","",RANK(B133,B:B,0)++COUNTIF($B$1:B132,B133))</f>
        <v/>
      </c>
    </row>
    <row r="134" spans="1:3">
      <c r="A134" s="131"/>
      <c r="B134" s="132"/>
      <c r="C134" s="9" t="str">
        <f>IF(B134="","",RANK(B134,B:B,0)++COUNTIF($B$1:B133,B134))</f>
        <v/>
      </c>
    </row>
    <row r="135" spans="1:3">
      <c r="A135" s="131"/>
      <c r="B135" s="132"/>
      <c r="C135" s="9" t="str">
        <f>IF(B135="","",RANK(B135,B:B,0)++COUNTIF($B$1:B134,B135))</f>
        <v/>
      </c>
    </row>
    <row r="136" spans="1:3">
      <c r="A136" s="131"/>
      <c r="B136" s="132"/>
      <c r="C136" s="9" t="str">
        <f>IF(B136="","",RANK(B136,B:B,0)++COUNTIF($B$1:B135,B136))</f>
        <v/>
      </c>
    </row>
    <row r="137" spans="1:3">
      <c r="A137" s="131"/>
      <c r="B137" s="132"/>
      <c r="C137" s="9" t="str">
        <f>IF(B137="","",RANK(B137,B:B,0)++COUNTIF($B$1:B136,B137))</f>
        <v/>
      </c>
    </row>
    <row r="138" spans="1:3">
      <c r="A138" s="131"/>
      <c r="B138" s="132"/>
      <c r="C138" s="9" t="str">
        <f>IF(B138="","",RANK(B138,B:B,0)++COUNTIF($B$1:B137,B138))</f>
        <v/>
      </c>
    </row>
    <row r="139" spans="1:3">
      <c r="A139" s="131"/>
      <c r="B139" s="132"/>
      <c r="C139" s="9" t="str">
        <f>IF(B139="","",RANK(B139,B:B,0)++COUNTIF($B$1:B138,B139))</f>
        <v/>
      </c>
    </row>
    <row r="140" spans="1:3">
      <c r="A140" s="131"/>
      <c r="B140" s="132"/>
      <c r="C140" s="9" t="str">
        <f>IF(B140="","",RANK(B140,B:B,0)++COUNTIF($B$1:B139,B140))</f>
        <v/>
      </c>
    </row>
    <row r="141" spans="1:3">
      <c r="A141" s="131"/>
      <c r="B141" s="132"/>
      <c r="C141" s="9" t="str">
        <f>IF(B141="","",RANK(B141,B:B,0)++COUNTIF($B$1:B140,B141))</f>
        <v/>
      </c>
    </row>
    <row r="142" spans="1:3">
      <c r="A142" s="131"/>
      <c r="B142" s="132"/>
      <c r="C142" s="9" t="str">
        <f>IF(B142="","",RANK(B142,B:B,0)++COUNTIF($B$1:B141,B142))</f>
        <v/>
      </c>
    </row>
    <row r="143" spans="1:3">
      <c r="A143" s="131"/>
      <c r="B143" s="132"/>
      <c r="C143" s="9" t="str">
        <f>IF(B143="","",RANK(B143,B:B,0)++COUNTIF($B$1:B142,B143))</f>
        <v/>
      </c>
    </row>
    <row r="144" spans="1:3">
      <c r="A144" s="131"/>
      <c r="B144" s="132"/>
      <c r="C144" s="9" t="str">
        <f>IF(B144="","",RANK(B144,B:B,0)++COUNTIF($B$1:B143,B144))</f>
        <v/>
      </c>
    </row>
    <row r="145" spans="1:3">
      <c r="A145" s="131"/>
      <c r="B145" s="132"/>
      <c r="C145" s="9" t="str">
        <f>IF(B145="","",RANK(B145,B:B,0)++COUNTIF($B$1:B144,B145))</f>
        <v/>
      </c>
    </row>
    <row r="146" spans="1:3">
      <c r="A146" s="131"/>
      <c r="B146" s="132"/>
      <c r="C146" s="9" t="str">
        <f>IF(B146="","",RANK(B146,B:B,0)++COUNTIF($B$1:B145,B146))</f>
        <v/>
      </c>
    </row>
    <row r="147" spans="1:3">
      <c r="A147" s="131"/>
      <c r="B147" s="132"/>
      <c r="C147" s="9" t="str">
        <f>IF(B147="","",RANK(B147,B:B,0)++COUNTIF($B$1:B146,B147))</f>
        <v/>
      </c>
    </row>
    <row r="148" spans="1:3">
      <c r="A148" s="131"/>
      <c r="B148" s="132"/>
      <c r="C148" s="9" t="str">
        <f>IF(B148="","",RANK(B148,B:B,0)++COUNTIF($B$1:B147,B148))</f>
        <v/>
      </c>
    </row>
    <row r="149" spans="1:3">
      <c r="A149" s="131"/>
      <c r="B149" s="132"/>
      <c r="C149" s="9" t="str">
        <f>IF(B149="","",RANK(B149,B:B,0)++COUNTIF($B$1:B148,B149))</f>
        <v/>
      </c>
    </row>
    <row r="150" spans="1:3">
      <c r="A150" s="131"/>
      <c r="B150" s="132"/>
      <c r="C150" s="9" t="str">
        <f>IF(B150="","",RANK(B150,B:B,0)++COUNTIF($B$1:B149,B150))</f>
        <v/>
      </c>
    </row>
    <row r="151" spans="1:3">
      <c r="A151" s="131"/>
      <c r="B151" s="132"/>
      <c r="C151" s="9" t="str">
        <f>IF(B151="","",RANK(B151,B:B,0)++COUNTIF($B$1:B150,B151))</f>
        <v/>
      </c>
    </row>
    <row r="152" spans="1:3">
      <c r="A152" s="131"/>
      <c r="B152" s="132"/>
      <c r="C152" s="9" t="str">
        <f>IF(B152="","",RANK(B152,B:B,0)++COUNTIF($B$1:B151,B152))</f>
        <v/>
      </c>
    </row>
    <row r="153" spans="1:3">
      <c r="A153" s="131"/>
      <c r="B153" s="132"/>
      <c r="C153" s="9" t="str">
        <f>IF(B153="","",RANK(B153,B:B,0)++COUNTIF($B$1:B152,B153))</f>
        <v/>
      </c>
    </row>
    <row r="154" spans="1:3">
      <c r="A154" s="131"/>
      <c r="B154" s="132"/>
      <c r="C154" s="9" t="str">
        <f>IF(B154="","",RANK(B154,B:B,0)++COUNTIF($B$1:B153,B154))</f>
        <v/>
      </c>
    </row>
    <row r="155" spans="1:3">
      <c r="A155" s="131"/>
      <c r="B155" s="132"/>
      <c r="C155" s="9" t="str">
        <f>IF(B155="","",RANK(B155,B:B,0)++COUNTIF($B$1:B154,B155))</f>
        <v/>
      </c>
    </row>
    <row r="156" spans="1:3">
      <c r="A156" s="131"/>
      <c r="B156" s="132"/>
      <c r="C156" s="9" t="str">
        <f>IF(B156="","",RANK(B156,B:B,0)++COUNTIF($B$1:B155,B156))</f>
        <v/>
      </c>
    </row>
    <row r="157" spans="1:3">
      <c r="A157" s="131"/>
      <c r="B157" s="132"/>
      <c r="C157" s="9" t="str">
        <f>IF(B157="","",RANK(B157,B:B,0)++COUNTIF($B$1:B156,B157))</f>
        <v/>
      </c>
    </row>
    <row r="158" spans="1:3">
      <c r="A158" s="131"/>
      <c r="B158" s="132"/>
      <c r="C158" s="9" t="str">
        <f>IF(B158="","",RANK(B158,B:B,0)++COUNTIF($B$1:B157,B158))</f>
        <v/>
      </c>
    </row>
    <row r="159" spans="1:3">
      <c r="A159" s="131"/>
      <c r="B159" s="132"/>
      <c r="C159" s="9" t="str">
        <f>IF(B159="","",RANK(B159,B:B,0)++COUNTIF($B$1:B158,B159))</f>
        <v/>
      </c>
    </row>
    <row r="160" spans="1:3">
      <c r="A160" s="131"/>
      <c r="B160" s="132"/>
      <c r="C160" s="9" t="str">
        <f>IF(B160="","",RANK(B160,B:B,0)++COUNTIF($B$1:B159,B160))</f>
        <v/>
      </c>
    </row>
    <row r="161" spans="1:3">
      <c r="A161" s="131"/>
      <c r="B161" s="132"/>
      <c r="C161" s="9" t="str">
        <f>IF(B161="","",RANK(B161,B:B,0)++COUNTIF($B$1:B160,B161))</f>
        <v/>
      </c>
    </row>
    <row r="162" spans="1:3">
      <c r="A162" s="131"/>
      <c r="B162" s="132"/>
      <c r="C162" s="9" t="str">
        <f>IF(B162="","",RANK(B162,B:B,0)++COUNTIF($B$1:B161,B162))</f>
        <v/>
      </c>
    </row>
    <row r="163" spans="1:3">
      <c r="A163" s="131"/>
      <c r="B163" s="132"/>
      <c r="C163" s="9" t="str">
        <f>IF(B163="","",RANK(B163,B:B,0)++COUNTIF($B$1:B162,B163))</f>
        <v/>
      </c>
    </row>
    <row r="164" spans="1:3">
      <c r="A164" s="131"/>
      <c r="B164" s="132"/>
      <c r="C164" s="9" t="str">
        <f>IF(B164="","",RANK(B164,B:B,0)++COUNTIF($B$1:B163,B164))</f>
        <v/>
      </c>
    </row>
    <row r="165" spans="1:3">
      <c r="A165" s="131"/>
      <c r="B165" s="132"/>
      <c r="C165" s="9" t="str">
        <f>IF(B165="","",RANK(B165,B:B,0)++COUNTIF($B$1:B164,B165))</f>
        <v/>
      </c>
    </row>
    <row r="166" spans="1:3">
      <c r="A166" s="131"/>
      <c r="B166" s="132"/>
      <c r="C166" s="9" t="str">
        <f>IF(B166="","",RANK(B166,B:B,0)++COUNTIF($B$1:B165,B166))</f>
        <v/>
      </c>
    </row>
    <row r="167" spans="1:3">
      <c r="A167" s="131"/>
      <c r="B167" s="132"/>
      <c r="C167" s="9" t="str">
        <f>IF(B167="","",RANK(B167,B:B,0)++COUNTIF($B$1:B166,B167))</f>
        <v/>
      </c>
    </row>
    <row r="168" spans="1:3">
      <c r="A168" s="131"/>
      <c r="B168" s="132"/>
      <c r="C168" s="9" t="str">
        <f>IF(B168="","",RANK(B168,B:B,0)++COUNTIF($B$1:B167,B168))</f>
        <v/>
      </c>
    </row>
    <row r="169" spans="1:3">
      <c r="A169" s="131"/>
      <c r="B169" s="132"/>
      <c r="C169" s="9" t="str">
        <f>IF(B169="","",RANK(B169,B:B,0)++COUNTIF($B$1:B168,B169))</f>
        <v/>
      </c>
    </row>
    <row r="170" spans="1:3">
      <c r="A170" s="131"/>
      <c r="B170" s="132"/>
      <c r="C170" s="9" t="str">
        <f>IF(B170="","",RANK(B170,B:B,0)++COUNTIF($B$1:B169,B170))</f>
        <v/>
      </c>
    </row>
    <row r="171" spans="1:3">
      <c r="A171" s="131"/>
      <c r="B171" s="132"/>
      <c r="C171" s="9" t="str">
        <f>IF(B171="","",RANK(B171,B:B,0)++COUNTIF($B$1:B170,B171))</f>
        <v/>
      </c>
    </row>
    <row r="172" spans="1:3">
      <c r="A172" s="131"/>
      <c r="B172" s="132"/>
      <c r="C172" s="9" t="str">
        <f>IF(B172="","",RANK(B172,B:B,0)++COUNTIF($B$1:B171,B172))</f>
        <v/>
      </c>
    </row>
    <row r="173" spans="1:3">
      <c r="A173" s="131"/>
      <c r="B173" s="132"/>
      <c r="C173" s="9" t="str">
        <f>IF(B173="","",RANK(B173,B:B,0)++COUNTIF($B$1:B172,B173))</f>
        <v/>
      </c>
    </row>
    <row r="174" spans="1:3">
      <c r="A174" s="131"/>
      <c r="B174" s="132"/>
      <c r="C174" s="9" t="str">
        <f>IF(B174="","",RANK(B174,B:B,0)++COUNTIF($B$1:B173,B174))</f>
        <v/>
      </c>
    </row>
    <row r="175" spans="1:3">
      <c r="A175" s="131"/>
      <c r="B175" s="132"/>
      <c r="C175" s="9" t="str">
        <f>IF(B175="","",RANK(B175,B:B,0)++COUNTIF($B$1:B174,B175))</f>
        <v/>
      </c>
    </row>
    <row r="176" spans="1:3">
      <c r="A176" s="131"/>
      <c r="B176" s="132"/>
      <c r="C176" s="9" t="str">
        <f>IF(B176="","",RANK(B176,B:B,0)++COUNTIF($B$1:B175,B176))</f>
        <v/>
      </c>
    </row>
    <row r="177" spans="1:3">
      <c r="A177" s="131"/>
      <c r="B177" s="132"/>
      <c r="C177" s="9" t="str">
        <f>IF(B177="","",RANK(B177,B:B,0)++COUNTIF($B$1:B176,B177))</f>
        <v/>
      </c>
    </row>
    <row r="178" spans="1:3">
      <c r="A178" s="131"/>
      <c r="B178" s="132"/>
      <c r="C178" s="9" t="str">
        <f>IF(B178="","",RANK(B178,B:B,0)++COUNTIF($B$1:B177,B178))</f>
        <v/>
      </c>
    </row>
    <row r="179" spans="1:3">
      <c r="A179" s="131"/>
      <c r="B179" s="132"/>
      <c r="C179" s="9" t="str">
        <f>IF(B179="","",RANK(B179,B:B,0)++COUNTIF($B$1:B178,B179))</f>
        <v/>
      </c>
    </row>
    <row r="180" spans="1:3">
      <c r="A180" s="131"/>
      <c r="B180" s="132"/>
      <c r="C180" s="9" t="str">
        <f>IF(B180="","",RANK(B180,B:B,0)++COUNTIF($B$1:B179,B180))</f>
        <v/>
      </c>
    </row>
    <row r="181" spans="1:3">
      <c r="A181" s="131"/>
      <c r="B181" s="132"/>
      <c r="C181" s="9" t="str">
        <f>IF(B181="","",RANK(B181,B:B,0)++COUNTIF($B$1:B180,B181))</f>
        <v/>
      </c>
    </row>
    <row r="182" spans="1:3">
      <c r="A182" s="131"/>
      <c r="B182" s="132"/>
      <c r="C182" s="9" t="str">
        <f>IF(B182="","",RANK(B182,B:B,0)++COUNTIF($B$1:B181,B182))</f>
        <v/>
      </c>
    </row>
    <row r="183" spans="1:3">
      <c r="A183" s="131"/>
      <c r="B183" s="132"/>
      <c r="C183" s="9" t="str">
        <f>IF(B183="","",RANK(B183,B:B,0)++COUNTIF($B$1:B182,B183))</f>
        <v/>
      </c>
    </row>
    <row r="184" spans="1:3">
      <c r="A184" s="131"/>
      <c r="B184" s="132"/>
      <c r="C184" s="9" t="str">
        <f>IF(B184="","",RANK(B184,B:B,0)++COUNTIF($B$1:B183,B184))</f>
        <v/>
      </c>
    </row>
    <row r="185" spans="1:3">
      <c r="A185" s="131"/>
      <c r="B185" s="132"/>
      <c r="C185" s="9" t="str">
        <f>IF(B185="","",RANK(B185,B:B,0)++COUNTIF($B$1:B184,B185))</f>
        <v/>
      </c>
    </row>
    <row r="186" spans="1:3">
      <c r="A186" s="131"/>
      <c r="B186" s="132"/>
      <c r="C186" s="9" t="str">
        <f>IF(B186="","",RANK(B186,B:B,0)++COUNTIF($B$1:B185,B186))</f>
        <v/>
      </c>
    </row>
    <row r="187" spans="1:3">
      <c r="A187" s="131"/>
      <c r="B187" s="132"/>
      <c r="C187" s="9" t="str">
        <f>IF(B187="","",RANK(B187,B:B,0)++COUNTIF($B$1:B186,B187))</f>
        <v/>
      </c>
    </row>
    <row r="188" spans="1:3">
      <c r="A188" s="131"/>
      <c r="B188" s="132"/>
      <c r="C188" s="9" t="str">
        <f>IF(B188="","",RANK(B188,B:B,0)++COUNTIF($B$1:B187,B188))</f>
        <v/>
      </c>
    </row>
    <row r="189" spans="1:3">
      <c r="A189" s="131"/>
      <c r="B189" s="132"/>
      <c r="C189" s="9" t="str">
        <f>IF(B189="","",RANK(B189,B:B,0)++COUNTIF($B$1:B188,B189))</f>
        <v/>
      </c>
    </row>
    <row r="190" spans="1:3">
      <c r="A190" s="131"/>
      <c r="B190" s="132"/>
      <c r="C190" s="9" t="str">
        <f>IF(B190="","",RANK(B190,B:B,0)++COUNTIF($B$1:B189,B190))</f>
        <v/>
      </c>
    </row>
    <row r="191" spans="1:3">
      <c r="A191" s="131"/>
      <c r="B191" s="132"/>
      <c r="C191" s="9" t="str">
        <f>IF(B191="","",RANK(B191,B:B,0)++COUNTIF($B$1:B190,B191))</f>
        <v/>
      </c>
    </row>
    <row r="192" spans="1:3">
      <c r="A192" s="131"/>
      <c r="B192" s="132"/>
      <c r="C192" s="9" t="str">
        <f>IF(B192="","",RANK(B192,B:B,0)++COUNTIF($B$1:B191,B192))</f>
        <v/>
      </c>
    </row>
    <row r="193" spans="1:3">
      <c r="A193" s="131"/>
      <c r="B193" s="132"/>
      <c r="C193" s="9" t="str">
        <f>IF(B193="","",RANK(B193,B:B,0)++COUNTIF($B$1:B192,B193))</f>
        <v/>
      </c>
    </row>
    <row r="194" spans="1:3">
      <c r="A194" s="131"/>
      <c r="B194" s="132"/>
      <c r="C194" s="9" t="str">
        <f>IF(B194="","",RANK(B194,B:B,0)++COUNTIF($B$1:B193,B194))</f>
        <v/>
      </c>
    </row>
    <row r="195" spans="1:3">
      <c r="A195" s="131"/>
      <c r="B195" s="132"/>
      <c r="C195" s="9" t="str">
        <f>IF(B195="","",RANK(B195,B:B,0)++COUNTIF($B$1:B194,B195))</f>
        <v/>
      </c>
    </row>
    <row r="196" spans="1:3">
      <c r="A196" s="131"/>
      <c r="B196" s="132"/>
      <c r="C196" s="9" t="str">
        <f>IF(B196="","",RANK(B196,B:B,0)++COUNTIF($B$1:B195,B196))</f>
        <v/>
      </c>
    </row>
    <row r="197" spans="1:3">
      <c r="A197" s="131"/>
      <c r="B197" s="132"/>
      <c r="C197" s="9" t="str">
        <f>IF(B197="","",RANK(B197,B:B,0)++COUNTIF($B$1:B196,B197))</f>
        <v/>
      </c>
    </row>
    <row r="198" spans="1:3">
      <c r="A198" s="131"/>
      <c r="B198" s="132"/>
      <c r="C198" s="9" t="str">
        <f>IF(B198="","",RANK(B198,B:B,0)++COUNTIF($B$1:B197,B198))</f>
        <v/>
      </c>
    </row>
    <row r="199" spans="1:3">
      <c r="A199" s="131"/>
      <c r="B199" s="132"/>
      <c r="C199" s="9" t="str">
        <f>IF(B199="","",RANK(B199,B:B,0)++COUNTIF($B$1:B198,B199))</f>
        <v/>
      </c>
    </row>
    <row r="200" spans="1:3">
      <c r="A200" s="131"/>
      <c r="B200" s="132"/>
      <c r="C200" s="9" t="str">
        <f>IF(B200="","",RANK(B200,B:B,0)++COUNTIF($B$1:B199,B200))</f>
        <v/>
      </c>
    </row>
    <row r="201" spans="1:3">
      <c r="A201" s="131"/>
      <c r="B201" s="132"/>
      <c r="C201" s="9" t="str">
        <f>IF(B201="","",RANK(B201,B:B,0)++COUNTIF($B$1:B200,B201))</f>
        <v/>
      </c>
    </row>
    <row r="202" spans="1:3">
      <c r="A202" s="131"/>
      <c r="B202" s="132"/>
      <c r="C202" s="9" t="str">
        <f>IF(B202="","",RANK(B202,B:B,0)++COUNTIF($B$1:B201,B202))</f>
        <v/>
      </c>
    </row>
    <row r="203" spans="1:3">
      <c r="A203" s="131"/>
      <c r="B203" s="132"/>
      <c r="C203" s="9" t="str">
        <f>IF(B203="","",RANK(B203,B:B,0)++COUNTIF($B$1:B202,B203))</f>
        <v/>
      </c>
    </row>
    <row r="204" spans="1:3">
      <c r="A204" s="131"/>
      <c r="B204" s="132"/>
      <c r="C204" s="9" t="str">
        <f>IF(B204="","",RANK(B204,B:B,0)++COUNTIF($B$1:B203,B204))</f>
        <v/>
      </c>
    </row>
    <row r="205" spans="1:3">
      <c r="A205" s="131"/>
      <c r="B205" s="132"/>
      <c r="C205" s="9" t="str">
        <f>IF(B205="","",RANK(B205,B:B,0)++COUNTIF($B$1:B204,B205))</f>
        <v/>
      </c>
    </row>
    <row r="206" spans="1:3">
      <c r="A206" s="131"/>
      <c r="B206" s="132"/>
      <c r="C206" s="9" t="str">
        <f>IF(B206="","",RANK(B206,B:B,0)++COUNTIF($B$1:B205,B206))</f>
        <v/>
      </c>
    </row>
    <row r="207" spans="1:3">
      <c r="A207" s="131"/>
      <c r="B207" s="132"/>
      <c r="C207" s="9" t="str">
        <f>IF(B207="","",RANK(B207,B:B,0)++COUNTIF($B$1:B206,B207))</f>
        <v/>
      </c>
    </row>
    <row r="208" spans="1:3">
      <c r="A208" s="131"/>
      <c r="B208" s="132"/>
      <c r="C208" s="9" t="str">
        <f>IF(B208="","",RANK(B208,B:B,0)++COUNTIF($B$1:B207,B208))</f>
        <v/>
      </c>
    </row>
    <row r="209" spans="1:3">
      <c r="A209" s="131"/>
      <c r="B209" s="132"/>
      <c r="C209" s="9" t="str">
        <f>IF(B209="","",RANK(B209,B:B,0)++COUNTIF($B$1:B208,B209))</f>
        <v/>
      </c>
    </row>
    <row r="210" spans="1:3">
      <c r="A210" s="131"/>
      <c r="B210" s="132"/>
      <c r="C210" s="9" t="str">
        <f>IF(B210="","",RANK(B210,B:B,0)++COUNTIF($B$1:B209,B210))</f>
        <v/>
      </c>
    </row>
    <row r="211" spans="1:3">
      <c r="A211" s="131"/>
      <c r="B211" s="132"/>
      <c r="C211" s="9" t="str">
        <f>IF(B211="","",RANK(B211,B:B,0)++COUNTIF($B$1:B210,B211))</f>
        <v/>
      </c>
    </row>
    <row r="212" spans="1:3">
      <c r="A212" s="131"/>
      <c r="B212" s="132"/>
      <c r="C212" s="9" t="str">
        <f>IF(B212="","",RANK(B212,B:B,0)++COUNTIF($B$1:B211,B212))</f>
        <v/>
      </c>
    </row>
    <row r="213" spans="1:3">
      <c r="A213" s="131"/>
      <c r="B213" s="132"/>
      <c r="C213" s="9" t="str">
        <f>IF(B213="","",RANK(B213,B:B,0)++COUNTIF($B$1:B212,B213))</f>
        <v/>
      </c>
    </row>
    <row r="214" spans="1:3">
      <c r="A214" s="131"/>
      <c r="B214" s="132"/>
      <c r="C214" s="9" t="str">
        <f>IF(B214="","",RANK(B214,B:B,0)++COUNTIF($B$1:B213,B214))</f>
        <v/>
      </c>
    </row>
    <row r="215" spans="1:3">
      <c r="A215" s="131"/>
      <c r="B215" s="132"/>
      <c r="C215" s="9" t="str">
        <f>IF(B215="","",RANK(B215,B:B,0)++COUNTIF($B$1:B214,B215))</f>
        <v/>
      </c>
    </row>
    <row r="216" spans="1:3">
      <c r="A216" s="131"/>
      <c r="B216" s="132"/>
      <c r="C216" s="9" t="str">
        <f>IF(B216="","",RANK(B216,B:B,0)++COUNTIF($B$1:B215,B216))</f>
        <v/>
      </c>
    </row>
    <row r="217" spans="1:3">
      <c r="A217" s="131"/>
      <c r="B217" s="132"/>
      <c r="C217" s="9" t="str">
        <f>IF(B217="","",RANK(B217,B:B,0)++COUNTIF($B$1:B216,B217))</f>
        <v/>
      </c>
    </row>
    <row r="218" spans="1:3">
      <c r="A218" s="131"/>
      <c r="B218" s="132"/>
      <c r="C218" s="9" t="str">
        <f>IF(B218="","",RANK(B218,B:B,0)++COUNTIF($B$1:B217,B218))</f>
        <v/>
      </c>
    </row>
    <row r="219" spans="1:3">
      <c r="A219" s="131"/>
      <c r="B219" s="132"/>
      <c r="C219" s="9" t="str">
        <f>IF(B219="","",RANK(B219,B:B,0)++COUNTIF($B$1:B218,B219))</f>
        <v/>
      </c>
    </row>
    <row r="220" spans="1:3">
      <c r="A220" s="131"/>
      <c r="B220" s="132"/>
      <c r="C220" s="9" t="str">
        <f>IF(B220="","",RANK(B220,B:B,0)++COUNTIF($B$1:B219,B220))</f>
        <v/>
      </c>
    </row>
    <row r="221" spans="1:3">
      <c r="A221" s="131"/>
      <c r="B221" s="132"/>
      <c r="C221" s="9" t="str">
        <f>IF(B221="","",RANK(B221,B:B,0)++COUNTIF($B$1:B220,B221))</f>
        <v/>
      </c>
    </row>
    <row r="222" spans="1:3">
      <c r="A222" s="131"/>
      <c r="B222" s="132"/>
      <c r="C222" s="9" t="str">
        <f>IF(B222="","",RANK(B222,B:B,0)++COUNTIF($B$1:B221,B222))</f>
        <v/>
      </c>
    </row>
    <row r="223" spans="1:3">
      <c r="A223" s="131"/>
      <c r="B223" s="132"/>
      <c r="C223" s="9" t="str">
        <f>IF(B223="","",RANK(B223,B:B,0)++COUNTIF($B$1:B222,B223))</f>
        <v/>
      </c>
    </row>
    <row r="224" spans="1:3">
      <c r="A224" s="131"/>
      <c r="B224" s="132"/>
      <c r="C224" s="9" t="str">
        <f>IF(B224="","",RANK(B224,B:B,0)++COUNTIF($B$1:B223,B224))</f>
        <v/>
      </c>
    </row>
    <row r="225" spans="1:3">
      <c r="A225" s="131"/>
      <c r="B225" s="132"/>
      <c r="C225" s="9" t="str">
        <f>IF(B225="","",RANK(B225,B:B,0)++COUNTIF($B$1:B224,B225))</f>
        <v/>
      </c>
    </row>
    <row r="226" spans="1:3">
      <c r="A226" s="131"/>
      <c r="B226" s="132"/>
      <c r="C226" s="9" t="str">
        <f>IF(B226="","",RANK(B226,B:B,0)++COUNTIF($B$1:B225,B226))</f>
        <v/>
      </c>
    </row>
    <row r="227" spans="1:3">
      <c r="A227" s="131"/>
      <c r="B227" s="132"/>
      <c r="C227" s="9" t="str">
        <f>IF(B227="","",RANK(B227,B:B,0)++COUNTIF($B$1:B226,B227))</f>
        <v/>
      </c>
    </row>
    <row r="228" spans="1:3">
      <c r="A228" s="131"/>
      <c r="B228" s="132"/>
      <c r="C228" s="9" t="str">
        <f>IF(B228="","",RANK(B228,B:B,0)++COUNTIF($B$1:B227,B228))</f>
        <v/>
      </c>
    </row>
    <row r="229" spans="1:3">
      <c r="A229" s="131"/>
      <c r="B229" s="132"/>
      <c r="C229" s="9" t="str">
        <f>IF(B229="","",RANK(B229,B:B,0)++COUNTIF($B$1:B228,B229))</f>
        <v/>
      </c>
    </row>
    <row r="230" spans="1:3">
      <c r="A230" s="131"/>
      <c r="B230" s="132"/>
      <c r="C230" s="9" t="str">
        <f>IF(B230="","",RANK(B230,B:B,0)++COUNTIF($B$1:B229,B230))</f>
        <v/>
      </c>
    </row>
    <row r="231" spans="1:3">
      <c r="A231" s="131"/>
      <c r="B231" s="132"/>
      <c r="C231" s="9" t="str">
        <f>IF(B231="","",RANK(B231,B:B,0)++COUNTIF($B$1:B230,B231))</f>
        <v/>
      </c>
    </row>
    <row r="232" spans="1:3">
      <c r="A232" s="131"/>
      <c r="B232" s="132"/>
      <c r="C232" s="9" t="str">
        <f>IF(B232="","",RANK(B232,B:B,0)++COUNTIF($B$1:B231,B232))</f>
        <v/>
      </c>
    </row>
    <row r="233" spans="1:3">
      <c r="A233" s="131"/>
      <c r="B233" s="132"/>
      <c r="C233" s="9" t="str">
        <f>IF(B233="","",RANK(B233,B:B,0)++COUNTIF($B$1:B232,B233))</f>
        <v/>
      </c>
    </row>
    <row r="234" spans="1:3">
      <c r="A234" s="164"/>
      <c r="B234" s="165"/>
      <c r="C234" s="9" t="str">
        <f>IF(B234="","",RANK(B234,B:B,0)++COUNTIF($B$1:B233,B234))</f>
        <v/>
      </c>
    </row>
    <row r="235" spans="1:3">
      <c r="A235" s="164"/>
      <c r="B235" s="165"/>
      <c r="C235" s="9" t="str">
        <f>IF(B235="","",RANK(B235,B:B,0)++COUNTIF($B$1:B234,B235))</f>
        <v/>
      </c>
    </row>
    <row r="236" spans="1:3">
      <c r="A236" s="164"/>
      <c r="B236" s="165"/>
      <c r="C236" s="9" t="str">
        <f>IF(B236="","",RANK(B236,B:B,0)++COUNTIF($B$1:B235,B236))</f>
        <v/>
      </c>
    </row>
    <row r="237" spans="1:3">
      <c r="A237" s="164"/>
      <c r="B237" s="165"/>
      <c r="C237" s="9" t="str">
        <f>IF(B237="","",RANK(B237,B:B,0)++COUNTIF($B$1:B236,B237))</f>
        <v/>
      </c>
    </row>
    <row r="238" spans="1:3">
      <c r="A238" s="164"/>
      <c r="B238" s="165"/>
      <c r="C238" s="9" t="str">
        <f>IF(B238="","",RANK(B238,B:B,0)++COUNTIF($B$1:B237,B238))</f>
        <v/>
      </c>
    </row>
    <row r="239" spans="1:3">
      <c r="A239" s="164"/>
      <c r="B239" s="165"/>
      <c r="C239" s="9" t="str">
        <f>IF(B239="","",RANK(B239,B:B,0)++COUNTIF($B$1:B238,B239))</f>
        <v/>
      </c>
    </row>
    <row r="240" spans="1:3">
      <c r="A240" s="164"/>
      <c r="B240" s="165"/>
      <c r="C240" s="9" t="str">
        <f>IF(B240="","",RANK(B240,B:B,0)++COUNTIF($B$1:B239,B240))</f>
        <v/>
      </c>
    </row>
    <row r="241" spans="1:3">
      <c r="A241" s="164"/>
      <c r="B241" s="165"/>
      <c r="C241" s="9" t="str">
        <f>IF(B241="","",RANK(B241,B:B,0)++COUNTIF($B$1:B240,B241))</f>
        <v/>
      </c>
    </row>
    <row r="242" spans="1:3">
      <c r="A242" s="164"/>
      <c r="B242" s="165"/>
      <c r="C242" s="9" t="str">
        <f>IF(B242="","",RANK(B242,B:B,0)++COUNTIF($B$1:B241,B242))</f>
        <v/>
      </c>
    </row>
    <row r="243" spans="1:3">
      <c r="A243" s="164"/>
      <c r="B243" s="165"/>
      <c r="C243" s="9" t="str">
        <f>IF(B243="","",RANK(B243,B:B,0)++COUNTIF($B$1:B242,B243))</f>
        <v/>
      </c>
    </row>
    <row r="244" spans="1:3">
      <c r="A244" s="164"/>
      <c r="B244" s="165"/>
      <c r="C244" s="9" t="str">
        <f>IF(B244="","",RANK(B244,B:B,0)++COUNTIF($B$1:B243,B244))</f>
        <v/>
      </c>
    </row>
    <row r="245" spans="1:3">
      <c r="A245" s="164"/>
      <c r="B245" s="165"/>
      <c r="C245" s="9" t="str">
        <f>IF(B245="","",RANK(B245,B:B,0)++COUNTIF($B$1:B244,B245))</f>
        <v/>
      </c>
    </row>
    <row r="246" spans="1:3">
      <c r="A246" s="164"/>
      <c r="B246" s="165"/>
      <c r="C246" s="9" t="str">
        <f>IF(B246="","",RANK(B246,B:B,0)++COUNTIF($B$1:B245,B246))</f>
        <v/>
      </c>
    </row>
    <row r="247" spans="1:3">
      <c r="A247" s="164"/>
      <c r="B247" s="165"/>
      <c r="C247" s="9" t="str">
        <f>IF(B247="","",RANK(B247,B:B,0)++COUNTIF($B$1:B246,B247))</f>
        <v/>
      </c>
    </row>
    <row r="248" spans="1:3">
      <c r="A248" s="164"/>
      <c r="B248" s="165"/>
      <c r="C248" s="9" t="str">
        <f>IF(B248="","",RANK(B248,B:B,0)++COUNTIF($B$1:B247,B248))</f>
        <v/>
      </c>
    </row>
    <row r="249" spans="1:3">
      <c r="A249" s="164"/>
      <c r="B249" s="165"/>
      <c r="C249" s="9" t="str">
        <f>IF(B249="","",RANK(B249,B:B,0)++COUNTIF($B$1:B248,B249))</f>
        <v/>
      </c>
    </row>
    <row r="250" spans="1:3">
      <c r="A250" s="164"/>
      <c r="B250" s="165"/>
      <c r="C250" s="9" t="str">
        <f>IF(B250="","",RANK(B250,B:B,0)++COUNTIF($B$1:B249,B250))</f>
        <v/>
      </c>
    </row>
    <row r="251" spans="1:3">
      <c r="A251" s="164"/>
      <c r="B251" s="165"/>
      <c r="C251" s="9" t="str">
        <f>IF(B251="","",RANK(B251,B:B,0)++COUNTIF($B$1:B250,B251))</f>
        <v/>
      </c>
    </row>
    <row r="252" spans="1:3">
      <c r="A252" s="164"/>
      <c r="B252" s="165"/>
      <c r="C252" s="9" t="str">
        <f>IF(B252="","",RANK(B252,B:B,0)++COUNTIF($B$1:B251,B252))</f>
        <v/>
      </c>
    </row>
    <row r="253" spans="1:3">
      <c r="A253" s="164"/>
      <c r="B253" s="165"/>
      <c r="C253" s="9" t="str">
        <f>IF(B253="","",RANK(B253,B:B,0)++COUNTIF($B$1:B252,B253))</f>
        <v/>
      </c>
    </row>
    <row r="254" spans="1:3">
      <c r="A254" s="164"/>
      <c r="B254" s="165"/>
      <c r="C254" s="9" t="str">
        <f>IF(B254="","",RANK(B254,B:B,0)++COUNTIF($B$1:B253,B254))</f>
        <v/>
      </c>
    </row>
    <row r="255" spans="1:3">
      <c r="A255" s="164"/>
      <c r="B255" s="165"/>
      <c r="C255" s="9" t="str">
        <f>IF(B255="","",RANK(B255,B:B,0)++COUNTIF($B$1:B254,B255))</f>
        <v/>
      </c>
    </row>
    <row r="256" spans="1:3">
      <c r="A256" s="164"/>
      <c r="B256" s="165"/>
      <c r="C256" s="9" t="str">
        <f>IF(B256="","",RANK(B256,B:B,0)++COUNTIF($B$1:B255,B256))</f>
        <v/>
      </c>
    </row>
    <row r="257" spans="1:3">
      <c r="A257" s="164"/>
      <c r="B257" s="165"/>
      <c r="C257" s="9" t="str">
        <f>IF(B257="","",RANK(B257,B:B,0)++COUNTIF($B$1:B256,B257))</f>
        <v/>
      </c>
    </row>
    <row r="258" spans="1:3">
      <c r="A258" s="164"/>
      <c r="B258" s="165"/>
      <c r="C258" s="9" t="str">
        <f>IF(B258="","",RANK(B258,B:B,0)++COUNTIF($B$1:B257,B258))</f>
        <v/>
      </c>
    </row>
    <row r="259" spans="1:3">
      <c r="A259" s="164"/>
      <c r="B259" s="165"/>
      <c r="C259" s="9" t="str">
        <f>IF(B259="","",RANK(B259,B:B,0)++COUNTIF($B$1:B258,B259))</f>
        <v/>
      </c>
    </row>
    <row r="260" spans="1:3">
      <c r="A260" s="164"/>
      <c r="B260" s="165"/>
      <c r="C260" s="9" t="str">
        <f>IF(B260="","",RANK(B260,B:B,0)++COUNTIF($B$1:B259,B260))</f>
        <v/>
      </c>
    </row>
    <row r="261" spans="1:3">
      <c r="A261" s="164"/>
      <c r="B261" s="165"/>
      <c r="C261" s="9" t="str">
        <f>IF(B261="","",RANK(B261,B:B,0)++COUNTIF($B$1:B260,B261))</f>
        <v/>
      </c>
    </row>
    <row r="262" spans="1:3">
      <c r="A262" s="164"/>
      <c r="B262" s="165"/>
      <c r="C262" s="9" t="str">
        <f>IF(B262="","",RANK(B262,B:B,0)++COUNTIF($B$1:B261,B262))</f>
        <v/>
      </c>
    </row>
    <row r="263" spans="1:3">
      <c r="A263" s="164"/>
      <c r="B263" s="165"/>
      <c r="C263" s="9" t="str">
        <f>IF(B263="","",RANK(B263,B:B,0)++COUNTIF($B$1:B262,B263))</f>
        <v/>
      </c>
    </row>
    <row r="264" spans="1:3">
      <c r="A264" s="164"/>
      <c r="B264" s="165"/>
      <c r="C264" s="9" t="str">
        <f>IF(B264="","",RANK(B264,B:B,0)++COUNTIF($B$1:B263,B264))</f>
        <v/>
      </c>
    </row>
    <row r="265" spans="1:3">
      <c r="A265" s="164"/>
      <c r="B265" s="165"/>
      <c r="C265" s="9" t="str">
        <f>IF(B265="","",RANK(B265,B:B,0)++COUNTIF($B$1:B264,B265))</f>
        <v/>
      </c>
    </row>
    <row r="266" spans="1:3">
      <c r="A266" s="164"/>
      <c r="B266" s="165"/>
      <c r="C266" s="9" t="str">
        <f>IF(B266="","",RANK(B266,B:B,0)++COUNTIF($B$1:B265,B266))</f>
        <v/>
      </c>
    </row>
    <row r="267" spans="1:3">
      <c r="A267" s="164"/>
      <c r="B267" s="165"/>
      <c r="C267" s="9" t="str">
        <f>IF(B267="","",RANK(B267,B:B,0)++COUNTIF($B$1:B266,B267))</f>
        <v/>
      </c>
    </row>
    <row r="268" spans="1:3">
      <c r="A268" s="164"/>
      <c r="B268" s="165"/>
      <c r="C268" s="9" t="str">
        <f>IF(B268="","",RANK(B268,B:B,0)++COUNTIF($B$1:B267,B268))</f>
        <v/>
      </c>
    </row>
    <row r="269" spans="1:3">
      <c r="A269" s="164"/>
      <c r="B269" s="165"/>
      <c r="C269" s="9" t="str">
        <f>IF(B269="","",RANK(B269,B:B,0)++COUNTIF($B$1:B268,B269))</f>
        <v/>
      </c>
    </row>
    <row r="270" spans="1:3">
      <c r="A270" s="164"/>
      <c r="B270" s="165"/>
      <c r="C270" s="9" t="str">
        <f>IF(B270="","",RANK(B270,B:B,0)++COUNTIF($B$1:B269,B270))</f>
        <v/>
      </c>
    </row>
    <row r="271" spans="1:3">
      <c r="A271" s="164"/>
      <c r="B271" s="165"/>
      <c r="C271" s="9" t="str">
        <f>IF(B271="","",RANK(B271,B:B,0)++COUNTIF($B$1:B270,B271))</f>
        <v/>
      </c>
    </row>
    <row r="272" spans="1:3">
      <c r="A272" s="164"/>
      <c r="B272" s="165"/>
      <c r="C272" s="9" t="str">
        <f>IF(B272="","",RANK(B272,B:B,0)++COUNTIF($B$1:B271,B272))</f>
        <v/>
      </c>
    </row>
    <row r="273" spans="1:3">
      <c r="A273" s="164"/>
      <c r="B273" s="165"/>
      <c r="C273" s="9" t="str">
        <f>IF(B273="","",RANK(B273,B:B,0)++COUNTIF($B$1:B272,B273))</f>
        <v/>
      </c>
    </row>
    <row r="274" spans="1:3">
      <c r="A274" s="164"/>
      <c r="B274" s="165"/>
      <c r="C274" s="9" t="str">
        <f>IF(B274="","",RANK(B274,B:B,0)++COUNTIF($B$1:B273,B274))</f>
        <v/>
      </c>
    </row>
    <row r="275" spans="1:3">
      <c r="A275" s="164"/>
      <c r="B275" s="165"/>
      <c r="C275" s="9" t="str">
        <f>IF(B275="","",RANK(B275,B:B,0)++COUNTIF($B$1:B274,B275))</f>
        <v/>
      </c>
    </row>
    <row r="276" spans="1:3">
      <c r="A276" s="164"/>
      <c r="B276" s="165"/>
      <c r="C276" s="9" t="str">
        <f>IF(B276="","",RANK(B276,B:B,0)++COUNTIF($B$1:B275,B276))</f>
        <v/>
      </c>
    </row>
    <row r="277" spans="1:3">
      <c r="A277" s="164"/>
      <c r="B277" s="165"/>
      <c r="C277" s="9" t="str">
        <f>IF(B277="","",RANK(B277,B:B,0)++COUNTIF($B$1:B276,B277))</f>
        <v/>
      </c>
    </row>
    <row r="278" spans="1:3">
      <c r="A278" s="164"/>
      <c r="B278" s="165"/>
      <c r="C278" s="9" t="str">
        <f>IF(B278="","",RANK(B278,B:B,0)++COUNTIF($B$1:B277,B278))</f>
        <v/>
      </c>
    </row>
    <row r="279" spans="1:3">
      <c r="A279" s="164"/>
      <c r="B279" s="165"/>
      <c r="C279" s="9" t="str">
        <f>IF(B279="","",RANK(B279,B:B,0)++COUNTIF($B$1:B278,B279))</f>
        <v/>
      </c>
    </row>
    <row r="280" spans="1:3">
      <c r="A280" s="164"/>
      <c r="B280" s="165"/>
      <c r="C280" s="9" t="str">
        <f>IF(B280="","",RANK(B280,B:B,0)++COUNTIF($B$1:B279,B280))</f>
        <v/>
      </c>
    </row>
    <row r="281" spans="1:3">
      <c r="A281" s="164"/>
      <c r="B281" s="165"/>
      <c r="C281" s="9" t="str">
        <f>IF(B281="","",RANK(B281,B:B,0)++COUNTIF($B$1:B280,B281))</f>
        <v/>
      </c>
    </row>
    <row r="282" spans="1:3">
      <c r="A282" s="164"/>
      <c r="B282" s="165"/>
      <c r="C282" s="9" t="str">
        <f>IF(B282="","",RANK(B282,B:B,0)++COUNTIF($B$1:B281,B282))</f>
        <v/>
      </c>
    </row>
    <row r="283" spans="1:3">
      <c r="A283" s="164"/>
      <c r="B283" s="165"/>
      <c r="C283" s="9" t="str">
        <f>IF(B283="","",RANK(B283,B:B,0)++COUNTIF($B$1:B282,B283))</f>
        <v/>
      </c>
    </row>
    <row r="284" spans="1:3">
      <c r="A284" s="164"/>
      <c r="B284" s="165"/>
      <c r="C284" s="9" t="str">
        <f>IF(B284="","",RANK(B284,B:B,0)++COUNTIF($B$1:B283,B284))</f>
        <v/>
      </c>
    </row>
    <row r="285" spans="1:3">
      <c r="A285" s="164"/>
      <c r="B285" s="165"/>
      <c r="C285" s="9" t="str">
        <f>IF(B285="","",RANK(B285,B:B,0)++COUNTIF($B$1:B284,B285))</f>
        <v/>
      </c>
    </row>
    <row r="286" spans="1:3">
      <c r="A286" s="164"/>
      <c r="B286" s="165"/>
      <c r="C286" s="9" t="str">
        <f>IF(B286="","",RANK(B286,B:B,0)++COUNTIF($B$1:B285,B286))</f>
        <v/>
      </c>
    </row>
    <row r="287" spans="1:3">
      <c r="A287" s="164"/>
      <c r="B287" s="165"/>
      <c r="C287" s="9" t="str">
        <f>IF(B287="","",RANK(B287,B:B,0)++COUNTIF($B$1:B286,B287))</f>
        <v/>
      </c>
    </row>
    <row r="288" spans="1:3" ht="17.25" thickBot="1">
      <c r="A288" s="166"/>
      <c r="B288" s="167"/>
      <c r="C288" s="9" t="str">
        <f>IF(B288="","",RANK(B288,B:B,0)++COUNTIF($B$1:B287,B288))</f>
        <v/>
      </c>
    </row>
  </sheetData>
  <phoneticPr fontId="2"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theme="7" tint="0.79998168889431442"/>
  </sheetPr>
  <dimension ref="A1:AM80"/>
  <sheetViews>
    <sheetView zoomScale="85" zoomScaleNormal="85" workbookViewId="0"/>
  </sheetViews>
  <sheetFormatPr defaultRowHeight="16.5"/>
  <cols>
    <col min="1" max="1" width="121.75" style="2" customWidth="1"/>
    <col min="2" max="2" width="37.875" style="2" customWidth="1"/>
    <col min="3" max="3" width="9" style="2" customWidth="1"/>
    <col min="4" max="11" width="9" style="2"/>
    <col min="12" max="12" width="8.875" style="2"/>
    <col min="13" max="20" width="9" style="2"/>
    <col min="24" max="24" width="22.875" customWidth="1"/>
    <col min="27" max="27" width="12.125" bestFit="1" customWidth="1"/>
    <col min="29" max="29" width="9" style="274"/>
    <col min="31" max="31" width="12.625" style="200" bestFit="1" customWidth="1"/>
    <col min="32" max="32" width="9.5" customWidth="1"/>
  </cols>
  <sheetData>
    <row r="1" spans="1:39">
      <c r="AG1" t="s">
        <v>1005</v>
      </c>
      <c r="AH1" t="s">
        <v>1006</v>
      </c>
      <c r="AI1" t="s">
        <v>1008</v>
      </c>
      <c r="AL1" t="s">
        <v>1010</v>
      </c>
    </row>
    <row r="2" spans="1:39">
      <c r="A2" s="47" t="s">
        <v>23</v>
      </c>
      <c r="B2" s="47" t="s">
        <v>190</v>
      </c>
      <c r="C2" s="47" t="s">
        <v>191</v>
      </c>
      <c r="D2" s="47" t="s">
        <v>24</v>
      </c>
      <c r="E2" s="47" t="s">
        <v>192</v>
      </c>
      <c r="F2" s="47" t="s">
        <v>25</v>
      </c>
      <c r="G2" s="47" t="s">
        <v>26</v>
      </c>
      <c r="H2" s="47" t="s">
        <v>27</v>
      </c>
      <c r="I2" s="47" t="s">
        <v>28</v>
      </c>
      <c r="J2" s="47" t="s">
        <v>29</v>
      </c>
      <c r="K2" s="47" t="s">
        <v>935</v>
      </c>
      <c r="L2" s="47" t="s">
        <v>193</v>
      </c>
      <c r="M2" s="47" t="s">
        <v>30</v>
      </c>
      <c r="N2" s="47" t="s">
        <v>31</v>
      </c>
      <c r="O2" s="47" t="s">
        <v>32</v>
      </c>
      <c r="P2" s="47" t="s">
        <v>33</v>
      </c>
      <c r="Q2" s="47" t="s">
        <v>34</v>
      </c>
      <c r="R2" s="47" t="s">
        <v>35</v>
      </c>
      <c r="S2" s="47" t="s">
        <v>1023</v>
      </c>
      <c r="T2" s="47" t="s">
        <v>36</v>
      </c>
      <c r="V2" t="s">
        <v>84</v>
      </c>
      <c r="W2" t="s">
        <v>85</v>
      </c>
      <c r="Y2" t="s">
        <v>86</v>
      </c>
      <c r="Z2" t="s">
        <v>954</v>
      </c>
      <c r="AB2" t="s">
        <v>462</v>
      </c>
      <c r="AC2" s="274" t="s">
        <v>1035</v>
      </c>
      <c r="AD2" t="s">
        <v>1007</v>
      </c>
      <c r="AE2" s="200" t="s">
        <v>1009</v>
      </c>
      <c r="AF2" t="s">
        <v>461</v>
      </c>
      <c r="AG2" t="s">
        <v>649</v>
      </c>
      <c r="AH2" t="s">
        <v>1002</v>
      </c>
      <c r="AI2" t="s">
        <v>1003</v>
      </c>
      <c r="AL2" t="s">
        <v>1014</v>
      </c>
    </row>
    <row r="3" spans="1:39">
      <c r="A3" s="47" t="s">
        <v>1109</v>
      </c>
      <c r="B3" s="340" t="s">
        <v>1110</v>
      </c>
      <c r="C3" s="47" t="s">
        <v>37</v>
      </c>
      <c r="D3" s="47" t="s">
        <v>38</v>
      </c>
      <c r="E3" s="47" t="s">
        <v>992</v>
      </c>
      <c r="F3" s="47" t="s">
        <v>1076</v>
      </c>
      <c r="G3" s="47" t="s">
        <v>38</v>
      </c>
      <c r="H3" s="47" t="s">
        <v>38</v>
      </c>
      <c r="I3" s="47" t="s">
        <v>39</v>
      </c>
      <c r="J3" s="47">
        <v>3881</v>
      </c>
      <c r="K3" s="47" t="s">
        <v>38</v>
      </c>
      <c r="L3" s="47" t="s">
        <v>38</v>
      </c>
      <c r="M3" s="47">
        <v>167</v>
      </c>
      <c r="N3" s="47">
        <v>4.3030146509408951E-2</v>
      </c>
      <c r="O3" s="47">
        <v>61</v>
      </c>
      <c r="P3" s="47">
        <v>0</v>
      </c>
      <c r="Q3" s="47">
        <v>1</v>
      </c>
      <c r="R3" s="47" t="s">
        <v>38</v>
      </c>
      <c r="S3" s="47">
        <v>5.9005409479141235E-2</v>
      </c>
      <c r="T3" s="47" t="s">
        <v>38</v>
      </c>
      <c r="V3" s="236">
        <f t="shared" ref="V3:V20" si="0">IF(Z3="","",_xlfn.RANK.EQ(Z3,Z:Z,0))</f>
        <v>15</v>
      </c>
      <c r="W3" s="236">
        <f t="shared" ref="W3:W20" si="1">IF(V3="","",_xlfn.RANK.EQ(V3,V:V,1))</f>
        <v>15</v>
      </c>
      <c r="X3" s="237">
        <f t="shared" ref="X3:X34" si="2">IF(C3&lt;&gt;"Organic","",IF(B3="","",DATE(RIGHT(F3,4),LEFT(F3,2),MID(F3,4,2))))</f>
        <v>45562</v>
      </c>
      <c r="Y3" s="236">
        <f t="shared" ref="Y3:Y34" si="3">IF(C3&lt;&gt;"Organic","",IF(B3="","",SUM(O3:Q3,M3)))</f>
        <v>229</v>
      </c>
      <c r="Z3" s="238">
        <f t="shared" ref="Z3:Z34" si="4">IFERROR(IF(C3&lt;&gt;"Organic","",Y3/J3),"")</f>
        <v>5.9005410976552437E-2</v>
      </c>
      <c r="AA3" s="237">
        <f t="shared" ref="AA3:AA34" si="5">DATE(RIGHT(F3,4),LEFT(F3,2),MID(F3,4,2))</f>
        <v>45562</v>
      </c>
      <c r="AB3" s="236" t="str">
        <f>IF(AF3="","",RANK(AF3,AF:AF,0)+COUNTIF($AF$1:AF2,AF3))</f>
        <v/>
      </c>
      <c r="AC3" s="238" t="str">
        <f t="shared" ref="AC3:AC34" si="6">IFERROR((0.6*AF3+1.4*M3+O3+P3+Q3)/J3,"")</f>
        <v/>
      </c>
      <c r="AD3" s="238">
        <f t="shared" ref="AD3:AD34" si="7">IF(C3&lt;&gt;"Organic","",IF(B3="","",N3))</f>
        <v>4.3030146509408951E-2</v>
      </c>
      <c r="AE3" s="339">
        <f t="shared" ref="AE3:AE34" si="8">IF(C3&lt;&gt;"Organic","",IF(B3="","",J3))</f>
        <v>3881</v>
      </c>
      <c r="AF3" s="236" t="str">
        <f t="shared" ref="AF3:AF34" si="9">IF(C3="","",IFERROR(IF(OR(C3="Sponsored",C3="total"),"",IF(C4="sponsored",K5,K3)),""))</f>
        <v/>
      </c>
      <c r="AG3" s="236" cm="1">
        <f t="array" aca="1" ref="AG3" ca="1">RANK(INDIRECT(ADDRESS(ROW(), MATCH(AG$1, INDEX(contents_raw, 2, 0), 0))),
INDIRECT(ADDRESS(1, MATCH(AG$1, INDEX(contents_raw, 2, 0), 0)) &amp; ":" &amp; ADDRESS(ROWS(contents_raw), MATCH(AG$1, INDEX(contents_raw, 2, 0), 0))), 0)</f>
        <v>18</v>
      </c>
      <c r="AH3" s="236" cm="1">
        <f t="array" aca="1" ref="AH3" ca="1">RANK(INDIRECT(ADDRESS(ROW(), MATCH(AH$1, INDEX(contents_raw, 2, 0), 0))),
INDIRECT(ADDRESS(1, MATCH(AH$1, INDEX(contents_raw, 2, 0), 0)) &amp; ":" &amp; ADDRESS(ROWS(contents_raw), MATCH(AH$1, INDEX(contents_raw, 2, 0), 0))), 0)</f>
        <v>15</v>
      </c>
      <c r="AI3" s="236" cm="1">
        <f t="array" aca="1" ref="AI3" ca="1">RANK(INDIRECT(ADDRESS(ROW(), MATCH(AI$1, INDEX(contents_raw, 2, 0), 0))),
INDIRECT(ADDRESS(1, MATCH(AI$1, INDEX(contents_raw, 2, 0), 0)) &amp; ":" &amp; ADDRESS(ROWS(contents_raw), MATCH(AI$1, INDEX(contents_raw, 2, 0), 0))), 0)</f>
        <v>21</v>
      </c>
      <c r="AM3" t="s">
        <v>1013</v>
      </c>
    </row>
    <row r="4" spans="1:39">
      <c r="A4" s="47" t="s">
        <v>1111</v>
      </c>
      <c r="B4" s="340" t="s">
        <v>1112</v>
      </c>
      <c r="C4" s="47" t="s">
        <v>37</v>
      </c>
      <c r="D4" s="47" t="s">
        <v>38</v>
      </c>
      <c r="E4" s="47" t="s">
        <v>992</v>
      </c>
      <c r="F4" s="47" t="s">
        <v>1076</v>
      </c>
      <c r="G4" s="47" t="s">
        <v>38</v>
      </c>
      <c r="H4" s="47" t="s">
        <v>38</v>
      </c>
      <c r="I4" s="47" t="s">
        <v>39</v>
      </c>
      <c r="J4" s="47">
        <v>3382</v>
      </c>
      <c r="K4" s="47" t="s">
        <v>38</v>
      </c>
      <c r="L4" s="47" t="s">
        <v>38</v>
      </c>
      <c r="M4" s="47">
        <v>791</v>
      </c>
      <c r="N4" s="47">
        <v>0.2338852733373642</v>
      </c>
      <c r="O4" s="47">
        <v>26</v>
      </c>
      <c r="P4" s="47">
        <v>2</v>
      </c>
      <c r="Q4" s="47">
        <v>2</v>
      </c>
      <c r="R4" s="47" t="s">
        <v>38</v>
      </c>
      <c r="S4" s="47">
        <v>0.24275577068328857</v>
      </c>
      <c r="T4" s="47" t="s">
        <v>38</v>
      </c>
      <c r="V4" s="236">
        <f t="shared" si="0"/>
        <v>4</v>
      </c>
      <c r="W4" s="236">
        <f t="shared" si="1"/>
        <v>4</v>
      </c>
      <c r="X4" s="237">
        <f t="shared" si="2"/>
        <v>45562</v>
      </c>
      <c r="Y4" s="236">
        <f t="shared" si="3"/>
        <v>821</v>
      </c>
      <c r="Z4" s="238">
        <f t="shared" si="4"/>
        <v>0.24275576581904199</v>
      </c>
      <c r="AA4" s="237">
        <f t="shared" si="5"/>
        <v>45562</v>
      </c>
      <c r="AB4" s="236" t="str">
        <f>IF(AF4="","",RANK(AF4,AF:AF,0)+COUNTIF($AF$1:AF3,AF4))</f>
        <v/>
      </c>
      <c r="AC4" s="238" t="str">
        <f t="shared" si="6"/>
        <v/>
      </c>
      <c r="AD4" s="238">
        <f t="shared" si="7"/>
        <v>0.2338852733373642</v>
      </c>
      <c r="AE4" s="339">
        <f t="shared" si="8"/>
        <v>3382</v>
      </c>
      <c r="AF4" s="236" t="str">
        <f t="shared" si="9"/>
        <v/>
      </c>
      <c r="AG4" s="236" cm="1">
        <f t="array" aca="1" ref="AG4" ca="1">RANK(INDIRECT(ADDRESS(ROW(), MATCH(AG$1, INDEX(contents_raw, 2, 0), 0))),
INDIRECT(ADDRESS(1, MATCH(AG$1, INDEX(contents_raw, 2, 0), 0)) &amp; ":" &amp; ADDRESS(ROWS(contents_raw), MATCH(AG$1, INDEX(contents_raw, 2, 0), 0))), 0)</f>
        <v>10</v>
      </c>
      <c r="AH4" s="236" cm="1">
        <f t="array" aca="1" ref="AH4" ca="1">RANK(INDIRECT(ADDRESS(ROW(), MATCH(AH$1, INDEX(contents_raw, 2, 0), 0))),
INDIRECT(ADDRESS(1, MATCH(AH$1, INDEX(contents_raw, 2, 0), 0)) &amp; ":" &amp; ADDRESS(ROWS(contents_raw), MATCH(AH$1, INDEX(contents_raw, 2, 0), 0))), 0)</f>
        <v>4</v>
      </c>
      <c r="AI4" s="236" cm="1">
        <f t="array" aca="1" ref="AI4" ca="1">RANK(INDIRECT(ADDRESS(ROW(), MATCH(AI$1, INDEX(contents_raw, 2, 0), 0))),
INDIRECT(ADDRESS(1, MATCH(AI$1, INDEX(contents_raw, 2, 0), 0)) &amp; ":" &amp; ADDRESS(ROWS(contents_raw), MATCH(AI$1, INDEX(contents_raw, 2, 0), 0))), 0)</f>
        <v>25</v>
      </c>
      <c r="AL4" t="s">
        <v>1011</v>
      </c>
    </row>
    <row r="5" spans="1:39">
      <c r="A5" s="47" t="s">
        <v>1111</v>
      </c>
      <c r="B5" s="340" t="s">
        <v>1112</v>
      </c>
      <c r="C5" s="47" t="s">
        <v>990</v>
      </c>
      <c r="D5" s="47" t="s">
        <v>1113</v>
      </c>
      <c r="E5" s="47" t="s">
        <v>992</v>
      </c>
      <c r="F5" s="47" t="s">
        <v>1076</v>
      </c>
      <c r="G5" s="47" t="s">
        <v>1114</v>
      </c>
      <c r="H5" s="47" t="s">
        <v>1115</v>
      </c>
      <c r="I5" s="47" t="s">
        <v>39</v>
      </c>
      <c r="J5" s="47">
        <v>2484</v>
      </c>
      <c r="K5" s="47" t="s">
        <v>38</v>
      </c>
      <c r="L5" s="47" t="s">
        <v>38</v>
      </c>
      <c r="M5" s="47">
        <v>167</v>
      </c>
      <c r="N5" s="47">
        <v>6.7230276763439178E-2</v>
      </c>
      <c r="O5" s="47">
        <v>0</v>
      </c>
      <c r="P5" s="47">
        <v>0</v>
      </c>
      <c r="Q5" s="47">
        <v>0</v>
      </c>
      <c r="R5" s="47">
        <v>1</v>
      </c>
      <c r="S5" s="47">
        <v>0.10426731407642365</v>
      </c>
      <c r="T5" s="47" t="s">
        <v>38</v>
      </c>
      <c r="V5" s="236" t="str">
        <f t="shared" si="0"/>
        <v/>
      </c>
      <c r="W5" s="236" t="str">
        <f t="shared" si="1"/>
        <v/>
      </c>
      <c r="X5" s="237" t="str">
        <f t="shared" si="2"/>
        <v/>
      </c>
      <c r="Y5" s="236" t="str">
        <f t="shared" si="3"/>
        <v/>
      </c>
      <c r="Z5" s="238" t="str">
        <f t="shared" si="4"/>
        <v/>
      </c>
      <c r="AA5" s="237">
        <f t="shared" si="5"/>
        <v>45562</v>
      </c>
      <c r="AB5" s="236" t="str">
        <f>IF(AF5="","",RANK(AF5,AF:AF,0)+COUNTIF($AF$1:AF4,AF5))</f>
        <v/>
      </c>
      <c r="AC5" s="238" t="str">
        <f t="shared" si="6"/>
        <v/>
      </c>
      <c r="AD5" s="238" t="str">
        <f t="shared" si="7"/>
        <v/>
      </c>
      <c r="AE5" s="339" t="str">
        <f t="shared" si="8"/>
        <v/>
      </c>
      <c r="AF5" s="236" t="str">
        <f t="shared" si="9"/>
        <v/>
      </c>
      <c r="AG5" s="236" t="e" cm="1">
        <f t="array" aca="1" ref="AG5" ca="1">RANK(INDIRECT(ADDRESS(ROW(), MATCH(AG$1, INDEX(contents_raw, 2, 0), 0))),
INDIRECT(ADDRESS(1, MATCH(AG$1, INDEX(contents_raw, 2, 0), 0)) &amp; ":" &amp; ADDRESS(ROWS(contents_raw), MATCH(AG$1, INDEX(contents_raw, 2, 0), 0))), 0)</f>
        <v>#VALUE!</v>
      </c>
      <c r="AH5" s="236" t="e" cm="1">
        <f t="array" aca="1" ref="AH5" ca="1">RANK(INDIRECT(ADDRESS(ROW(), MATCH(AH$1, INDEX(contents_raw, 2, 0), 0))),
INDIRECT(ADDRESS(1, MATCH(AH$1, INDEX(contents_raw, 2, 0), 0)) &amp; ":" &amp; ADDRESS(ROWS(contents_raw), MATCH(AH$1, INDEX(contents_raw, 2, 0), 0))), 0)</f>
        <v>#VALUE!</v>
      </c>
      <c r="AI5" s="236" t="e" cm="1">
        <f t="array" aca="1" ref="AI5" ca="1">RANK(INDIRECT(ADDRESS(ROW(), MATCH(AI$1, INDEX(contents_raw, 2, 0), 0))),
INDIRECT(ADDRESS(1, MATCH(AI$1, INDEX(contents_raw, 2, 0), 0)) &amp; ":" &amp; ADDRESS(ROWS(contents_raw), MATCH(AI$1, INDEX(contents_raw, 2, 0), 0))), 0)</f>
        <v>#VALUE!</v>
      </c>
      <c r="AL5" t="s">
        <v>1012</v>
      </c>
    </row>
    <row r="6" spans="1:39">
      <c r="A6" s="47" t="s">
        <v>1111</v>
      </c>
      <c r="B6" s="340" t="s">
        <v>1112</v>
      </c>
      <c r="C6" s="47" t="s">
        <v>990</v>
      </c>
      <c r="D6" s="47" t="s">
        <v>1116</v>
      </c>
      <c r="E6" s="47" t="s">
        <v>992</v>
      </c>
      <c r="F6" s="47" t="s">
        <v>1076</v>
      </c>
      <c r="G6" s="47" t="s">
        <v>1114</v>
      </c>
      <c r="H6" s="47" t="s">
        <v>1115</v>
      </c>
      <c r="I6" s="47" t="s">
        <v>39</v>
      </c>
      <c r="J6" s="47">
        <v>37559</v>
      </c>
      <c r="K6" s="47" t="s">
        <v>38</v>
      </c>
      <c r="L6" s="47" t="s">
        <v>38</v>
      </c>
      <c r="M6" s="47">
        <v>2147</v>
      </c>
      <c r="N6" s="47">
        <v>5.716339498758316E-2</v>
      </c>
      <c r="O6" s="47">
        <v>2</v>
      </c>
      <c r="P6" s="47">
        <v>0</v>
      </c>
      <c r="Q6" s="47">
        <v>0</v>
      </c>
      <c r="R6" s="47">
        <v>8</v>
      </c>
      <c r="S6" s="47">
        <v>0.15120211243629456</v>
      </c>
      <c r="T6" s="47" t="s">
        <v>38</v>
      </c>
      <c r="V6" s="236" t="str">
        <f t="shared" si="0"/>
        <v/>
      </c>
      <c r="W6" s="236" t="str">
        <f t="shared" si="1"/>
        <v/>
      </c>
      <c r="X6" s="237" t="str">
        <f t="shared" si="2"/>
        <v/>
      </c>
      <c r="Y6" s="236" t="str">
        <f t="shared" si="3"/>
        <v/>
      </c>
      <c r="Z6" s="238" t="str">
        <f t="shared" si="4"/>
        <v/>
      </c>
      <c r="AA6" s="237">
        <f t="shared" si="5"/>
        <v>45562</v>
      </c>
      <c r="AB6" s="236" t="str">
        <f>IF(AF6="","",RANK(AF6,AF:AF,0)+COUNTIF($AF$1:AF5,AF6))</f>
        <v/>
      </c>
      <c r="AC6" s="238" t="str">
        <f t="shared" si="6"/>
        <v/>
      </c>
      <c r="AD6" s="238" t="str">
        <f t="shared" si="7"/>
        <v/>
      </c>
      <c r="AE6" s="339" t="str">
        <f t="shared" si="8"/>
        <v/>
      </c>
      <c r="AF6" s="236" t="str">
        <f t="shared" si="9"/>
        <v/>
      </c>
      <c r="AG6" s="236" t="e" cm="1">
        <f t="array" aca="1" ref="AG6" ca="1">RANK(INDIRECT(ADDRESS(ROW(), MATCH(AG$1, INDEX(contents_raw, 2, 0), 0))),
INDIRECT(ADDRESS(1, MATCH(AG$1, INDEX(contents_raw, 2, 0), 0)) &amp; ":" &amp; ADDRESS(ROWS(contents_raw), MATCH(AG$1, INDEX(contents_raw, 2, 0), 0))), 0)</f>
        <v>#VALUE!</v>
      </c>
      <c r="AH6" s="236" t="e" cm="1">
        <f t="array" aca="1" ref="AH6" ca="1">RANK(INDIRECT(ADDRESS(ROW(), MATCH(AH$1, INDEX(contents_raw, 2, 0), 0))),
INDIRECT(ADDRESS(1, MATCH(AH$1, INDEX(contents_raw, 2, 0), 0)) &amp; ":" &amp; ADDRESS(ROWS(contents_raw), MATCH(AH$1, INDEX(contents_raw, 2, 0), 0))), 0)</f>
        <v>#VALUE!</v>
      </c>
      <c r="AI6" s="236" t="e" cm="1">
        <f t="array" aca="1" ref="AI6" ca="1">RANK(INDIRECT(ADDRESS(ROW(), MATCH(AI$1, INDEX(contents_raw, 2, 0), 0))),
INDIRECT(ADDRESS(1, MATCH(AI$1, INDEX(contents_raw, 2, 0), 0)) &amp; ":" &amp; ADDRESS(ROWS(contents_raw), MATCH(AI$1, INDEX(contents_raw, 2, 0), 0))), 0)</f>
        <v>#VALUE!</v>
      </c>
    </row>
    <row r="7" spans="1:39">
      <c r="A7" s="47" t="s">
        <v>1111</v>
      </c>
      <c r="B7" s="340" t="s">
        <v>1112</v>
      </c>
      <c r="C7" s="47" t="s">
        <v>990</v>
      </c>
      <c r="D7" s="47" t="s">
        <v>1117</v>
      </c>
      <c r="E7" s="47" t="s">
        <v>992</v>
      </c>
      <c r="F7" s="47" t="s">
        <v>1076</v>
      </c>
      <c r="G7" s="47" t="s">
        <v>1114</v>
      </c>
      <c r="H7" s="47" t="s">
        <v>1115</v>
      </c>
      <c r="I7" s="47" t="s">
        <v>39</v>
      </c>
      <c r="J7" s="47">
        <v>949</v>
      </c>
      <c r="K7" s="47" t="s">
        <v>38</v>
      </c>
      <c r="L7" s="47" t="s">
        <v>38</v>
      </c>
      <c r="M7" s="47">
        <v>25</v>
      </c>
      <c r="N7" s="47">
        <v>2.6343518868088722E-2</v>
      </c>
      <c r="O7" s="47">
        <v>0</v>
      </c>
      <c r="P7" s="47">
        <v>0</v>
      </c>
      <c r="Q7" s="47">
        <v>0</v>
      </c>
      <c r="R7" s="47">
        <v>1</v>
      </c>
      <c r="S7" s="47">
        <v>5.0579559057950974E-2</v>
      </c>
      <c r="T7" s="47" t="s">
        <v>38</v>
      </c>
      <c r="V7" s="236" t="str">
        <f t="shared" si="0"/>
        <v/>
      </c>
      <c r="W7" s="236" t="str">
        <f t="shared" si="1"/>
        <v/>
      </c>
      <c r="X7" s="237" t="str">
        <f t="shared" si="2"/>
        <v/>
      </c>
      <c r="Y7" s="236" t="str">
        <f t="shared" si="3"/>
        <v/>
      </c>
      <c r="Z7" s="238" t="str">
        <f t="shared" si="4"/>
        <v/>
      </c>
      <c r="AA7" s="237">
        <f t="shared" si="5"/>
        <v>45562</v>
      </c>
      <c r="AB7" s="236" t="str">
        <f>IF(AF7="","",RANK(AF7,AF:AF,0)+COUNTIF($AF$1:AF6,AF7))</f>
        <v/>
      </c>
      <c r="AC7" s="238" t="str">
        <f t="shared" si="6"/>
        <v/>
      </c>
      <c r="AD7" s="238" t="str">
        <f t="shared" si="7"/>
        <v/>
      </c>
      <c r="AE7" s="339" t="str">
        <f t="shared" si="8"/>
        <v/>
      </c>
      <c r="AF7" s="236" t="str">
        <f t="shared" si="9"/>
        <v/>
      </c>
      <c r="AG7" s="236" t="e" cm="1">
        <f t="array" aca="1" ref="AG7" ca="1">RANK(INDIRECT(ADDRESS(ROW(), MATCH(AG$1, INDEX(contents_raw, 2, 0), 0))),
INDIRECT(ADDRESS(1, MATCH(AG$1, INDEX(contents_raw, 2, 0), 0)) &amp; ":" &amp; ADDRESS(ROWS(contents_raw), MATCH(AG$1, INDEX(contents_raw, 2, 0), 0))), 0)</f>
        <v>#VALUE!</v>
      </c>
      <c r="AH7" s="236" t="e" cm="1">
        <f t="array" aca="1" ref="AH7" ca="1">RANK(INDIRECT(ADDRESS(ROW(), MATCH(AH$1, INDEX(contents_raw, 2, 0), 0))),
INDIRECT(ADDRESS(1, MATCH(AH$1, INDEX(contents_raw, 2, 0), 0)) &amp; ":" &amp; ADDRESS(ROWS(contents_raw), MATCH(AH$1, INDEX(contents_raw, 2, 0), 0))), 0)</f>
        <v>#VALUE!</v>
      </c>
      <c r="AI7" s="236" t="e" cm="1">
        <f t="array" aca="1" ref="AI7" ca="1">RANK(INDIRECT(ADDRESS(ROW(), MATCH(AI$1, INDEX(contents_raw, 2, 0), 0))),
INDIRECT(ADDRESS(1, MATCH(AI$1, INDEX(contents_raw, 2, 0), 0)) &amp; ":" &amp; ADDRESS(ROWS(contents_raw), MATCH(AI$1, INDEX(contents_raw, 2, 0), 0))), 0)</f>
        <v>#VALUE!</v>
      </c>
    </row>
    <row r="8" spans="1:39">
      <c r="A8" s="47" t="s">
        <v>1111</v>
      </c>
      <c r="B8" s="340" t="s">
        <v>1112</v>
      </c>
      <c r="C8" s="47" t="s">
        <v>142</v>
      </c>
      <c r="D8" s="47" t="s">
        <v>38</v>
      </c>
      <c r="E8" s="47" t="s">
        <v>992</v>
      </c>
      <c r="F8" s="47" t="s">
        <v>1076</v>
      </c>
      <c r="G8" s="47" t="s">
        <v>38</v>
      </c>
      <c r="H8" s="47" t="s">
        <v>38</v>
      </c>
      <c r="I8" s="47" t="s">
        <v>39</v>
      </c>
      <c r="J8" s="47">
        <v>44374</v>
      </c>
      <c r="K8" s="47" t="s">
        <v>38</v>
      </c>
      <c r="L8" s="47" t="s">
        <v>38</v>
      </c>
      <c r="M8" s="47">
        <v>3130</v>
      </c>
      <c r="N8" s="47">
        <v>7.0536799728870392E-2</v>
      </c>
      <c r="O8" s="47">
        <v>28</v>
      </c>
      <c r="P8" s="47">
        <v>2</v>
      </c>
      <c r="Q8" s="47">
        <v>2</v>
      </c>
      <c r="R8" s="47">
        <v>10</v>
      </c>
      <c r="S8" s="47">
        <v>0.15340064465999603</v>
      </c>
      <c r="T8" s="47" t="s">
        <v>38</v>
      </c>
      <c r="V8" s="236" t="str">
        <f t="shared" si="0"/>
        <v/>
      </c>
      <c r="W8" s="236" t="str">
        <f t="shared" si="1"/>
        <v/>
      </c>
      <c r="X8" s="237" t="str">
        <f t="shared" si="2"/>
        <v/>
      </c>
      <c r="Y8" s="236" t="str">
        <f t="shared" si="3"/>
        <v/>
      </c>
      <c r="Z8" s="238" t="str">
        <f t="shared" si="4"/>
        <v/>
      </c>
      <c r="AA8" s="237">
        <f t="shared" si="5"/>
        <v>45562</v>
      </c>
      <c r="AB8" s="236" t="str">
        <f>IF(AF8="","",RANK(AF8,AF:AF,0)+COUNTIF($AF$1:AF7,AF8))</f>
        <v/>
      </c>
      <c r="AC8" s="238" t="str">
        <f t="shared" si="6"/>
        <v/>
      </c>
      <c r="AD8" s="238" t="str">
        <f t="shared" si="7"/>
        <v/>
      </c>
      <c r="AE8" s="339" t="str">
        <f t="shared" si="8"/>
        <v/>
      </c>
      <c r="AF8" s="236" t="str">
        <f t="shared" si="9"/>
        <v/>
      </c>
      <c r="AG8" s="236" t="e" cm="1">
        <f t="array" aca="1" ref="AG8" ca="1">RANK(INDIRECT(ADDRESS(ROW(), MATCH(AG$1, INDEX(contents_raw, 2, 0), 0))),
INDIRECT(ADDRESS(1, MATCH(AG$1, INDEX(contents_raw, 2, 0), 0)) &amp; ":" &amp; ADDRESS(ROWS(contents_raw), MATCH(AG$1, INDEX(contents_raw, 2, 0), 0))), 0)</f>
        <v>#VALUE!</v>
      </c>
      <c r="AH8" s="236" t="e" cm="1">
        <f t="array" aca="1" ref="AH8" ca="1">RANK(INDIRECT(ADDRESS(ROW(), MATCH(AH$1, INDEX(contents_raw, 2, 0), 0))),
INDIRECT(ADDRESS(1, MATCH(AH$1, INDEX(contents_raw, 2, 0), 0)) &amp; ":" &amp; ADDRESS(ROWS(contents_raw), MATCH(AH$1, INDEX(contents_raw, 2, 0), 0))), 0)</f>
        <v>#VALUE!</v>
      </c>
      <c r="AI8" s="236" t="e" cm="1">
        <f t="array" aca="1" ref="AI8" ca="1">RANK(INDIRECT(ADDRESS(ROW(), MATCH(AI$1, INDEX(contents_raw, 2, 0), 0))),
INDIRECT(ADDRESS(1, MATCH(AI$1, INDEX(contents_raw, 2, 0), 0)) &amp; ":" &amp; ADDRESS(ROWS(contents_raw), MATCH(AI$1, INDEX(contents_raw, 2, 0), 0))), 0)</f>
        <v>#VALUE!</v>
      </c>
    </row>
    <row r="9" spans="1:39">
      <c r="A9" s="47" t="s">
        <v>1118</v>
      </c>
      <c r="B9" s="340" t="s">
        <v>1119</v>
      </c>
      <c r="C9" s="47" t="s">
        <v>37</v>
      </c>
      <c r="D9" s="47" t="s">
        <v>38</v>
      </c>
      <c r="E9" s="47" t="s">
        <v>708</v>
      </c>
      <c r="F9" s="47" t="s">
        <v>1075</v>
      </c>
      <c r="G9" s="47" t="s">
        <v>38</v>
      </c>
      <c r="H9" s="47" t="s">
        <v>38</v>
      </c>
      <c r="I9" s="47" t="s">
        <v>39</v>
      </c>
      <c r="J9" s="47">
        <v>5059</v>
      </c>
      <c r="K9" s="47" t="s">
        <v>38</v>
      </c>
      <c r="L9" s="47" t="s">
        <v>38</v>
      </c>
      <c r="M9" s="47">
        <v>1154</v>
      </c>
      <c r="N9" s="47">
        <v>0.22810831665992737</v>
      </c>
      <c r="O9" s="47">
        <v>54</v>
      </c>
      <c r="P9" s="47">
        <v>1</v>
      </c>
      <c r="Q9" s="47">
        <v>1</v>
      </c>
      <c r="R9" s="47" t="s">
        <v>38</v>
      </c>
      <c r="S9" s="47">
        <v>0.23917770385742188</v>
      </c>
      <c r="T9" s="47" t="s">
        <v>38</v>
      </c>
      <c r="V9" s="236">
        <f t="shared" si="0"/>
        <v>5</v>
      </c>
      <c r="W9" s="236">
        <f t="shared" si="1"/>
        <v>5</v>
      </c>
      <c r="X9" s="237">
        <f t="shared" si="2"/>
        <v>45561</v>
      </c>
      <c r="Y9" s="236">
        <f t="shared" si="3"/>
        <v>1210</v>
      </c>
      <c r="Z9" s="238">
        <f t="shared" si="4"/>
        <v>0.2391777031033801</v>
      </c>
      <c r="AA9" s="237">
        <f t="shared" si="5"/>
        <v>45561</v>
      </c>
      <c r="AB9" s="236" t="str">
        <f>IF(AF9="","",RANK(AF9,AF:AF,0)+COUNTIF($AF$1:AF8,AF9))</f>
        <v/>
      </c>
      <c r="AC9" s="238" t="str">
        <f t="shared" si="6"/>
        <v/>
      </c>
      <c r="AD9" s="238">
        <f t="shared" si="7"/>
        <v>0.22810831665992737</v>
      </c>
      <c r="AE9" s="339">
        <f t="shared" si="8"/>
        <v>5059</v>
      </c>
      <c r="AF9" s="236" t="str">
        <f t="shared" si="9"/>
        <v/>
      </c>
      <c r="AG9" s="236" cm="1">
        <f t="array" aca="1" ref="AG9" ca="1">RANK(INDIRECT(ADDRESS(ROW(), MATCH(AG$1, INDEX(contents_raw, 2, 0), 0))),
INDIRECT(ADDRESS(1, MATCH(AG$1, INDEX(contents_raw, 2, 0), 0)) &amp; ":" &amp; ADDRESS(ROWS(contents_raw), MATCH(AG$1, INDEX(contents_raw, 2, 0), 0))), 0)</f>
        <v>6</v>
      </c>
      <c r="AH9" s="236" cm="1">
        <f t="array" aca="1" ref="AH9" ca="1">RANK(INDIRECT(ADDRESS(ROW(), MATCH(AH$1, INDEX(contents_raw, 2, 0), 0))),
INDIRECT(ADDRESS(1, MATCH(AH$1, INDEX(contents_raw, 2, 0), 0)) &amp; ":" &amp; ADDRESS(ROWS(contents_raw), MATCH(AH$1, INDEX(contents_raw, 2, 0), 0))), 0)</f>
        <v>5</v>
      </c>
      <c r="AI9" s="236" cm="1">
        <f t="array" aca="1" ref="AI9" ca="1">RANK(INDIRECT(ADDRESS(ROW(), MATCH(AI$1, INDEX(contents_raw, 2, 0), 0))),
INDIRECT(ADDRESS(1, MATCH(AI$1, INDEX(contents_raw, 2, 0), 0)) &amp; ":" &amp; ADDRESS(ROWS(contents_raw), MATCH(AI$1, INDEX(contents_raw, 2, 0), 0))), 0)</f>
        <v>11</v>
      </c>
    </row>
    <row r="10" spans="1:39">
      <c r="A10" s="47" t="s">
        <v>1120</v>
      </c>
      <c r="B10" s="340" t="s">
        <v>1121</v>
      </c>
      <c r="C10" s="47" t="s">
        <v>37</v>
      </c>
      <c r="D10" s="47" t="s">
        <v>38</v>
      </c>
      <c r="E10" s="47" t="s">
        <v>708</v>
      </c>
      <c r="F10" s="47" t="s">
        <v>1075</v>
      </c>
      <c r="G10" s="47" t="s">
        <v>38</v>
      </c>
      <c r="H10" s="47" t="s">
        <v>38</v>
      </c>
      <c r="I10" s="47" t="s">
        <v>39</v>
      </c>
      <c r="J10" s="47">
        <v>4807</v>
      </c>
      <c r="K10" s="47" t="s">
        <v>38</v>
      </c>
      <c r="L10" s="47" t="s">
        <v>38</v>
      </c>
      <c r="M10" s="47">
        <v>862</v>
      </c>
      <c r="N10" s="47">
        <v>0.17932182550430298</v>
      </c>
      <c r="O10" s="47">
        <v>58</v>
      </c>
      <c r="P10" s="47">
        <v>0</v>
      </c>
      <c r="Q10" s="47">
        <v>2</v>
      </c>
      <c r="R10" s="47" t="s">
        <v>38</v>
      </c>
      <c r="S10" s="47">
        <v>0.19180361926555634</v>
      </c>
      <c r="T10" s="47" t="s">
        <v>38</v>
      </c>
      <c r="V10" s="236">
        <f t="shared" si="0"/>
        <v>8</v>
      </c>
      <c r="W10" s="236">
        <f t="shared" si="1"/>
        <v>8</v>
      </c>
      <c r="X10" s="237">
        <f t="shared" si="2"/>
        <v>45561</v>
      </c>
      <c r="Y10" s="236">
        <f t="shared" si="3"/>
        <v>922</v>
      </c>
      <c r="Z10" s="238">
        <f t="shared" si="4"/>
        <v>0.19180361972123985</v>
      </c>
      <c r="AA10" s="237">
        <f t="shared" si="5"/>
        <v>45561</v>
      </c>
      <c r="AB10" s="236" t="str">
        <f>IF(AF10="","",RANK(AF10,AF:AF,0)+COUNTIF($AF$1:AF9,AF10))</f>
        <v/>
      </c>
      <c r="AC10" s="238" t="str">
        <f t="shared" si="6"/>
        <v/>
      </c>
      <c r="AD10" s="238">
        <f t="shared" si="7"/>
        <v>0.17932182550430298</v>
      </c>
      <c r="AE10" s="339">
        <f t="shared" si="8"/>
        <v>4807</v>
      </c>
      <c r="AF10" s="236" t="str">
        <f t="shared" si="9"/>
        <v/>
      </c>
      <c r="AG10" s="236" cm="1">
        <f t="array" aca="1" ref="AG10" ca="1">RANK(INDIRECT(ADDRESS(ROW(), MATCH(AG$1, INDEX(contents_raw, 2, 0), 0))),
INDIRECT(ADDRESS(1, MATCH(AG$1, INDEX(contents_raw, 2, 0), 0)) &amp; ":" &amp; ADDRESS(ROWS(contents_raw), MATCH(AG$1, INDEX(contents_raw, 2, 0), 0))), 0)</f>
        <v>8</v>
      </c>
      <c r="AH10" s="236" cm="1">
        <f t="array" aca="1" ref="AH10" ca="1">RANK(INDIRECT(ADDRESS(ROW(), MATCH(AH$1, INDEX(contents_raw, 2, 0), 0))),
INDIRECT(ADDRESS(1, MATCH(AH$1, INDEX(contents_raw, 2, 0), 0)) &amp; ":" &amp; ADDRESS(ROWS(contents_raw), MATCH(AH$1, INDEX(contents_raw, 2, 0), 0))), 0)</f>
        <v>8</v>
      </c>
      <c r="AI10" s="236" cm="1">
        <f t="array" aca="1" ref="AI10" ca="1">RANK(INDIRECT(ADDRESS(ROW(), MATCH(AI$1, INDEX(contents_raw, 2, 0), 0))),
INDIRECT(ADDRESS(1, MATCH(AI$1, INDEX(contents_raw, 2, 0), 0)) &amp; ":" &amp; ADDRESS(ROWS(contents_raw), MATCH(AI$1, INDEX(contents_raw, 2, 0), 0))), 0)</f>
        <v>13</v>
      </c>
    </row>
    <row r="11" spans="1:39">
      <c r="A11" s="47" t="s">
        <v>1122</v>
      </c>
      <c r="B11" s="340" t="s">
        <v>1123</v>
      </c>
      <c r="C11" s="47" t="s">
        <v>37</v>
      </c>
      <c r="D11" s="47" t="s">
        <v>38</v>
      </c>
      <c r="E11" s="47" t="s">
        <v>708</v>
      </c>
      <c r="F11" s="47" t="s">
        <v>1075</v>
      </c>
      <c r="G11" s="47" t="s">
        <v>38</v>
      </c>
      <c r="H11" s="47" t="s">
        <v>38</v>
      </c>
      <c r="I11" s="47" t="s">
        <v>39</v>
      </c>
      <c r="J11" s="47">
        <v>2453</v>
      </c>
      <c r="K11" s="47" t="s">
        <v>38</v>
      </c>
      <c r="L11" s="47" t="s">
        <v>38</v>
      </c>
      <c r="M11" s="47">
        <v>358</v>
      </c>
      <c r="N11" s="47">
        <v>0.14594374597072601</v>
      </c>
      <c r="O11" s="47">
        <v>33</v>
      </c>
      <c r="P11" s="47">
        <v>0</v>
      </c>
      <c r="Q11" s="47">
        <v>2</v>
      </c>
      <c r="R11" s="47" t="s">
        <v>38</v>
      </c>
      <c r="S11" s="47">
        <v>0.16021198034286499</v>
      </c>
      <c r="T11" s="47" t="s">
        <v>38</v>
      </c>
      <c r="V11" s="236">
        <f t="shared" si="0"/>
        <v>9</v>
      </c>
      <c r="W11" s="236">
        <f t="shared" si="1"/>
        <v>9</v>
      </c>
      <c r="X11" s="237">
        <f t="shared" si="2"/>
        <v>45561</v>
      </c>
      <c r="Y11" s="236">
        <f t="shared" si="3"/>
        <v>393</v>
      </c>
      <c r="Z11" s="238">
        <f t="shared" si="4"/>
        <v>0.16021198532409295</v>
      </c>
      <c r="AA11" s="237">
        <f t="shared" si="5"/>
        <v>45561</v>
      </c>
      <c r="AB11" s="236" t="str">
        <f>IF(AF11="","",RANK(AF11,AF:AF,0)+COUNTIF($AF$1:AF10,AF11))</f>
        <v/>
      </c>
      <c r="AC11" s="238" t="str">
        <f t="shared" si="6"/>
        <v/>
      </c>
      <c r="AD11" s="238">
        <f t="shared" si="7"/>
        <v>0.14594374597072601</v>
      </c>
      <c r="AE11" s="339">
        <f t="shared" si="8"/>
        <v>2453</v>
      </c>
      <c r="AF11" s="236" t="str">
        <f t="shared" si="9"/>
        <v/>
      </c>
      <c r="AG11" s="236" cm="1">
        <f t="array" aca="1" ref="AG11" ca="1">RANK(INDIRECT(ADDRESS(ROW(), MATCH(AG$1, INDEX(contents_raw, 2, 0), 0))),
INDIRECT(ADDRESS(1, MATCH(AG$1, INDEX(contents_raw, 2, 0), 0)) &amp; ":" &amp; ADDRESS(ROWS(contents_raw), MATCH(AG$1, INDEX(contents_raw, 2, 0), 0))), 0)</f>
        <v>14</v>
      </c>
      <c r="AH11" s="236" cm="1">
        <f t="array" aca="1" ref="AH11" ca="1">RANK(INDIRECT(ADDRESS(ROW(), MATCH(AH$1, INDEX(contents_raw, 2, 0), 0))),
INDIRECT(ADDRESS(1, MATCH(AH$1, INDEX(contents_raw, 2, 0), 0)) &amp; ":" &amp; ADDRESS(ROWS(contents_raw), MATCH(AH$1, INDEX(contents_raw, 2, 0), 0))), 0)</f>
        <v>9</v>
      </c>
      <c r="AI11" s="236" cm="1">
        <f t="array" aca="1" ref="AI11" ca="1">RANK(INDIRECT(ADDRESS(ROW(), MATCH(AI$1, INDEX(contents_raw, 2, 0), 0))),
INDIRECT(ADDRESS(1, MATCH(AI$1, INDEX(contents_raw, 2, 0), 0)) &amp; ":" &amp; ADDRESS(ROWS(contents_raw), MATCH(AI$1, INDEX(contents_raw, 2, 0), 0))), 0)</f>
        <v>27</v>
      </c>
    </row>
    <row r="12" spans="1:39">
      <c r="A12" s="47" t="s">
        <v>1124</v>
      </c>
      <c r="B12" s="340" t="s">
        <v>1125</v>
      </c>
      <c r="C12" s="47" t="s">
        <v>37</v>
      </c>
      <c r="D12" s="47" t="s">
        <v>38</v>
      </c>
      <c r="E12" s="47" t="s">
        <v>992</v>
      </c>
      <c r="F12" s="47" t="s">
        <v>1075</v>
      </c>
      <c r="G12" s="47" t="s">
        <v>38</v>
      </c>
      <c r="H12" s="47" t="s">
        <v>38</v>
      </c>
      <c r="I12" s="47" t="s">
        <v>39</v>
      </c>
      <c r="J12" s="47">
        <v>1880</v>
      </c>
      <c r="K12" s="47" t="s">
        <v>38</v>
      </c>
      <c r="L12" s="47" t="s">
        <v>38</v>
      </c>
      <c r="M12" s="47">
        <v>57</v>
      </c>
      <c r="N12" s="47">
        <v>3.0319148674607277E-2</v>
      </c>
      <c r="O12" s="47">
        <v>70</v>
      </c>
      <c r="P12" s="47">
        <v>0</v>
      </c>
      <c r="Q12" s="47">
        <v>3</v>
      </c>
      <c r="R12" s="47" t="s">
        <v>38</v>
      </c>
      <c r="S12" s="47">
        <v>6.9148935377597809E-2</v>
      </c>
      <c r="T12" s="47" t="s">
        <v>38</v>
      </c>
      <c r="V12" s="236">
        <f t="shared" si="0"/>
        <v>13</v>
      </c>
      <c r="W12" s="236">
        <f t="shared" si="1"/>
        <v>13</v>
      </c>
      <c r="X12" s="237">
        <f t="shared" si="2"/>
        <v>45561</v>
      </c>
      <c r="Y12" s="236">
        <f t="shared" si="3"/>
        <v>130</v>
      </c>
      <c r="Z12" s="238">
        <f t="shared" si="4"/>
        <v>6.9148936170212769E-2</v>
      </c>
      <c r="AA12" s="237">
        <f t="shared" si="5"/>
        <v>45561</v>
      </c>
      <c r="AB12" s="236">
        <f>IF(AF12="","",RANK(AF12,AF:AF,0)+COUNTIF($AF$1:AF11,AF12))</f>
        <v>1</v>
      </c>
      <c r="AC12" s="238">
        <f t="shared" si="6"/>
        <v>3.7058510638297872</v>
      </c>
      <c r="AD12" s="238">
        <f t="shared" si="7"/>
        <v>3.0319148674607277E-2</v>
      </c>
      <c r="AE12" s="339">
        <f t="shared" si="8"/>
        <v>1880</v>
      </c>
      <c r="AF12" s="236">
        <f t="shared" si="9"/>
        <v>11357</v>
      </c>
      <c r="AG12" s="236" cm="1">
        <f t="array" aca="1" ref="AG12" ca="1">RANK(INDIRECT(ADDRESS(ROW(), MATCH(AG$1, INDEX(contents_raw, 2, 0), 0))),
INDIRECT(ADDRESS(1, MATCH(AG$1, INDEX(contents_raw, 2, 0), 0)) &amp; ":" &amp; ADDRESS(ROWS(contents_raw), MATCH(AG$1, INDEX(contents_raw, 2, 0), 0))), 0)</f>
        <v>26</v>
      </c>
      <c r="AH12" s="236" cm="1">
        <f t="array" aca="1" ref="AH12" ca="1">RANK(INDIRECT(ADDRESS(ROW(), MATCH(AH$1, INDEX(contents_raw, 2, 0), 0))),
INDIRECT(ADDRESS(1, MATCH(AH$1, INDEX(contents_raw, 2, 0), 0)) &amp; ":" &amp; ADDRESS(ROWS(contents_raw), MATCH(AH$1, INDEX(contents_raw, 2, 0), 0))), 0)</f>
        <v>22</v>
      </c>
      <c r="AI12" s="236" cm="1">
        <f t="array" aca="1" ref="AI12" ca="1">RANK(INDIRECT(ADDRESS(ROW(), MATCH(AI$1, INDEX(contents_raw, 2, 0), 0))),
INDIRECT(ADDRESS(1, MATCH(AI$1, INDEX(contents_raw, 2, 0), 0)) &amp; ":" &amp; ADDRESS(ROWS(contents_raw), MATCH(AI$1, INDEX(contents_raw, 2, 0), 0))), 0)</f>
        <v>30</v>
      </c>
    </row>
    <row r="13" spans="1:39">
      <c r="A13" s="47" t="s">
        <v>1124</v>
      </c>
      <c r="B13" s="340" t="s">
        <v>1125</v>
      </c>
      <c r="C13" s="47" t="s">
        <v>990</v>
      </c>
      <c r="D13" s="47" t="s">
        <v>1126</v>
      </c>
      <c r="E13" s="47" t="s">
        <v>992</v>
      </c>
      <c r="F13" s="47" t="s">
        <v>1075</v>
      </c>
      <c r="G13" s="47" t="s">
        <v>1114</v>
      </c>
      <c r="H13" s="47" t="s">
        <v>1115</v>
      </c>
      <c r="I13" s="47" t="s">
        <v>39</v>
      </c>
      <c r="J13" s="47">
        <v>50170</v>
      </c>
      <c r="K13" s="47">
        <v>9764</v>
      </c>
      <c r="L13" s="47">
        <v>0</v>
      </c>
      <c r="M13" s="47">
        <v>1917</v>
      </c>
      <c r="N13" s="47">
        <v>3.8210086524486542E-2</v>
      </c>
      <c r="O13" s="47">
        <v>242</v>
      </c>
      <c r="P13" s="47">
        <v>2</v>
      </c>
      <c r="Q13" s="47">
        <v>2</v>
      </c>
      <c r="R13" s="47">
        <v>42</v>
      </c>
      <c r="S13" s="47">
        <v>4.0422562509775162E-2</v>
      </c>
      <c r="T13" s="47" t="s">
        <v>40</v>
      </c>
      <c r="V13" s="236" t="str">
        <f t="shared" si="0"/>
        <v/>
      </c>
      <c r="W13" s="236" t="str">
        <f t="shared" si="1"/>
        <v/>
      </c>
      <c r="X13" s="237" t="str">
        <f t="shared" si="2"/>
        <v/>
      </c>
      <c r="Y13" s="236" t="str">
        <f t="shared" si="3"/>
        <v/>
      </c>
      <c r="Z13" s="238" t="str">
        <f t="shared" si="4"/>
        <v/>
      </c>
      <c r="AA13" s="237">
        <f t="shared" si="5"/>
        <v>45561</v>
      </c>
      <c r="AB13" s="236" t="str">
        <f>IF(AF13="","",RANK(AF13,AF:AF,0)+COUNTIF($AF$1:AF12,AF13))</f>
        <v/>
      </c>
      <c r="AC13" s="238" t="str">
        <f t="shared" si="6"/>
        <v/>
      </c>
      <c r="AD13" s="238" t="str">
        <f t="shared" si="7"/>
        <v/>
      </c>
      <c r="AE13" s="339" t="str">
        <f t="shared" si="8"/>
        <v/>
      </c>
      <c r="AF13" s="236" t="str">
        <f t="shared" si="9"/>
        <v/>
      </c>
      <c r="AG13" s="236" t="e" cm="1">
        <f t="array" aca="1" ref="AG13" ca="1">RANK(INDIRECT(ADDRESS(ROW(), MATCH(AG$1, INDEX(contents_raw, 2, 0), 0))),
INDIRECT(ADDRESS(1, MATCH(AG$1, INDEX(contents_raw, 2, 0), 0)) &amp; ":" &amp; ADDRESS(ROWS(contents_raw), MATCH(AG$1, INDEX(contents_raw, 2, 0), 0))), 0)</f>
        <v>#VALUE!</v>
      </c>
      <c r="AH13" s="236" t="e" cm="1">
        <f t="array" aca="1" ref="AH13" ca="1">RANK(INDIRECT(ADDRESS(ROW(), MATCH(AH$1, INDEX(contents_raw, 2, 0), 0))),
INDIRECT(ADDRESS(1, MATCH(AH$1, INDEX(contents_raw, 2, 0), 0)) &amp; ":" &amp; ADDRESS(ROWS(contents_raw), MATCH(AH$1, INDEX(contents_raw, 2, 0), 0))), 0)</f>
        <v>#VALUE!</v>
      </c>
      <c r="AI13" s="236" t="e" cm="1">
        <f t="array" aca="1" ref="AI13" ca="1">RANK(INDIRECT(ADDRESS(ROW(), MATCH(AI$1, INDEX(contents_raw, 2, 0), 0))),
INDIRECT(ADDRESS(1, MATCH(AI$1, INDEX(contents_raw, 2, 0), 0)) &amp; ":" &amp; ADDRESS(ROWS(contents_raw), MATCH(AI$1, INDEX(contents_raw, 2, 0), 0))), 0)</f>
        <v>#VALUE!</v>
      </c>
    </row>
    <row r="14" spans="1:39">
      <c r="A14" s="47" t="s">
        <v>1124</v>
      </c>
      <c r="B14" s="340" t="s">
        <v>1125</v>
      </c>
      <c r="C14" s="47" t="s">
        <v>142</v>
      </c>
      <c r="D14" s="47" t="s">
        <v>38</v>
      </c>
      <c r="E14" s="47" t="s">
        <v>992</v>
      </c>
      <c r="F14" s="47" t="s">
        <v>1075</v>
      </c>
      <c r="G14" s="47" t="s">
        <v>38</v>
      </c>
      <c r="H14" s="47" t="s">
        <v>38</v>
      </c>
      <c r="I14" s="47" t="s">
        <v>39</v>
      </c>
      <c r="J14" s="47">
        <v>52050</v>
      </c>
      <c r="K14" s="47">
        <v>11357</v>
      </c>
      <c r="L14" s="47" t="s">
        <v>38</v>
      </c>
      <c r="M14" s="47">
        <v>1974</v>
      </c>
      <c r="N14" s="47">
        <v>3.7925072014331818E-2</v>
      </c>
      <c r="O14" s="47">
        <v>312</v>
      </c>
      <c r="P14" s="47">
        <v>2</v>
      </c>
      <c r="Q14" s="47">
        <v>5</v>
      </c>
      <c r="R14" s="47">
        <v>42</v>
      </c>
      <c r="S14" s="47">
        <v>4.1460134088993073E-2</v>
      </c>
      <c r="T14" s="47" t="s">
        <v>40</v>
      </c>
      <c r="V14" s="236" t="str">
        <f t="shared" si="0"/>
        <v/>
      </c>
      <c r="W14" s="236" t="str">
        <f t="shared" si="1"/>
        <v/>
      </c>
      <c r="X14" s="237" t="str">
        <f t="shared" si="2"/>
        <v/>
      </c>
      <c r="Y14" s="236" t="str">
        <f t="shared" si="3"/>
        <v/>
      </c>
      <c r="Z14" s="238" t="str">
        <f t="shared" si="4"/>
        <v/>
      </c>
      <c r="AA14" s="237">
        <f t="shared" si="5"/>
        <v>45561</v>
      </c>
      <c r="AB14" s="236" t="str">
        <f>IF(AF14="","",RANK(AF14,AF:AF,0)+COUNTIF($AF$1:AF13,AF14))</f>
        <v/>
      </c>
      <c r="AC14" s="238" t="str">
        <f t="shared" si="6"/>
        <v/>
      </c>
      <c r="AD14" s="238" t="str">
        <f t="shared" si="7"/>
        <v/>
      </c>
      <c r="AE14" s="339" t="str">
        <f t="shared" si="8"/>
        <v/>
      </c>
      <c r="AF14" s="236" t="str">
        <f t="shared" si="9"/>
        <v/>
      </c>
      <c r="AG14" s="236" t="e" cm="1">
        <f t="array" aca="1" ref="AG14" ca="1">RANK(INDIRECT(ADDRESS(ROW(), MATCH(AG$1, INDEX(contents_raw, 2, 0), 0))),
INDIRECT(ADDRESS(1, MATCH(AG$1, INDEX(contents_raw, 2, 0), 0)) &amp; ":" &amp; ADDRESS(ROWS(contents_raw), MATCH(AG$1, INDEX(contents_raw, 2, 0), 0))), 0)</f>
        <v>#VALUE!</v>
      </c>
      <c r="AH14" s="236" t="e" cm="1">
        <f t="array" aca="1" ref="AH14" ca="1">RANK(INDIRECT(ADDRESS(ROW(), MATCH(AH$1, INDEX(contents_raw, 2, 0), 0))),
INDIRECT(ADDRESS(1, MATCH(AH$1, INDEX(contents_raw, 2, 0), 0)) &amp; ":" &amp; ADDRESS(ROWS(contents_raw), MATCH(AH$1, INDEX(contents_raw, 2, 0), 0))), 0)</f>
        <v>#VALUE!</v>
      </c>
      <c r="AI14" s="236" t="e" cm="1">
        <f t="array" aca="1" ref="AI14" ca="1">RANK(INDIRECT(ADDRESS(ROW(), MATCH(AI$1, INDEX(contents_raw, 2, 0), 0))),
INDIRECT(ADDRESS(1, MATCH(AI$1, INDEX(contents_raw, 2, 0), 0)) &amp; ":" &amp; ADDRESS(ROWS(contents_raw), MATCH(AI$1, INDEX(contents_raw, 2, 0), 0))), 0)</f>
        <v>#VALUE!</v>
      </c>
    </row>
    <row r="15" spans="1:39">
      <c r="A15" s="47" t="s">
        <v>1127</v>
      </c>
      <c r="B15" s="340" t="s">
        <v>1128</v>
      </c>
      <c r="C15" s="47" t="s">
        <v>37</v>
      </c>
      <c r="D15" s="47" t="s">
        <v>38</v>
      </c>
      <c r="E15" s="47" t="s">
        <v>708</v>
      </c>
      <c r="F15" s="47" t="s">
        <v>1074</v>
      </c>
      <c r="G15" s="47" t="s">
        <v>38</v>
      </c>
      <c r="H15" s="47" t="s">
        <v>38</v>
      </c>
      <c r="I15" s="47" t="s">
        <v>39</v>
      </c>
      <c r="J15" s="47">
        <v>2058</v>
      </c>
      <c r="K15" s="47">
        <v>586</v>
      </c>
      <c r="L15" s="47" t="s">
        <v>38</v>
      </c>
      <c r="M15" s="47">
        <v>70</v>
      </c>
      <c r="N15" s="47">
        <v>3.4013606607913971E-2</v>
      </c>
      <c r="O15" s="47">
        <v>28</v>
      </c>
      <c r="P15" s="47">
        <v>4</v>
      </c>
      <c r="Q15" s="47">
        <v>1</v>
      </c>
      <c r="R15" s="47" t="s">
        <v>38</v>
      </c>
      <c r="S15" s="47">
        <v>5.0048589706420898E-2</v>
      </c>
      <c r="T15" s="47" t="s">
        <v>40</v>
      </c>
      <c r="V15" s="236">
        <f t="shared" si="0"/>
        <v>19</v>
      </c>
      <c r="W15" s="236">
        <f t="shared" si="1"/>
        <v>19</v>
      </c>
      <c r="X15" s="237">
        <f t="shared" si="2"/>
        <v>45560</v>
      </c>
      <c r="Y15" s="236">
        <f t="shared" si="3"/>
        <v>103</v>
      </c>
      <c r="Z15" s="238">
        <f t="shared" si="4"/>
        <v>5.0048590864917399E-2</v>
      </c>
      <c r="AA15" s="237">
        <f t="shared" si="5"/>
        <v>45560</v>
      </c>
      <c r="AB15" s="236">
        <f>IF(AF15="","",RANK(AF15,AF:AF,0)+COUNTIF($AF$1:AF14,AF15))</f>
        <v>8</v>
      </c>
      <c r="AC15" s="238">
        <f t="shared" si="6"/>
        <v>0.23449951409135081</v>
      </c>
      <c r="AD15" s="238">
        <f t="shared" si="7"/>
        <v>3.4013606607913971E-2</v>
      </c>
      <c r="AE15" s="339">
        <f t="shared" si="8"/>
        <v>2058</v>
      </c>
      <c r="AF15" s="236">
        <f t="shared" si="9"/>
        <v>586</v>
      </c>
      <c r="AG15" s="236" cm="1">
        <f t="array" aca="1" ref="AG15" ca="1">RANK(INDIRECT(ADDRESS(ROW(), MATCH(AG$1, INDEX(contents_raw, 2, 0), 0))),
INDIRECT(ADDRESS(1, MATCH(AG$1, INDEX(contents_raw, 2, 0), 0)) &amp; ":" &amp; ADDRESS(ROWS(contents_raw), MATCH(AG$1, INDEX(contents_raw, 2, 0), 0))), 0)</f>
        <v>29</v>
      </c>
      <c r="AH15" s="236" cm="1">
        <f t="array" aca="1" ref="AH15" ca="1">RANK(INDIRECT(ADDRESS(ROW(), MATCH(AH$1, INDEX(contents_raw, 2, 0), 0))),
INDIRECT(ADDRESS(1, MATCH(AH$1, INDEX(contents_raw, 2, 0), 0)) &amp; ":" &amp; ADDRESS(ROWS(contents_raw), MATCH(AH$1, INDEX(contents_raw, 2, 0), 0))), 0)</f>
        <v>19</v>
      </c>
      <c r="AI15" s="236" cm="1">
        <f t="array" aca="1" ref="AI15" ca="1">RANK(INDIRECT(ADDRESS(ROW(), MATCH(AI$1, INDEX(contents_raw, 2, 0), 0))),
INDIRECT(ADDRESS(1, MATCH(AI$1, INDEX(contents_raw, 2, 0), 0)) &amp; ":" &amp; ADDRESS(ROWS(contents_raw), MATCH(AI$1, INDEX(contents_raw, 2, 0), 0))), 0)</f>
        <v>29</v>
      </c>
    </row>
    <row r="16" spans="1:39">
      <c r="A16" s="47" t="s">
        <v>1129</v>
      </c>
      <c r="B16" s="340" t="s">
        <v>1130</v>
      </c>
      <c r="C16" s="47" t="s">
        <v>37</v>
      </c>
      <c r="D16" s="47" t="s">
        <v>38</v>
      </c>
      <c r="E16" s="47" t="s">
        <v>708</v>
      </c>
      <c r="F16" s="47" t="s">
        <v>1073</v>
      </c>
      <c r="G16" s="47" t="s">
        <v>38</v>
      </c>
      <c r="H16" s="47" t="s">
        <v>38</v>
      </c>
      <c r="I16" s="47" t="s">
        <v>39</v>
      </c>
      <c r="J16" s="47">
        <v>3721</v>
      </c>
      <c r="K16" s="47">
        <v>1240</v>
      </c>
      <c r="L16" s="47" t="s">
        <v>38</v>
      </c>
      <c r="M16" s="47">
        <v>156</v>
      </c>
      <c r="N16" s="47">
        <v>4.1924212127923965E-2</v>
      </c>
      <c r="O16" s="47">
        <v>40</v>
      </c>
      <c r="P16" s="47">
        <v>0</v>
      </c>
      <c r="Q16" s="47">
        <v>1</v>
      </c>
      <c r="R16" s="47" t="s">
        <v>38</v>
      </c>
      <c r="S16" s="47">
        <v>5.2942756563425064E-2</v>
      </c>
      <c r="T16" s="47" t="s">
        <v>40</v>
      </c>
      <c r="V16" s="236">
        <f t="shared" si="0"/>
        <v>18</v>
      </c>
      <c r="W16" s="236">
        <f t="shared" si="1"/>
        <v>18</v>
      </c>
      <c r="X16" s="237">
        <f t="shared" si="2"/>
        <v>45559</v>
      </c>
      <c r="Y16" s="236">
        <f t="shared" si="3"/>
        <v>197</v>
      </c>
      <c r="Z16" s="238">
        <f t="shared" si="4"/>
        <v>5.2942757323300185E-2</v>
      </c>
      <c r="AA16" s="237">
        <f t="shared" si="5"/>
        <v>45559</v>
      </c>
      <c r="AB16" s="236">
        <f>IF(AF16="","",RANK(AF16,AF:AF,0)+COUNTIF($AF$1:AF15,AF16))</f>
        <v>7</v>
      </c>
      <c r="AC16" s="238">
        <f t="shared" si="6"/>
        <v>0.26965869389948938</v>
      </c>
      <c r="AD16" s="238">
        <f t="shared" si="7"/>
        <v>4.1924212127923965E-2</v>
      </c>
      <c r="AE16" s="339">
        <f t="shared" si="8"/>
        <v>3721</v>
      </c>
      <c r="AF16" s="236">
        <f t="shared" si="9"/>
        <v>1240</v>
      </c>
      <c r="AG16" s="236" cm="1">
        <f t="array" aca="1" ref="AG16" ca="1">RANK(INDIRECT(ADDRESS(ROW(), MATCH(AG$1, INDEX(contents_raw, 2, 0), 0))),
INDIRECT(ADDRESS(1, MATCH(AG$1, INDEX(contents_raw, 2, 0), 0)) &amp; ":" &amp; ADDRESS(ROWS(contents_raw), MATCH(AG$1, INDEX(contents_raw, 2, 0), 0))), 0)</f>
        <v>21</v>
      </c>
      <c r="AH16" s="236" cm="1">
        <f t="array" aca="1" ref="AH16" ca="1">RANK(INDIRECT(ADDRESS(ROW(), MATCH(AH$1, INDEX(contents_raw, 2, 0), 0))),
INDIRECT(ADDRESS(1, MATCH(AH$1, INDEX(contents_raw, 2, 0), 0)) &amp; ":" &amp; ADDRESS(ROWS(contents_raw), MATCH(AH$1, INDEX(contents_raw, 2, 0), 0))), 0)</f>
        <v>17</v>
      </c>
      <c r="AI16" s="236" cm="1">
        <f t="array" aca="1" ref="AI16" ca="1">RANK(INDIRECT(ADDRESS(ROW(), MATCH(AI$1, INDEX(contents_raw, 2, 0), 0))),
INDIRECT(ADDRESS(1, MATCH(AI$1, INDEX(contents_raw, 2, 0), 0)) &amp; ":" &amp; ADDRESS(ROWS(contents_raw), MATCH(AI$1, INDEX(contents_raw, 2, 0), 0))), 0)</f>
        <v>23</v>
      </c>
    </row>
    <row r="17" spans="1:35">
      <c r="A17" s="47" t="s">
        <v>1131</v>
      </c>
      <c r="B17" s="340" t="s">
        <v>1132</v>
      </c>
      <c r="C17" s="47" t="s">
        <v>37</v>
      </c>
      <c r="D17" s="47" t="s">
        <v>38</v>
      </c>
      <c r="E17" s="47" t="s">
        <v>708</v>
      </c>
      <c r="F17" s="47" t="s">
        <v>1073</v>
      </c>
      <c r="G17" s="47" t="s">
        <v>38</v>
      </c>
      <c r="H17" s="47" t="s">
        <v>38</v>
      </c>
      <c r="I17" s="47" t="s">
        <v>39</v>
      </c>
      <c r="J17" s="47">
        <v>5819</v>
      </c>
      <c r="K17" s="47" t="s">
        <v>38</v>
      </c>
      <c r="L17" s="47" t="s">
        <v>38</v>
      </c>
      <c r="M17" s="47">
        <v>152</v>
      </c>
      <c r="N17" s="47">
        <v>2.6121325790882111E-2</v>
      </c>
      <c r="O17" s="47">
        <v>43</v>
      </c>
      <c r="P17" s="47">
        <v>0</v>
      </c>
      <c r="Q17" s="47">
        <v>1</v>
      </c>
      <c r="R17" s="47" t="s">
        <v>38</v>
      </c>
      <c r="S17" s="47">
        <v>3.3682763576507568E-2</v>
      </c>
      <c r="T17" s="47" t="s">
        <v>38</v>
      </c>
      <c r="V17" s="236">
        <f t="shared" si="0"/>
        <v>25</v>
      </c>
      <c r="W17" s="236">
        <f t="shared" si="1"/>
        <v>25</v>
      </c>
      <c r="X17" s="237">
        <f t="shared" si="2"/>
        <v>45559</v>
      </c>
      <c r="Y17" s="236">
        <f t="shared" si="3"/>
        <v>196</v>
      </c>
      <c r="Z17" s="238">
        <f t="shared" si="4"/>
        <v>3.3682763361402301E-2</v>
      </c>
      <c r="AA17" s="237">
        <f t="shared" si="5"/>
        <v>45559</v>
      </c>
      <c r="AB17" s="236" t="str">
        <f>IF(AF17="","",RANK(AF17,AF:AF,0)+COUNTIF($AF$1:AF16,AF17))</f>
        <v/>
      </c>
      <c r="AC17" s="238" t="str">
        <f t="shared" si="6"/>
        <v/>
      </c>
      <c r="AD17" s="238">
        <f t="shared" si="7"/>
        <v>2.6121325790882111E-2</v>
      </c>
      <c r="AE17" s="339">
        <f t="shared" si="8"/>
        <v>5819</v>
      </c>
      <c r="AF17" s="236" t="str">
        <f t="shared" si="9"/>
        <v/>
      </c>
      <c r="AG17" s="236" cm="1">
        <f t="array" aca="1" ref="AG17" ca="1">RANK(INDIRECT(ADDRESS(ROW(), MATCH(AG$1, INDEX(contents_raw, 2, 0), 0))),
INDIRECT(ADDRESS(1, MATCH(AG$1, INDEX(contents_raw, 2, 0), 0)) &amp; ":" &amp; ADDRESS(ROWS(contents_raw), MATCH(AG$1, INDEX(contents_raw, 2, 0), 0))), 0)</f>
        <v>22</v>
      </c>
      <c r="AH17" s="236" cm="1">
        <f t="array" aca="1" ref="AH17" ca="1">RANK(INDIRECT(ADDRESS(ROW(), MATCH(AH$1, INDEX(contents_raw, 2, 0), 0))),
INDIRECT(ADDRESS(1, MATCH(AH$1, INDEX(contents_raw, 2, 0), 0)) &amp; ":" &amp; ADDRESS(ROWS(contents_raw), MATCH(AH$1, INDEX(contents_raw, 2, 0), 0))), 0)</f>
        <v>26</v>
      </c>
      <c r="AI17" s="236" cm="1">
        <f t="array" aca="1" ref="AI17" ca="1">RANK(INDIRECT(ADDRESS(ROW(), MATCH(AI$1, INDEX(contents_raw, 2, 0), 0))),
INDIRECT(ADDRESS(1, MATCH(AI$1, INDEX(contents_raw, 2, 0), 0)) &amp; ":" &amp; ADDRESS(ROWS(contents_raw), MATCH(AI$1, INDEX(contents_raw, 2, 0), 0))), 0)</f>
        <v>10</v>
      </c>
    </row>
    <row r="18" spans="1:35">
      <c r="A18" s="47" t="s">
        <v>1133</v>
      </c>
      <c r="B18" s="340" t="s">
        <v>1134</v>
      </c>
      <c r="C18" s="47" t="s">
        <v>37</v>
      </c>
      <c r="D18" s="47" t="s">
        <v>38</v>
      </c>
      <c r="E18" s="47" t="s">
        <v>708</v>
      </c>
      <c r="F18" s="47" t="s">
        <v>1069</v>
      </c>
      <c r="G18" s="47" t="s">
        <v>38</v>
      </c>
      <c r="H18" s="47" t="s">
        <v>38</v>
      </c>
      <c r="I18" s="47" t="s">
        <v>39</v>
      </c>
      <c r="J18" s="47">
        <v>18335</v>
      </c>
      <c r="K18" s="47" t="s">
        <v>38</v>
      </c>
      <c r="L18" s="47" t="s">
        <v>38</v>
      </c>
      <c r="M18" s="47">
        <v>510</v>
      </c>
      <c r="N18" s="47">
        <v>2.7815653011202812E-2</v>
      </c>
      <c r="O18" s="47">
        <v>27</v>
      </c>
      <c r="P18" s="47">
        <v>2</v>
      </c>
      <c r="Q18" s="47">
        <v>0</v>
      </c>
      <c r="R18" s="47" t="s">
        <v>38</v>
      </c>
      <c r="S18" s="47">
        <v>2.9397327452898026E-2</v>
      </c>
      <c r="T18" s="47" t="s">
        <v>38</v>
      </c>
      <c r="V18" s="236">
        <f t="shared" si="0"/>
        <v>28</v>
      </c>
      <c r="W18" s="236">
        <f t="shared" si="1"/>
        <v>28</v>
      </c>
      <c r="X18" s="237">
        <f t="shared" si="2"/>
        <v>45555</v>
      </c>
      <c r="Y18" s="236">
        <f t="shared" si="3"/>
        <v>539</v>
      </c>
      <c r="Z18" s="238">
        <f t="shared" si="4"/>
        <v>2.9397327515680392E-2</v>
      </c>
      <c r="AA18" s="237">
        <f t="shared" si="5"/>
        <v>45555</v>
      </c>
      <c r="AB18" s="236" t="str">
        <f>IF(AF18="","",RANK(AF18,AF:AF,0)+COUNTIF($AF$1:AF17,AF18))</f>
        <v/>
      </c>
      <c r="AC18" s="238" t="str">
        <f t="shared" si="6"/>
        <v/>
      </c>
      <c r="AD18" s="238">
        <f t="shared" si="7"/>
        <v>2.7815653011202812E-2</v>
      </c>
      <c r="AE18" s="339">
        <f t="shared" si="8"/>
        <v>18335</v>
      </c>
      <c r="AF18" s="236" t="str">
        <f t="shared" si="9"/>
        <v/>
      </c>
      <c r="AG18" s="236" cm="1">
        <f t="array" aca="1" ref="AG18" ca="1">RANK(INDIRECT(ADDRESS(ROW(), MATCH(AG$1, INDEX(contents_raw, 2, 0), 0))),
INDIRECT(ADDRESS(1, MATCH(AG$1, INDEX(contents_raw, 2, 0), 0)) &amp; ":" &amp; ADDRESS(ROWS(contents_raw), MATCH(AG$1, INDEX(contents_raw, 2, 0), 0))), 0)</f>
        <v>11</v>
      </c>
      <c r="AH18" s="236" cm="1">
        <f t="array" aca="1" ref="AH18" ca="1">RANK(INDIRECT(ADDRESS(ROW(), MATCH(AH$1, INDEX(contents_raw, 2, 0), 0))),
INDIRECT(ADDRESS(1, MATCH(AH$1, INDEX(contents_raw, 2, 0), 0)) &amp; ":" &amp; ADDRESS(ROWS(contents_raw), MATCH(AH$1, INDEX(contents_raw, 2, 0), 0))), 0)</f>
        <v>23</v>
      </c>
      <c r="AI18" s="236" cm="1">
        <f t="array" aca="1" ref="AI18" ca="1">RANK(INDIRECT(ADDRESS(ROW(), MATCH(AI$1, INDEX(contents_raw, 2, 0), 0))),
INDIRECT(ADDRESS(1, MATCH(AI$1, INDEX(contents_raw, 2, 0), 0)) &amp; ":" &amp; ADDRESS(ROWS(contents_raw), MATCH(AI$1, INDEX(contents_raw, 2, 0), 0))), 0)</f>
        <v>2</v>
      </c>
    </row>
    <row r="19" spans="1:35">
      <c r="A19" s="47" t="s">
        <v>1135</v>
      </c>
      <c r="B19" s="340" t="s">
        <v>1136</v>
      </c>
      <c r="C19" s="47" t="s">
        <v>37</v>
      </c>
      <c r="D19" s="47" t="s">
        <v>38</v>
      </c>
      <c r="E19" s="47" t="s">
        <v>708</v>
      </c>
      <c r="F19" s="47" t="s">
        <v>1069</v>
      </c>
      <c r="G19" s="47" t="s">
        <v>38</v>
      </c>
      <c r="H19" s="47" t="s">
        <v>38</v>
      </c>
      <c r="I19" s="47" t="s">
        <v>39</v>
      </c>
      <c r="J19" s="47">
        <v>6774</v>
      </c>
      <c r="K19" s="47" t="s">
        <v>38</v>
      </c>
      <c r="L19" s="47" t="s">
        <v>38</v>
      </c>
      <c r="M19" s="47">
        <v>1819</v>
      </c>
      <c r="N19" s="47">
        <v>0.26852673292160034</v>
      </c>
      <c r="O19" s="47">
        <v>49</v>
      </c>
      <c r="P19" s="47">
        <v>0</v>
      </c>
      <c r="Q19" s="47">
        <v>5</v>
      </c>
      <c r="R19" s="47" t="s">
        <v>38</v>
      </c>
      <c r="S19" s="47">
        <v>0.27649837732315063</v>
      </c>
      <c r="T19" s="47" t="s">
        <v>38</v>
      </c>
      <c r="V19" s="236">
        <f t="shared" si="0"/>
        <v>2</v>
      </c>
      <c r="W19" s="236">
        <f t="shared" si="1"/>
        <v>2</v>
      </c>
      <c r="X19" s="237">
        <f t="shared" si="2"/>
        <v>45555</v>
      </c>
      <c r="Y19" s="236">
        <f t="shared" si="3"/>
        <v>1873</v>
      </c>
      <c r="Z19" s="238">
        <f t="shared" si="4"/>
        <v>0.27649837614408029</v>
      </c>
      <c r="AA19" s="237">
        <f t="shared" si="5"/>
        <v>45555</v>
      </c>
      <c r="AB19" s="236" t="str">
        <f>IF(AF19="","",RANK(AF19,AF:AF,0)+COUNTIF($AF$1:AF18,AF19))</f>
        <v/>
      </c>
      <c r="AC19" s="238" t="str">
        <f t="shared" si="6"/>
        <v/>
      </c>
      <c r="AD19" s="238">
        <f t="shared" si="7"/>
        <v>0.26852673292160034</v>
      </c>
      <c r="AE19" s="339">
        <f t="shared" si="8"/>
        <v>6774</v>
      </c>
      <c r="AF19" s="236" t="str">
        <f t="shared" si="9"/>
        <v/>
      </c>
      <c r="AG19" s="236" cm="1">
        <f t="array" aca="1" ref="AG19" ca="1">RANK(INDIRECT(ADDRESS(ROW(), MATCH(AG$1, INDEX(contents_raw, 2, 0), 0))),
INDIRECT(ADDRESS(1, MATCH(AG$1, INDEX(contents_raw, 2, 0), 0)) &amp; ":" &amp; ADDRESS(ROWS(contents_raw), MATCH(AG$1, INDEX(contents_raw, 2, 0), 0))), 0)</f>
        <v>3</v>
      </c>
      <c r="AH19" s="236" cm="1">
        <f t="array" aca="1" ref="AH19" ca="1">RANK(INDIRECT(ADDRESS(ROW(), MATCH(AH$1, INDEX(contents_raw, 2, 0), 0))),
INDIRECT(ADDRESS(1, MATCH(AH$1, INDEX(contents_raw, 2, 0), 0)) &amp; ":" &amp; ADDRESS(ROWS(contents_raw), MATCH(AH$1, INDEX(contents_raw, 2, 0), 0))), 0)</f>
        <v>2</v>
      </c>
      <c r="AI19" s="236" cm="1">
        <f t="array" aca="1" ref="AI19" ca="1">RANK(INDIRECT(ADDRESS(ROW(), MATCH(AI$1, INDEX(contents_raw, 2, 0), 0))),
INDIRECT(ADDRESS(1, MATCH(AI$1, INDEX(contents_raw, 2, 0), 0)) &amp; ":" &amp; ADDRESS(ROWS(contents_raw), MATCH(AI$1, INDEX(contents_raw, 2, 0), 0))), 0)</f>
        <v>7</v>
      </c>
    </row>
    <row r="20" spans="1:35">
      <c r="A20" s="47" t="s">
        <v>1135</v>
      </c>
      <c r="B20" s="340" t="s">
        <v>1136</v>
      </c>
      <c r="C20" s="47" t="s">
        <v>990</v>
      </c>
      <c r="D20" s="47" t="s">
        <v>1113</v>
      </c>
      <c r="E20" s="47" t="s">
        <v>708</v>
      </c>
      <c r="F20" s="47" t="s">
        <v>1069</v>
      </c>
      <c r="G20" s="47" t="s">
        <v>1114</v>
      </c>
      <c r="H20" s="47" t="s">
        <v>1115</v>
      </c>
      <c r="I20" s="47" t="s">
        <v>39</v>
      </c>
      <c r="J20" s="47">
        <v>2887</v>
      </c>
      <c r="K20" s="47" t="s">
        <v>38</v>
      </c>
      <c r="L20" s="47" t="s">
        <v>38</v>
      </c>
      <c r="M20" s="47">
        <v>190</v>
      </c>
      <c r="N20" s="47">
        <v>6.5812259912490845E-2</v>
      </c>
      <c r="O20" s="47">
        <v>0</v>
      </c>
      <c r="P20" s="47">
        <v>0</v>
      </c>
      <c r="Q20" s="47">
        <v>0</v>
      </c>
      <c r="R20" s="47">
        <v>0</v>
      </c>
      <c r="S20" s="47">
        <v>0.11291998624801636</v>
      </c>
      <c r="T20" s="47" t="s">
        <v>38</v>
      </c>
      <c r="V20" s="236" t="str">
        <f t="shared" si="0"/>
        <v/>
      </c>
      <c r="W20" s="236" t="str">
        <f t="shared" si="1"/>
        <v/>
      </c>
      <c r="X20" s="237" t="str">
        <f t="shared" si="2"/>
        <v/>
      </c>
      <c r="Y20" s="236" t="str">
        <f t="shared" si="3"/>
        <v/>
      </c>
      <c r="Z20" s="238" t="str">
        <f t="shared" si="4"/>
        <v/>
      </c>
      <c r="AA20" s="237">
        <f t="shared" si="5"/>
        <v>45555</v>
      </c>
      <c r="AB20" s="236" t="str">
        <f>IF(AF20="","",RANK(AF20,AF:AF,0)+COUNTIF($AF$1:AF19,AF20))</f>
        <v/>
      </c>
      <c r="AC20" s="238" t="str">
        <f t="shared" si="6"/>
        <v/>
      </c>
      <c r="AD20" s="238" t="str">
        <f t="shared" si="7"/>
        <v/>
      </c>
      <c r="AE20" s="339" t="str">
        <f t="shared" si="8"/>
        <v/>
      </c>
      <c r="AF20" s="236" t="str">
        <f t="shared" si="9"/>
        <v/>
      </c>
      <c r="AG20" s="236" t="e" cm="1">
        <f t="array" aca="1" ref="AG20" ca="1">RANK(INDIRECT(ADDRESS(ROW(), MATCH(AG$1, INDEX(contents_raw, 2, 0), 0))),
INDIRECT(ADDRESS(1, MATCH(AG$1, INDEX(contents_raw, 2, 0), 0)) &amp; ":" &amp; ADDRESS(ROWS(contents_raw), MATCH(AG$1, INDEX(contents_raw, 2, 0), 0))), 0)</f>
        <v>#VALUE!</v>
      </c>
      <c r="AH20" s="236" t="e" cm="1">
        <f t="array" aca="1" ref="AH20" ca="1">RANK(INDIRECT(ADDRESS(ROW(), MATCH(AH$1, INDEX(contents_raw, 2, 0), 0))),
INDIRECT(ADDRESS(1, MATCH(AH$1, INDEX(contents_raw, 2, 0), 0)) &amp; ":" &amp; ADDRESS(ROWS(contents_raw), MATCH(AH$1, INDEX(contents_raw, 2, 0), 0))), 0)</f>
        <v>#VALUE!</v>
      </c>
      <c r="AI20" s="236" t="e" cm="1">
        <f t="array" aca="1" ref="AI20" ca="1">RANK(INDIRECT(ADDRESS(ROW(), MATCH(AI$1, INDEX(contents_raw, 2, 0), 0))),
INDIRECT(ADDRESS(1, MATCH(AI$1, INDEX(contents_raw, 2, 0), 0)) &amp; ":" &amp; ADDRESS(ROWS(contents_raw), MATCH(AI$1, INDEX(contents_raw, 2, 0), 0))), 0)</f>
        <v>#VALUE!</v>
      </c>
    </row>
    <row r="21" spans="1:35">
      <c r="A21" s="47" t="s">
        <v>1135</v>
      </c>
      <c r="B21" s="340" t="s">
        <v>1136</v>
      </c>
      <c r="C21" s="47" t="s">
        <v>990</v>
      </c>
      <c r="D21" s="47" t="s">
        <v>1117</v>
      </c>
      <c r="E21" s="47" t="s">
        <v>708</v>
      </c>
      <c r="F21" s="47" t="s">
        <v>1069</v>
      </c>
      <c r="G21" s="47" t="s">
        <v>1114</v>
      </c>
      <c r="H21" s="47" t="s">
        <v>1115</v>
      </c>
      <c r="I21" s="47" t="s">
        <v>39</v>
      </c>
      <c r="J21" s="47">
        <v>1119</v>
      </c>
      <c r="K21" s="47" t="s">
        <v>38</v>
      </c>
      <c r="L21" s="47" t="s">
        <v>38</v>
      </c>
      <c r="M21" s="47">
        <v>26</v>
      </c>
      <c r="N21" s="47">
        <v>2.3235030472278595E-2</v>
      </c>
      <c r="O21" s="47">
        <v>0</v>
      </c>
      <c r="P21" s="47">
        <v>0</v>
      </c>
      <c r="Q21" s="47">
        <v>0</v>
      </c>
      <c r="R21" s="47">
        <v>0</v>
      </c>
      <c r="S21" s="47">
        <v>4.825737327337265E-2</v>
      </c>
      <c r="T21" s="47" t="s">
        <v>38</v>
      </c>
      <c r="V21" s="236" t="str">
        <f t="shared" ref="V21:V48" si="10">IF(Z21="","",_xlfn.RANK.EQ(Z21,Z:Z,0))</f>
        <v/>
      </c>
      <c r="W21" s="236" t="str">
        <f t="shared" ref="W21:W48" si="11">IF(V21="","",_xlfn.RANK.EQ(V21,V:V,1))</f>
        <v/>
      </c>
      <c r="X21" s="237" t="str">
        <f t="shared" si="2"/>
        <v/>
      </c>
      <c r="Y21" s="236" t="str">
        <f t="shared" si="3"/>
        <v/>
      </c>
      <c r="Z21" s="238" t="str">
        <f t="shared" si="4"/>
        <v/>
      </c>
      <c r="AA21" s="237">
        <f t="shared" si="5"/>
        <v>45555</v>
      </c>
      <c r="AB21" s="236" t="str">
        <f>IF(AF21="","",RANK(AF21,AF:AF,0)+COUNTIF($AF$1:AF20,AF21))</f>
        <v/>
      </c>
      <c r="AC21" s="238" t="str">
        <f t="shared" si="6"/>
        <v/>
      </c>
      <c r="AD21" s="238" t="str">
        <f t="shared" si="7"/>
        <v/>
      </c>
      <c r="AE21" s="339" t="str">
        <f t="shared" si="8"/>
        <v/>
      </c>
      <c r="AF21" s="236" t="str">
        <f t="shared" si="9"/>
        <v/>
      </c>
      <c r="AG21" s="236" t="e" cm="1">
        <f t="array" aca="1" ref="AG21" ca="1">RANK(INDIRECT(ADDRESS(ROW(), MATCH(AG$1, INDEX(contents_raw, 2, 0), 0))),
INDIRECT(ADDRESS(1, MATCH(AG$1, INDEX(contents_raw, 2, 0), 0)) &amp; ":" &amp; ADDRESS(ROWS(contents_raw), MATCH(AG$1, INDEX(contents_raw, 2, 0), 0))), 0)</f>
        <v>#VALUE!</v>
      </c>
      <c r="AH21" s="236" t="e" cm="1">
        <f t="array" aca="1" ref="AH21" ca="1">RANK(INDIRECT(ADDRESS(ROW(), MATCH(AH$1, INDEX(contents_raw, 2, 0), 0))),
INDIRECT(ADDRESS(1, MATCH(AH$1, INDEX(contents_raw, 2, 0), 0)) &amp; ":" &amp; ADDRESS(ROWS(contents_raw), MATCH(AH$1, INDEX(contents_raw, 2, 0), 0))), 0)</f>
        <v>#VALUE!</v>
      </c>
      <c r="AI21" s="236" t="e" cm="1">
        <f t="array" aca="1" ref="AI21" ca="1">RANK(INDIRECT(ADDRESS(ROW(), MATCH(AI$1, INDEX(contents_raw, 2, 0), 0))),
INDIRECT(ADDRESS(1, MATCH(AI$1, INDEX(contents_raw, 2, 0), 0)) &amp; ":" &amp; ADDRESS(ROWS(contents_raw), MATCH(AI$1, INDEX(contents_raw, 2, 0), 0))), 0)</f>
        <v>#VALUE!</v>
      </c>
    </row>
    <row r="22" spans="1:35">
      <c r="A22" s="47" t="s">
        <v>1135</v>
      </c>
      <c r="B22" s="340" t="s">
        <v>1136</v>
      </c>
      <c r="C22" s="47" t="s">
        <v>990</v>
      </c>
      <c r="D22" s="47" t="s">
        <v>1116</v>
      </c>
      <c r="E22" s="47" t="s">
        <v>708</v>
      </c>
      <c r="F22" s="47" t="s">
        <v>1069</v>
      </c>
      <c r="G22" s="47" t="s">
        <v>1114</v>
      </c>
      <c r="H22" s="47" t="s">
        <v>1115</v>
      </c>
      <c r="I22" s="47" t="s">
        <v>39</v>
      </c>
      <c r="J22" s="47">
        <v>68774</v>
      </c>
      <c r="K22" s="47" t="s">
        <v>38</v>
      </c>
      <c r="L22" s="47" t="s">
        <v>38</v>
      </c>
      <c r="M22" s="47">
        <v>4796</v>
      </c>
      <c r="N22" s="47">
        <v>6.9735653698444366E-2</v>
      </c>
      <c r="O22" s="47">
        <v>14</v>
      </c>
      <c r="P22" s="47">
        <v>0</v>
      </c>
      <c r="Q22" s="47">
        <v>0</v>
      </c>
      <c r="R22" s="47">
        <v>18</v>
      </c>
      <c r="S22" s="47">
        <v>0.1851571798324585</v>
      </c>
      <c r="T22" s="47" t="s">
        <v>38</v>
      </c>
      <c r="V22" s="236" t="str">
        <f t="shared" si="10"/>
        <v/>
      </c>
      <c r="W22" s="236" t="str">
        <f t="shared" si="11"/>
        <v/>
      </c>
      <c r="X22" s="237" t="str">
        <f t="shared" si="2"/>
        <v/>
      </c>
      <c r="Y22" s="236" t="str">
        <f t="shared" si="3"/>
        <v/>
      </c>
      <c r="Z22" s="238" t="str">
        <f t="shared" si="4"/>
        <v/>
      </c>
      <c r="AA22" s="237">
        <f t="shared" si="5"/>
        <v>45555</v>
      </c>
      <c r="AB22" s="236" t="str">
        <f>IF(AF22="","",RANK(AF22,AF:AF,0)+COUNTIF($AF$1:AF21,AF22))</f>
        <v/>
      </c>
      <c r="AC22" s="238" t="str">
        <f t="shared" si="6"/>
        <v/>
      </c>
      <c r="AD22" s="238" t="str">
        <f t="shared" si="7"/>
        <v/>
      </c>
      <c r="AE22" s="339" t="str">
        <f t="shared" si="8"/>
        <v/>
      </c>
      <c r="AF22" s="236" t="str">
        <f t="shared" si="9"/>
        <v/>
      </c>
      <c r="AG22" s="236" t="e" cm="1">
        <f t="array" aca="1" ref="AG22" ca="1">RANK(INDIRECT(ADDRESS(ROW(), MATCH(AG$1, INDEX(contents_raw, 2, 0), 0))),
INDIRECT(ADDRESS(1, MATCH(AG$1, INDEX(contents_raw, 2, 0), 0)) &amp; ":" &amp; ADDRESS(ROWS(contents_raw), MATCH(AG$1, INDEX(contents_raw, 2, 0), 0))), 0)</f>
        <v>#VALUE!</v>
      </c>
      <c r="AH22" s="236" t="e" cm="1">
        <f t="array" aca="1" ref="AH22" ca="1">RANK(INDIRECT(ADDRESS(ROW(), MATCH(AH$1, INDEX(contents_raw, 2, 0), 0))),
INDIRECT(ADDRESS(1, MATCH(AH$1, INDEX(contents_raw, 2, 0), 0)) &amp; ":" &amp; ADDRESS(ROWS(contents_raw), MATCH(AH$1, INDEX(contents_raw, 2, 0), 0))), 0)</f>
        <v>#VALUE!</v>
      </c>
      <c r="AI22" s="236" t="e" cm="1">
        <f t="array" aca="1" ref="AI22" ca="1">RANK(INDIRECT(ADDRESS(ROW(), MATCH(AI$1, INDEX(contents_raw, 2, 0), 0))),
INDIRECT(ADDRESS(1, MATCH(AI$1, INDEX(contents_raw, 2, 0), 0)) &amp; ":" &amp; ADDRESS(ROWS(contents_raw), MATCH(AI$1, INDEX(contents_raw, 2, 0), 0))), 0)</f>
        <v>#VALUE!</v>
      </c>
    </row>
    <row r="23" spans="1:35">
      <c r="A23" s="47" t="s">
        <v>1135</v>
      </c>
      <c r="B23" s="340" t="s">
        <v>1136</v>
      </c>
      <c r="C23" s="47" t="s">
        <v>142</v>
      </c>
      <c r="D23" s="45" t="s">
        <v>38</v>
      </c>
      <c r="E23" s="47" t="s">
        <v>708</v>
      </c>
      <c r="F23" s="47" t="s">
        <v>1069</v>
      </c>
      <c r="G23" s="47" t="s">
        <v>38</v>
      </c>
      <c r="H23" s="47" t="s">
        <v>38</v>
      </c>
      <c r="I23" s="47" t="s">
        <v>39</v>
      </c>
      <c r="J23" s="47">
        <v>79554</v>
      </c>
      <c r="K23" s="47" t="s">
        <v>38</v>
      </c>
      <c r="L23" s="47" t="s">
        <v>38</v>
      </c>
      <c r="M23" s="47">
        <v>6831</v>
      </c>
      <c r="N23" s="47">
        <v>8.5866205394268036E-2</v>
      </c>
      <c r="O23" s="47">
        <v>63</v>
      </c>
      <c r="P23" s="47">
        <v>0</v>
      </c>
      <c r="Q23" s="47">
        <v>5</v>
      </c>
      <c r="R23" s="47">
        <v>18</v>
      </c>
      <c r="S23" s="47">
        <v>0.18838776648044586</v>
      </c>
      <c r="T23" s="47" t="s">
        <v>38</v>
      </c>
      <c r="V23" s="236" t="str">
        <f t="shared" si="10"/>
        <v/>
      </c>
      <c r="W23" s="236" t="str">
        <f t="shared" si="11"/>
        <v/>
      </c>
      <c r="X23" s="237" t="str">
        <f t="shared" si="2"/>
        <v/>
      </c>
      <c r="Y23" s="236" t="str">
        <f t="shared" si="3"/>
        <v/>
      </c>
      <c r="Z23" s="238" t="str">
        <f t="shared" si="4"/>
        <v/>
      </c>
      <c r="AA23" s="237">
        <f t="shared" si="5"/>
        <v>45555</v>
      </c>
      <c r="AB23" s="236" t="str">
        <f>IF(AF23="","",RANK(AF23,AF:AF,0)+COUNTIF($AF$1:AF22,AF23))</f>
        <v/>
      </c>
      <c r="AC23" s="238" t="str">
        <f t="shared" si="6"/>
        <v/>
      </c>
      <c r="AD23" s="238" t="str">
        <f t="shared" si="7"/>
        <v/>
      </c>
      <c r="AE23" s="339" t="str">
        <f t="shared" si="8"/>
        <v/>
      </c>
      <c r="AF23" s="236" t="str">
        <f t="shared" si="9"/>
        <v/>
      </c>
      <c r="AG23" s="236" t="e" cm="1">
        <f t="array" aca="1" ref="AG23" ca="1">RANK(INDIRECT(ADDRESS(ROW(), MATCH(AG$1, INDEX(contents_raw, 2, 0), 0))),
INDIRECT(ADDRESS(1, MATCH(AG$1, INDEX(contents_raw, 2, 0), 0)) &amp; ":" &amp; ADDRESS(ROWS(contents_raw), MATCH(AG$1, INDEX(contents_raw, 2, 0), 0))), 0)</f>
        <v>#VALUE!</v>
      </c>
      <c r="AH23" s="236" t="e" cm="1">
        <f t="array" aca="1" ref="AH23" ca="1">RANK(INDIRECT(ADDRESS(ROW(), MATCH(AH$1, INDEX(contents_raw, 2, 0), 0))),
INDIRECT(ADDRESS(1, MATCH(AH$1, INDEX(contents_raw, 2, 0), 0)) &amp; ":" &amp; ADDRESS(ROWS(contents_raw), MATCH(AH$1, INDEX(contents_raw, 2, 0), 0))), 0)</f>
        <v>#VALUE!</v>
      </c>
      <c r="AI23" s="236" t="e" cm="1">
        <f t="array" aca="1" ref="AI23" ca="1">RANK(INDIRECT(ADDRESS(ROW(), MATCH(AI$1, INDEX(contents_raw, 2, 0), 0))),
INDIRECT(ADDRESS(1, MATCH(AI$1, INDEX(contents_raw, 2, 0), 0)) &amp; ":" &amp; ADDRESS(ROWS(contents_raw), MATCH(AI$1, INDEX(contents_raw, 2, 0), 0))), 0)</f>
        <v>#VALUE!</v>
      </c>
    </row>
    <row r="24" spans="1:35">
      <c r="A24" s="47" t="s">
        <v>1137</v>
      </c>
      <c r="B24" s="340" t="s">
        <v>1138</v>
      </c>
      <c r="C24" s="47" t="s">
        <v>37</v>
      </c>
      <c r="D24" s="47" t="s">
        <v>38</v>
      </c>
      <c r="E24" s="47" t="s">
        <v>708</v>
      </c>
      <c r="F24" s="47" t="s">
        <v>1068</v>
      </c>
      <c r="G24" s="47" t="s">
        <v>38</v>
      </c>
      <c r="H24" s="47" t="s">
        <v>38</v>
      </c>
      <c r="I24" s="47" t="s">
        <v>39</v>
      </c>
      <c r="J24" s="47">
        <v>3725</v>
      </c>
      <c r="K24" s="47" t="s">
        <v>38</v>
      </c>
      <c r="L24" s="47" t="s">
        <v>38</v>
      </c>
      <c r="M24" s="47">
        <v>81</v>
      </c>
      <c r="N24" s="47">
        <v>2.1744966506958008E-2</v>
      </c>
      <c r="O24" s="47">
        <v>37</v>
      </c>
      <c r="P24" s="47">
        <v>0</v>
      </c>
      <c r="Q24" s="47">
        <v>1</v>
      </c>
      <c r="R24" s="47" t="s">
        <v>38</v>
      </c>
      <c r="S24" s="47">
        <v>3.194630891084671E-2</v>
      </c>
      <c r="T24" s="47" t="s">
        <v>38</v>
      </c>
      <c r="V24" s="236">
        <f t="shared" si="10"/>
        <v>26</v>
      </c>
      <c r="W24" s="236">
        <f t="shared" si="11"/>
        <v>26</v>
      </c>
      <c r="X24" s="237">
        <f t="shared" si="2"/>
        <v>45554</v>
      </c>
      <c r="Y24" s="236">
        <f t="shared" si="3"/>
        <v>119</v>
      </c>
      <c r="Z24" s="238">
        <f t="shared" si="4"/>
        <v>3.1946308724832215E-2</v>
      </c>
      <c r="AA24" s="237">
        <f t="shared" si="5"/>
        <v>45554</v>
      </c>
      <c r="AB24" s="236" t="str">
        <f>IF(AF24="","",RANK(AF24,AF:AF,0)+COUNTIF($AF$1:AF23,AF24))</f>
        <v/>
      </c>
      <c r="AC24" s="238" t="str">
        <f t="shared" si="6"/>
        <v/>
      </c>
      <c r="AD24" s="238">
        <f t="shared" si="7"/>
        <v>2.1744966506958008E-2</v>
      </c>
      <c r="AE24" s="339">
        <f t="shared" si="8"/>
        <v>3725</v>
      </c>
      <c r="AF24" s="236" t="str">
        <f t="shared" si="9"/>
        <v/>
      </c>
      <c r="AG24" s="236" cm="1">
        <f t="array" aca="1" ref="AG24" ca="1">RANK(INDIRECT(ADDRESS(ROW(), MATCH(AG$1, INDEX(contents_raw, 2, 0), 0))),
INDIRECT(ADDRESS(1, MATCH(AG$1, INDEX(contents_raw, 2, 0), 0)) &amp; ":" &amp; ADDRESS(ROWS(contents_raw), MATCH(AG$1, INDEX(contents_raw, 2, 0), 0))), 0)</f>
        <v>27</v>
      </c>
      <c r="AH24" s="236" cm="1">
        <f t="array" aca="1" ref="AH24" ca="1">RANK(INDIRECT(ADDRESS(ROW(), MATCH(AH$1, INDEX(contents_raw, 2, 0), 0))),
INDIRECT(ADDRESS(1, MATCH(AH$1, INDEX(contents_raw, 2, 0), 0)) &amp; ":" &amp; ADDRESS(ROWS(contents_raw), MATCH(AH$1, INDEX(contents_raw, 2, 0), 0))), 0)</f>
        <v>27</v>
      </c>
      <c r="AI24" s="236" cm="1">
        <f t="array" aca="1" ref="AI24" ca="1">RANK(INDIRECT(ADDRESS(ROW(), MATCH(AI$1, INDEX(contents_raw, 2, 0), 0))),
INDIRECT(ADDRESS(1, MATCH(AI$1, INDEX(contents_raw, 2, 0), 0)) &amp; ":" &amp; ADDRESS(ROWS(contents_raw), MATCH(AI$1, INDEX(contents_raw, 2, 0), 0))), 0)</f>
        <v>22</v>
      </c>
    </row>
    <row r="25" spans="1:35">
      <c r="A25" s="47" t="s">
        <v>1139</v>
      </c>
      <c r="B25" s="340" t="s">
        <v>1140</v>
      </c>
      <c r="C25" s="47" t="s">
        <v>37</v>
      </c>
      <c r="D25" s="47" t="s">
        <v>38</v>
      </c>
      <c r="E25" s="47" t="s">
        <v>708</v>
      </c>
      <c r="F25" s="47" t="s">
        <v>1063</v>
      </c>
      <c r="G25" s="47" t="s">
        <v>38</v>
      </c>
      <c r="H25" s="47" t="s">
        <v>38</v>
      </c>
      <c r="I25" s="47" t="s">
        <v>39</v>
      </c>
      <c r="J25" s="47">
        <v>4652</v>
      </c>
      <c r="K25" s="47">
        <v>1649</v>
      </c>
      <c r="L25" s="47" t="s">
        <v>38</v>
      </c>
      <c r="M25" s="47">
        <v>145</v>
      </c>
      <c r="N25" s="47">
        <v>3.1169390305876732E-2</v>
      </c>
      <c r="O25" s="47">
        <v>58</v>
      </c>
      <c r="P25" s="47">
        <v>0</v>
      </c>
      <c r="Q25" s="47">
        <v>4</v>
      </c>
      <c r="R25" s="47" t="s">
        <v>38</v>
      </c>
      <c r="S25" s="47">
        <v>4.4496990740299225E-2</v>
      </c>
      <c r="T25" s="47" t="s">
        <v>40</v>
      </c>
      <c r="V25" s="236">
        <f t="shared" si="10"/>
        <v>22</v>
      </c>
      <c r="W25" s="236">
        <f t="shared" si="11"/>
        <v>22</v>
      </c>
      <c r="X25" s="237">
        <f t="shared" si="2"/>
        <v>45548</v>
      </c>
      <c r="Y25" s="236">
        <f t="shared" si="3"/>
        <v>207</v>
      </c>
      <c r="Z25" s="238">
        <f t="shared" si="4"/>
        <v>4.4496990541702496E-2</v>
      </c>
      <c r="AA25" s="237">
        <f t="shared" si="5"/>
        <v>45548</v>
      </c>
      <c r="AB25" s="236">
        <f>IF(AF25="","",RANK(AF25,AF:AF,0)+COUNTIF($AF$1:AF24,AF25))</f>
        <v>4</v>
      </c>
      <c r="AC25" s="238">
        <f t="shared" si="6"/>
        <v>0.26964746345657786</v>
      </c>
      <c r="AD25" s="238">
        <f t="shared" si="7"/>
        <v>3.1169390305876732E-2</v>
      </c>
      <c r="AE25" s="339">
        <f t="shared" si="8"/>
        <v>4652</v>
      </c>
      <c r="AF25" s="236">
        <f t="shared" si="9"/>
        <v>1649</v>
      </c>
      <c r="AG25" s="236" cm="1">
        <f t="array" aca="1" ref="AG25" ca="1">RANK(INDIRECT(ADDRESS(ROW(), MATCH(AG$1, INDEX(contents_raw, 2, 0), 0))),
INDIRECT(ADDRESS(1, MATCH(AG$1, INDEX(contents_raw, 2, 0), 0)) &amp; ":" &amp; ADDRESS(ROWS(contents_raw), MATCH(AG$1, INDEX(contents_raw, 2, 0), 0))), 0)</f>
        <v>20</v>
      </c>
      <c r="AH25" s="236" cm="1">
        <f t="array" aca="1" ref="AH25" ca="1">RANK(INDIRECT(ADDRESS(ROW(), MATCH(AH$1, INDEX(contents_raw, 2, 0), 0))),
INDIRECT(ADDRESS(1, MATCH(AH$1, INDEX(contents_raw, 2, 0), 0)) &amp; ":" &amp; ADDRESS(ROWS(contents_raw), MATCH(AH$1, INDEX(contents_raw, 2, 0), 0))), 0)</f>
        <v>21</v>
      </c>
      <c r="AI25" s="236" cm="1">
        <f t="array" aca="1" ref="AI25" ca="1">RANK(INDIRECT(ADDRESS(ROW(), MATCH(AI$1, INDEX(contents_raw, 2, 0), 0))),
INDIRECT(ADDRESS(1, MATCH(AI$1, INDEX(contents_raw, 2, 0), 0)) &amp; ":" &amp; ADDRESS(ROWS(contents_raw), MATCH(AI$1, INDEX(contents_raw, 2, 0), 0))), 0)</f>
        <v>16</v>
      </c>
    </row>
    <row r="26" spans="1:35">
      <c r="A26" s="47" t="s">
        <v>1141</v>
      </c>
      <c r="B26" s="340" t="s">
        <v>1142</v>
      </c>
      <c r="C26" s="47" t="s">
        <v>37</v>
      </c>
      <c r="D26" s="47" t="s">
        <v>38</v>
      </c>
      <c r="E26" s="47" t="s">
        <v>708</v>
      </c>
      <c r="F26" s="47" t="s">
        <v>1063</v>
      </c>
      <c r="G26" s="47" t="s">
        <v>38</v>
      </c>
      <c r="H26" s="47" t="s">
        <v>38</v>
      </c>
      <c r="I26" s="47" t="s">
        <v>39</v>
      </c>
      <c r="J26" s="47">
        <v>4005</v>
      </c>
      <c r="K26" s="47" t="s">
        <v>38</v>
      </c>
      <c r="L26" s="47" t="s">
        <v>38</v>
      </c>
      <c r="M26" s="47">
        <v>65</v>
      </c>
      <c r="N26" s="47">
        <v>1.6229713335633278E-2</v>
      </c>
      <c r="O26" s="47">
        <v>48</v>
      </c>
      <c r="P26" s="47">
        <v>0</v>
      </c>
      <c r="Q26" s="47">
        <v>1</v>
      </c>
      <c r="R26" s="47" t="s">
        <v>38</v>
      </c>
      <c r="S26" s="47">
        <v>2.8464419767260551E-2</v>
      </c>
      <c r="T26" s="47" t="s">
        <v>38</v>
      </c>
      <c r="V26" s="236">
        <f t="shared" si="10"/>
        <v>29</v>
      </c>
      <c r="W26" s="236">
        <f t="shared" si="11"/>
        <v>29</v>
      </c>
      <c r="X26" s="237">
        <f t="shared" si="2"/>
        <v>45548</v>
      </c>
      <c r="Y26" s="236">
        <f t="shared" si="3"/>
        <v>114</v>
      </c>
      <c r="Z26" s="238">
        <f t="shared" si="4"/>
        <v>2.8464419475655429E-2</v>
      </c>
      <c r="AA26" s="237">
        <f t="shared" si="5"/>
        <v>45548</v>
      </c>
      <c r="AB26" s="236" t="str">
        <f>IF(AF26="","",RANK(AF26,AF:AF,0)+COUNTIF($AF$1:AF25,AF26))</f>
        <v/>
      </c>
      <c r="AC26" s="238" t="str">
        <f t="shared" si="6"/>
        <v/>
      </c>
      <c r="AD26" s="238">
        <f t="shared" si="7"/>
        <v>1.6229713335633278E-2</v>
      </c>
      <c r="AE26" s="339">
        <f t="shared" si="8"/>
        <v>4005</v>
      </c>
      <c r="AF26" s="236" t="str">
        <f t="shared" si="9"/>
        <v/>
      </c>
      <c r="AG26" s="236" cm="1">
        <f t="array" aca="1" ref="AG26" ca="1">RANK(INDIRECT(ADDRESS(ROW(), MATCH(AG$1, INDEX(contents_raw, 2, 0), 0))),
INDIRECT(ADDRESS(1, MATCH(AG$1, INDEX(contents_raw, 2, 0), 0)) &amp; ":" &amp; ADDRESS(ROWS(contents_raw), MATCH(AG$1, INDEX(contents_raw, 2, 0), 0))), 0)</f>
        <v>28</v>
      </c>
      <c r="AH26" s="236" cm="1">
        <f t="array" aca="1" ref="AH26" ca="1">RANK(INDIRECT(ADDRESS(ROW(), MATCH(AH$1, INDEX(contents_raw, 2, 0), 0))),
INDIRECT(ADDRESS(1, MATCH(AH$1, INDEX(contents_raw, 2, 0), 0)) &amp; ":" &amp; ADDRESS(ROWS(contents_raw), MATCH(AH$1, INDEX(contents_raw, 2, 0), 0))), 0)</f>
        <v>30</v>
      </c>
      <c r="AI26" s="236" cm="1">
        <f t="array" aca="1" ref="AI26" ca="1">RANK(INDIRECT(ADDRESS(ROW(), MATCH(AI$1, INDEX(contents_raw, 2, 0), 0))),
INDIRECT(ADDRESS(1, MATCH(AI$1, INDEX(contents_raw, 2, 0), 0)) &amp; ":" &amp; ADDRESS(ROWS(contents_raw), MATCH(AI$1, INDEX(contents_raw, 2, 0), 0))), 0)</f>
        <v>20</v>
      </c>
    </row>
    <row r="27" spans="1:35">
      <c r="A27" s="47" t="s">
        <v>1143</v>
      </c>
      <c r="B27" s="340" t="s">
        <v>1144</v>
      </c>
      <c r="C27" s="47" t="s">
        <v>37</v>
      </c>
      <c r="D27" s="47" t="s">
        <v>38</v>
      </c>
      <c r="E27" s="47" t="s">
        <v>708</v>
      </c>
      <c r="F27" s="47" t="s">
        <v>1063</v>
      </c>
      <c r="G27" s="47" t="s">
        <v>38</v>
      </c>
      <c r="H27" s="47" t="s">
        <v>38</v>
      </c>
      <c r="I27" s="47" t="s">
        <v>39</v>
      </c>
      <c r="J27" s="47">
        <v>4602</v>
      </c>
      <c r="K27" s="47">
        <v>1531</v>
      </c>
      <c r="L27" s="47" t="s">
        <v>38</v>
      </c>
      <c r="M27" s="47">
        <v>128</v>
      </c>
      <c r="N27" s="47">
        <v>2.7813993394374847E-2</v>
      </c>
      <c r="O27" s="47">
        <v>46</v>
      </c>
      <c r="P27" s="47">
        <v>0</v>
      </c>
      <c r="Q27" s="47">
        <v>2</v>
      </c>
      <c r="R27" s="47" t="s">
        <v>38</v>
      </c>
      <c r="S27" s="47">
        <v>3.8244239985942841E-2</v>
      </c>
      <c r="T27" s="47" t="s">
        <v>40</v>
      </c>
      <c r="V27" s="236">
        <f t="shared" si="10"/>
        <v>23</v>
      </c>
      <c r="W27" s="236">
        <f t="shared" si="11"/>
        <v>23</v>
      </c>
      <c r="X27" s="237">
        <f t="shared" si="2"/>
        <v>45548</v>
      </c>
      <c r="Y27" s="236">
        <f t="shared" si="3"/>
        <v>176</v>
      </c>
      <c r="Z27" s="238">
        <f t="shared" si="4"/>
        <v>3.824424163407214E-2</v>
      </c>
      <c r="AA27" s="237">
        <f t="shared" si="5"/>
        <v>45548</v>
      </c>
      <c r="AB27" s="236">
        <f>IF(AF27="","",RANK(AF27,AF:AF,0)+COUNTIF($AF$1:AF26,AF27))</f>
        <v>5</v>
      </c>
      <c r="AC27" s="238">
        <f t="shared" si="6"/>
        <v>0.24897870491090829</v>
      </c>
      <c r="AD27" s="238">
        <f t="shared" si="7"/>
        <v>2.7813993394374847E-2</v>
      </c>
      <c r="AE27" s="339">
        <f t="shared" si="8"/>
        <v>4602</v>
      </c>
      <c r="AF27" s="236">
        <f t="shared" si="9"/>
        <v>1531</v>
      </c>
      <c r="AG27" s="236" cm="1">
        <f t="array" aca="1" ref="AG27" ca="1">RANK(INDIRECT(ADDRESS(ROW(), MATCH(AG$1, INDEX(contents_raw, 2, 0), 0))),
INDIRECT(ADDRESS(1, MATCH(AG$1, INDEX(contents_raw, 2, 0), 0)) &amp; ":" &amp; ADDRESS(ROWS(contents_raw), MATCH(AG$1, INDEX(contents_raw, 2, 0), 0))), 0)</f>
        <v>23</v>
      </c>
      <c r="AH27" s="236" cm="1">
        <f t="array" aca="1" ref="AH27" ca="1">RANK(INDIRECT(ADDRESS(ROW(), MATCH(AH$1, INDEX(contents_raw, 2, 0), 0))),
INDIRECT(ADDRESS(1, MATCH(AH$1, INDEX(contents_raw, 2, 0), 0)) &amp; ":" &amp; ADDRESS(ROWS(contents_raw), MATCH(AH$1, INDEX(contents_raw, 2, 0), 0))), 0)</f>
        <v>24</v>
      </c>
      <c r="AI27" s="236" cm="1">
        <f t="array" aca="1" ref="AI27" ca="1">RANK(INDIRECT(ADDRESS(ROW(), MATCH(AI$1, INDEX(contents_raw, 2, 0), 0))),
INDIRECT(ADDRESS(1, MATCH(AI$1, INDEX(contents_raw, 2, 0), 0)) &amp; ":" &amp; ADDRESS(ROWS(contents_raw), MATCH(AI$1, INDEX(contents_raw, 2, 0), 0))), 0)</f>
        <v>17</v>
      </c>
    </row>
    <row r="28" spans="1:35">
      <c r="A28" s="47" t="s">
        <v>1145</v>
      </c>
      <c r="B28" s="340" t="s">
        <v>1146</v>
      </c>
      <c r="C28" s="47" t="s">
        <v>37</v>
      </c>
      <c r="D28" s="47" t="s">
        <v>38</v>
      </c>
      <c r="E28" s="47" t="s">
        <v>708</v>
      </c>
      <c r="F28" s="47" t="s">
        <v>1063</v>
      </c>
      <c r="G28" s="47" t="s">
        <v>38</v>
      </c>
      <c r="H28" s="47" t="s">
        <v>38</v>
      </c>
      <c r="I28" s="47" t="s">
        <v>39</v>
      </c>
      <c r="J28" s="47">
        <v>9014</v>
      </c>
      <c r="K28" s="47" t="s">
        <v>38</v>
      </c>
      <c r="L28" s="47" t="s">
        <v>38</v>
      </c>
      <c r="M28" s="47">
        <v>1099</v>
      </c>
      <c r="N28" s="47">
        <v>0.12192145735025406</v>
      </c>
      <c r="O28" s="47">
        <v>120</v>
      </c>
      <c r="P28" s="47">
        <v>0</v>
      </c>
      <c r="Q28" s="47">
        <v>1</v>
      </c>
      <c r="R28" s="47" t="s">
        <v>38</v>
      </c>
      <c r="S28" s="47">
        <v>0.13534501194953918</v>
      </c>
      <c r="T28" s="47" t="s">
        <v>38</v>
      </c>
      <c r="V28" s="236">
        <f t="shared" si="10"/>
        <v>12</v>
      </c>
      <c r="W28" s="236">
        <f t="shared" si="11"/>
        <v>12</v>
      </c>
      <c r="X28" s="237">
        <f t="shared" si="2"/>
        <v>45548</v>
      </c>
      <c r="Y28" s="236">
        <f t="shared" si="3"/>
        <v>1220</v>
      </c>
      <c r="Z28" s="238">
        <f t="shared" si="4"/>
        <v>0.1353450188595518</v>
      </c>
      <c r="AA28" s="237">
        <f t="shared" si="5"/>
        <v>45548</v>
      </c>
      <c r="AB28" s="236" t="str">
        <f>IF(AF28="","",RANK(AF28,AF:AF,0)+COUNTIF($AF$1:AF27,AF28))</f>
        <v/>
      </c>
      <c r="AC28" s="238" t="str">
        <f t="shared" si="6"/>
        <v/>
      </c>
      <c r="AD28" s="238">
        <f t="shared" si="7"/>
        <v>0.12192145735025406</v>
      </c>
      <c r="AE28" s="339">
        <f t="shared" si="8"/>
        <v>9014</v>
      </c>
      <c r="AF28" s="236" t="str">
        <f t="shared" si="9"/>
        <v/>
      </c>
      <c r="AG28" s="236" cm="1">
        <f t="array" aca="1" ref="AG28" ca="1">RANK(INDIRECT(ADDRESS(ROW(), MATCH(AG$1, INDEX(contents_raw, 2, 0), 0))),
INDIRECT(ADDRESS(1, MATCH(AG$1, INDEX(contents_raw, 2, 0), 0)) &amp; ":" &amp; ADDRESS(ROWS(contents_raw), MATCH(AG$1, INDEX(contents_raw, 2, 0), 0))), 0)</f>
        <v>5</v>
      </c>
      <c r="AH28" s="236" cm="1">
        <f t="array" aca="1" ref="AH28" ca="1">RANK(INDIRECT(ADDRESS(ROW(), MATCH(AH$1, INDEX(contents_raw, 2, 0), 0))),
INDIRECT(ADDRESS(1, MATCH(AH$1, INDEX(contents_raw, 2, 0), 0)) &amp; ":" &amp; ADDRESS(ROWS(contents_raw), MATCH(AH$1, INDEX(contents_raw, 2, 0), 0))), 0)</f>
        <v>12</v>
      </c>
      <c r="AI28" s="236" cm="1">
        <f t="array" aca="1" ref="AI28" ca="1">RANK(INDIRECT(ADDRESS(ROW(), MATCH(AI$1, INDEX(contents_raw, 2, 0), 0))),
INDIRECT(ADDRESS(1, MATCH(AI$1, INDEX(contents_raw, 2, 0), 0)) &amp; ":" &amp; ADDRESS(ROWS(contents_raw), MATCH(AI$1, INDEX(contents_raw, 2, 0), 0))), 0)</f>
        <v>4</v>
      </c>
    </row>
    <row r="29" spans="1:35">
      <c r="A29" s="47" t="s">
        <v>1147</v>
      </c>
      <c r="B29" s="340" t="s">
        <v>1148</v>
      </c>
      <c r="C29" s="47" t="s">
        <v>37</v>
      </c>
      <c r="D29" s="47" t="s">
        <v>38</v>
      </c>
      <c r="E29" s="47" t="s">
        <v>708</v>
      </c>
      <c r="F29" s="47" t="s">
        <v>1062</v>
      </c>
      <c r="G29" s="47" t="s">
        <v>38</v>
      </c>
      <c r="H29" s="47" t="s">
        <v>38</v>
      </c>
      <c r="I29" s="47" t="s">
        <v>39</v>
      </c>
      <c r="J29" s="47">
        <v>6084</v>
      </c>
      <c r="K29" s="47" t="s">
        <v>38</v>
      </c>
      <c r="L29" s="47" t="s">
        <v>38</v>
      </c>
      <c r="M29" s="47">
        <v>852</v>
      </c>
      <c r="N29" s="47">
        <v>0.14003944396972656</v>
      </c>
      <c r="O29" s="47">
        <v>46</v>
      </c>
      <c r="P29" s="47">
        <v>0</v>
      </c>
      <c r="Q29" s="47">
        <v>3</v>
      </c>
      <c r="R29" s="47" t="s">
        <v>38</v>
      </c>
      <c r="S29" s="47">
        <v>0.14809335768222809</v>
      </c>
      <c r="T29" s="47" t="s">
        <v>38</v>
      </c>
      <c r="V29" s="236">
        <f t="shared" si="10"/>
        <v>10</v>
      </c>
      <c r="W29" s="236">
        <f t="shared" si="11"/>
        <v>10</v>
      </c>
      <c r="X29" s="237">
        <f t="shared" si="2"/>
        <v>45547</v>
      </c>
      <c r="Y29" s="236">
        <f t="shared" si="3"/>
        <v>901</v>
      </c>
      <c r="Z29" s="238">
        <f t="shared" si="4"/>
        <v>0.14809335963182116</v>
      </c>
      <c r="AA29" s="237">
        <f t="shared" si="5"/>
        <v>45547</v>
      </c>
      <c r="AB29" s="236" t="str">
        <f>IF(AF29="","",RANK(AF29,AF:AF,0)+COUNTIF($AF$1:AF28,AF29))</f>
        <v/>
      </c>
      <c r="AC29" s="238" t="str">
        <f t="shared" si="6"/>
        <v/>
      </c>
      <c r="AD29" s="238">
        <f t="shared" si="7"/>
        <v>0.14003944396972656</v>
      </c>
      <c r="AE29" s="339">
        <f t="shared" si="8"/>
        <v>6084</v>
      </c>
      <c r="AF29" s="236" t="str">
        <f t="shared" si="9"/>
        <v/>
      </c>
      <c r="AG29" s="236" cm="1">
        <f t="array" aca="1" ref="AG29" ca="1">RANK(INDIRECT(ADDRESS(ROW(), MATCH(AG$1, INDEX(contents_raw, 2, 0), 0))),
INDIRECT(ADDRESS(1, MATCH(AG$1, INDEX(contents_raw, 2, 0), 0)) &amp; ":" &amp; ADDRESS(ROWS(contents_raw), MATCH(AG$1, INDEX(contents_raw, 2, 0), 0))), 0)</f>
        <v>9</v>
      </c>
      <c r="AH29" s="236" cm="1">
        <f t="array" aca="1" ref="AH29" ca="1">RANK(INDIRECT(ADDRESS(ROW(), MATCH(AH$1, INDEX(contents_raw, 2, 0), 0))),
INDIRECT(ADDRESS(1, MATCH(AH$1, INDEX(contents_raw, 2, 0), 0)) &amp; ":" &amp; ADDRESS(ROWS(contents_raw), MATCH(AH$1, INDEX(contents_raw, 2, 0), 0))), 0)</f>
        <v>10</v>
      </c>
      <c r="AI29" s="236" cm="1">
        <f t="array" aca="1" ref="AI29" ca="1">RANK(INDIRECT(ADDRESS(ROW(), MATCH(AI$1, INDEX(contents_raw, 2, 0), 0))),
INDIRECT(ADDRESS(1, MATCH(AI$1, INDEX(contents_raw, 2, 0), 0)) &amp; ":" &amp; ADDRESS(ROWS(contents_raw), MATCH(AI$1, INDEX(contents_raw, 2, 0), 0))), 0)</f>
        <v>9</v>
      </c>
    </row>
    <row r="30" spans="1:35">
      <c r="A30" s="47" t="s">
        <v>1149</v>
      </c>
      <c r="B30" s="340" t="s">
        <v>1150</v>
      </c>
      <c r="C30" s="47" t="s">
        <v>37</v>
      </c>
      <c r="D30" s="47" t="s">
        <v>38</v>
      </c>
      <c r="E30" s="47" t="s">
        <v>708</v>
      </c>
      <c r="F30" s="47" t="s">
        <v>1061</v>
      </c>
      <c r="G30" s="47" t="s">
        <v>38</v>
      </c>
      <c r="H30" s="47" t="s">
        <v>38</v>
      </c>
      <c r="I30" s="47" t="s">
        <v>39</v>
      </c>
      <c r="J30" s="47">
        <v>6397</v>
      </c>
      <c r="K30" s="47" t="s">
        <v>38</v>
      </c>
      <c r="L30" s="47" t="s">
        <v>38</v>
      </c>
      <c r="M30" s="47">
        <v>1431</v>
      </c>
      <c r="N30" s="47">
        <v>0.22369861602783203</v>
      </c>
      <c r="O30" s="47">
        <v>87</v>
      </c>
      <c r="P30" s="47">
        <v>0</v>
      </c>
      <c r="Q30" s="47">
        <v>4</v>
      </c>
      <c r="R30" s="47" t="s">
        <v>38</v>
      </c>
      <c r="S30" s="47">
        <v>0.23792402446269989</v>
      </c>
      <c r="T30" s="47" t="s">
        <v>38</v>
      </c>
      <c r="V30" s="236">
        <f t="shared" si="10"/>
        <v>6</v>
      </c>
      <c r="W30" s="236">
        <f t="shared" si="11"/>
        <v>6</v>
      </c>
      <c r="X30" s="237">
        <f t="shared" si="2"/>
        <v>45546</v>
      </c>
      <c r="Y30" s="236">
        <f t="shared" si="3"/>
        <v>1522</v>
      </c>
      <c r="Z30" s="238">
        <f t="shared" si="4"/>
        <v>0.23792402688760356</v>
      </c>
      <c r="AA30" s="237">
        <f t="shared" si="5"/>
        <v>45546</v>
      </c>
      <c r="AB30" s="236" t="str">
        <f>IF(AF30="","",RANK(AF30,AF:AF,0)+COUNTIF($AF$1:AF29,AF30))</f>
        <v/>
      </c>
      <c r="AC30" s="238" t="str">
        <f t="shared" si="6"/>
        <v/>
      </c>
      <c r="AD30" s="238">
        <f t="shared" si="7"/>
        <v>0.22369861602783203</v>
      </c>
      <c r="AE30" s="339">
        <f t="shared" si="8"/>
        <v>6397</v>
      </c>
      <c r="AF30" s="236" t="str">
        <f t="shared" si="9"/>
        <v/>
      </c>
      <c r="AG30" s="236" cm="1">
        <f t="array" aca="1" ref="AG30" ca="1">RANK(INDIRECT(ADDRESS(ROW(), MATCH(AG$1, INDEX(contents_raw, 2, 0), 0))),
INDIRECT(ADDRESS(1, MATCH(AG$1, INDEX(contents_raw, 2, 0), 0)) &amp; ":" &amp; ADDRESS(ROWS(contents_raw), MATCH(AG$1, INDEX(contents_raw, 2, 0), 0))), 0)</f>
        <v>4</v>
      </c>
      <c r="AH30" s="236" cm="1">
        <f t="array" aca="1" ref="AH30" ca="1">RANK(INDIRECT(ADDRESS(ROW(), MATCH(AH$1, INDEX(contents_raw, 2, 0), 0))),
INDIRECT(ADDRESS(1, MATCH(AH$1, INDEX(contents_raw, 2, 0), 0)) &amp; ":" &amp; ADDRESS(ROWS(contents_raw), MATCH(AH$1, INDEX(contents_raw, 2, 0), 0))), 0)</f>
        <v>6</v>
      </c>
      <c r="AI30" s="236" cm="1">
        <f t="array" aca="1" ref="AI30" ca="1">RANK(INDIRECT(ADDRESS(ROW(), MATCH(AI$1, INDEX(contents_raw, 2, 0), 0))),
INDIRECT(ADDRESS(1, MATCH(AI$1, INDEX(contents_raw, 2, 0), 0)) &amp; ":" &amp; ADDRESS(ROWS(contents_raw), MATCH(AI$1, INDEX(contents_raw, 2, 0), 0))), 0)</f>
        <v>8</v>
      </c>
    </row>
    <row r="31" spans="1:35">
      <c r="A31" s="47" t="s">
        <v>1151</v>
      </c>
      <c r="B31" s="340" t="s">
        <v>1152</v>
      </c>
      <c r="C31" s="47" t="s">
        <v>37</v>
      </c>
      <c r="D31" s="47" t="s">
        <v>38</v>
      </c>
      <c r="E31" s="47" t="s">
        <v>708</v>
      </c>
      <c r="F31" s="47" t="s">
        <v>1060</v>
      </c>
      <c r="G31" s="47" t="s">
        <v>38</v>
      </c>
      <c r="H31" s="47" t="s">
        <v>38</v>
      </c>
      <c r="I31" s="47" t="s">
        <v>39</v>
      </c>
      <c r="J31" s="47">
        <v>4278</v>
      </c>
      <c r="K31" s="47" t="s">
        <v>38</v>
      </c>
      <c r="L31" s="47" t="s">
        <v>38</v>
      </c>
      <c r="M31" s="47">
        <v>1051</v>
      </c>
      <c r="N31" s="47">
        <v>0.24567554891109467</v>
      </c>
      <c r="O31" s="47">
        <v>25</v>
      </c>
      <c r="P31" s="47">
        <v>0</v>
      </c>
      <c r="Q31" s="47">
        <v>2</v>
      </c>
      <c r="R31" s="47" t="s">
        <v>38</v>
      </c>
      <c r="S31" s="47">
        <v>0.25198692083358765</v>
      </c>
      <c r="T31" s="47" t="s">
        <v>38</v>
      </c>
      <c r="V31" s="236">
        <f t="shared" si="10"/>
        <v>3</v>
      </c>
      <c r="W31" s="236">
        <f t="shared" si="11"/>
        <v>3</v>
      </c>
      <c r="X31" s="237">
        <f t="shared" si="2"/>
        <v>45545</v>
      </c>
      <c r="Y31" s="236">
        <f t="shared" si="3"/>
        <v>1078</v>
      </c>
      <c r="Z31" s="238">
        <f t="shared" si="4"/>
        <v>0.25198690977092097</v>
      </c>
      <c r="AA31" s="237">
        <f t="shared" si="5"/>
        <v>45545</v>
      </c>
      <c r="AB31" s="236" t="str">
        <f>IF(AF31="","",RANK(AF31,AF:AF,0)+COUNTIF($AF$1:AF30,AF31))</f>
        <v/>
      </c>
      <c r="AC31" s="238" t="str">
        <f t="shared" si="6"/>
        <v/>
      </c>
      <c r="AD31" s="238">
        <f t="shared" si="7"/>
        <v>0.24567554891109467</v>
      </c>
      <c r="AE31" s="339">
        <f t="shared" si="8"/>
        <v>4278</v>
      </c>
      <c r="AF31" s="236" t="str">
        <f t="shared" si="9"/>
        <v/>
      </c>
      <c r="AG31" s="236" cm="1">
        <f t="array" aca="1" ref="AG31" ca="1">RANK(INDIRECT(ADDRESS(ROW(), MATCH(AG$1, INDEX(contents_raw, 2, 0), 0))),
INDIRECT(ADDRESS(1, MATCH(AG$1, INDEX(contents_raw, 2, 0), 0)) &amp; ":" &amp; ADDRESS(ROWS(contents_raw), MATCH(AG$1, INDEX(contents_raw, 2, 0), 0))), 0)</f>
        <v>7</v>
      </c>
      <c r="AH31" s="236" cm="1">
        <f t="array" aca="1" ref="AH31" ca="1">RANK(INDIRECT(ADDRESS(ROW(), MATCH(AH$1, INDEX(contents_raw, 2, 0), 0))),
INDIRECT(ADDRESS(1, MATCH(AH$1, INDEX(contents_raw, 2, 0), 0)) &amp; ":" &amp; ADDRESS(ROWS(contents_raw), MATCH(AH$1, INDEX(contents_raw, 2, 0), 0))), 0)</f>
        <v>3</v>
      </c>
      <c r="AI31" s="236" cm="1">
        <f t="array" aca="1" ref="AI31" ca="1">RANK(INDIRECT(ADDRESS(ROW(), MATCH(AI$1, INDEX(contents_raw, 2, 0), 0))),
INDIRECT(ADDRESS(1, MATCH(AI$1, INDEX(contents_raw, 2, 0), 0)) &amp; ":" &amp; ADDRESS(ROWS(contents_raw), MATCH(AI$1, INDEX(contents_raw, 2, 0), 0))), 0)</f>
        <v>19</v>
      </c>
    </row>
    <row r="32" spans="1:35">
      <c r="A32" s="47" t="s">
        <v>1153</v>
      </c>
      <c r="B32" s="340" t="s">
        <v>1154</v>
      </c>
      <c r="C32" s="47" t="s">
        <v>37</v>
      </c>
      <c r="D32" s="47" t="s">
        <v>38</v>
      </c>
      <c r="E32" s="47" t="s">
        <v>708</v>
      </c>
      <c r="F32" s="47" t="s">
        <v>1059</v>
      </c>
      <c r="G32" s="47" t="s">
        <v>38</v>
      </c>
      <c r="H32" s="47" t="s">
        <v>38</v>
      </c>
      <c r="I32" s="47" t="s">
        <v>39</v>
      </c>
      <c r="J32" s="47">
        <v>7389</v>
      </c>
      <c r="K32" s="47" t="s">
        <v>38</v>
      </c>
      <c r="L32" s="47" t="s">
        <v>38</v>
      </c>
      <c r="M32" s="47">
        <v>2054</v>
      </c>
      <c r="N32" s="47">
        <v>0.27798077464103699</v>
      </c>
      <c r="O32" s="47">
        <v>50</v>
      </c>
      <c r="P32" s="47">
        <v>0</v>
      </c>
      <c r="Q32" s="47">
        <v>4</v>
      </c>
      <c r="R32" s="47" t="s">
        <v>38</v>
      </c>
      <c r="S32" s="47">
        <v>0.28528892993927002</v>
      </c>
      <c r="T32" s="47" t="s">
        <v>38</v>
      </c>
      <c r="V32" s="236">
        <f t="shared" si="10"/>
        <v>1</v>
      </c>
      <c r="W32" s="236">
        <f t="shared" si="11"/>
        <v>1</v>
      </c>
      <c r="X32" s="237">
        <f t="shared" si="2"/>
        <v>45544</v>
      </c>
      <c r="Y32" s="236">
        <f t="shared" si="3"/>
        <v>2108</v>
      </c>
      <c r="Z32" s="238">
        <f t="shared" si="4"/>
        <v>0.28528894302341318</v>
      </c>
      <c r="AA32" s="237">
        <f t="shared" si="5"/>
        <v>45544</v>
      </c>
      <c r="AB32" s="236" t="str">
        <f>IF(AF32="","",RANK(AF32,AF:AF,0)+COUNTIF($AF$1:AF31,AF32))</f>
        <v/>
      </c>
      <c r="AC32" s="238" t="str">
        <f t="shared" si="6"/>
        <v/>
      </c>
      <c r="AD32" s="238">
        <f t="shared" si="7"/>
        <v>0.27798077464103699</v>
      </c>
      <c r="AE32" s="339">
        <f t="shared" si="8"/>
        <v>7389</v>
      </c>
      <c r="AF32" s="236" t="str">
        <f t="shared" si="9"/>
        <v/>
      </c>
      <c r="AG32" s="236" cm="1">
        <f t="array" aca="1" ref="AG32" ca="1">RANK(INDIRECT(ADDRESS(ROW(), MATCH(AG$1, INDEX(contents_raw, 2, 0), 0))),
INDIRECT(ADDRESS(1, MATCH(AG$1, INDEX(contents_raw, 2, 0), 0)) &amp; ":" &amp; ADDRESS(ROWS(contents_raw), MATCH(AG$1, INDEX(contents_raw, 2, 0), 0))), 0)</f>
        <v>2</v>
      </c>
      <c r="AH32" s="236" cm="1">
        <f t="array" aca="1" ref="AH32" ca="1">RANK(INDIRECT(ADDRESS(ROW(), MATCH(AH$1, INDEX(contents_raw, 2, 0), 0))),
INDIRECT(ADDRESS(1, MATCH(AH$1, INDEX(contents_raw, 2, 0), 0)) &amp; ":" &amp; ADDRESS(ROWS(contents_raw), MATCH(AH$1, INDEX(contents_raw, 2, 0), 0))), 0)</f>
        <v>1</v>
      </c>
      <c r="AI32" s="236" cm="1">
        <f t="array" aca="1" ref="AI32" ca="1">RANK(INDIRECT(ADDRESS(ROW(), MATCH(AI$1, INDEX(contents_raw, 2, 0), 0))),
INDIRECT(ADDRESS(1, MATCH(AI$1, INDEX(contents_raw, 2, 0), 0)) &amp; ":" &amp; ADDRESS(ROWS(contents_raw), MATCH(AI$1, INDEX(contents_raw, 2, 0), 0))), 0)</f>
        <v>6</v>
      </c>
    </row>
    <row r="33" spans="1:35">
      <c r="A33" s="47" t="s">
        <v>1155</v>
      </c>
      <c r="B33" s="340" t="s">
        <v>1156</v>
      </c>
      <c r="C33" s="47" t="s">
        <v>37</v>
      </c>
      <c r="D33" s="47" t="s">
        <v>38</v>
      </c>
      <c r="E33" s="47" t="s">
        <v>708</v>
      </c>
      <c r="F33" s="47" t="s">
        <v>1056</v>
      </c>
      <c r="G33" s="47" t="s">
        <v>38</v>
      </c>
      <c r="H33" s="47" t="s">
        <v>38</v>
      </c>
      <c r="I33" s="47" t="s">
        <v>39</v>
      </c>
      <c r="J33" s="47">
        <v>17073</v>
      </c>
      <c r="K33" s="47" t="s">
        <v>38</v>
      </c>
      <c r="L33" s="47" t="s">
        <v>38</v>
      </c>
      <c r="M33" s="47">
        <v>446</v>
      </c>
      <c r="N33" s="47">
        <v>2.6123117655515671E-2</v>
      </c>
      <c r="O33" s="47">
        <v>26</v>
      </c>
      <c r="P33" s="47">
        <v>0</v>
      </c>
      <c r="Q33" s="47">
        <v>0</v>
      </c>
      <c r="R33" s="47" t="s">
        <v>38</v>
      </c>
      <c r="S33" s="47">
        <v>2.7645990252494812E-2</v>
      </c>
      <c r="T33" s="47" t="s">
        <v>38</v>
      </c>
      <c r="V33" s="236">
        <f t="shared" si="10"/>
        <v>30</v>
      </c>
      <c r="W33" s="236">
        <f t="shared" si="11"/>
        <v>30</v>
      </c>
      <c r="X33" s="237">
        <f t="shared" si="2"/>
        <v>45541</v>
      </c>
      <c r="Y33" s="236">
        <f t="shared" si="3"/>
        <v>472</v>
      </c>
      <c r="Z33" s="238">
        <f t="shared" si="4"/>
        <v>2.7645990745621744E-2</v>
      </c>
      <c r="AA33" s="237">
        <f t="shared" si="5"/>
        <v>45541</v>
      </c>
      <c r="AB33" s="236" t="str">
        <f>IF(AF33="","",RANK(AF33,AF:AF,0)+COUNTIF($AF$1:AF32,AF33))</f>
        <v/>
      </c>
      <c r="AC33" s="238" t="str">
        <f t="shared" si="6"/>
        <v/>
      </c>
      <c r="AD33" s="238">
        <f t="shared" si="7"/>
        <v>2.6123117655515671E-2</v>
      </c>
      <c r="AE33" s="339">
        <f t="shared" si="8"/>
        <v>17073</v>
      </c>
      <c r="AF33" s="236" t="str">
        <f t="shared" si="9"/>
        <v/>
      </c>
      <c r="AG33" s="236" cm="1">
        <f t="array" aca="1" ref="AG33" ca="1">RANK(INDIRECT(ADDRESS(ROW(), MATCH(AG$1, INDEX(contents_raw, 2, 0), 0))),
INDIRECT(ADDRESS(1, MATCH(AG$1, INDEX(contents_raw, 2, 0), 0)) &amp; ":" &amp; ADDRESS(ROWS(contents_raw), MATCH(AG$1, INDEX(contents_raw, 2, 0), 0))), 0)</f>
        <v>13</v>
      </c>
      <c r="AH33" s="236" cm="1">
        <f t="array" aca="1" ref="AH33" ca="1">RANK(INDIRECT(ADDRESS(ROW(), MATCH(AH$1, INDEX(contents_raw, 2, 0), 0))),
INDIRECT(ADDRESS(1, MATCH(AH$1, INDEX(contents_raw, 2, 0), 0)) &amp; ":" &amp; ADDRESS(ROWS(contents_raw), MATCH(AH$1, INDEX(contents_raw, 2, 0), 0))), 0)</f>
        <v>25</v>
      </c>
      <c r="AI33" s="236" cm="1">
        <f t="array" aca="1" ref="AI33" ca="1">RANK(INDIRECT(ADDRESS(ROW(), MATCH(AI$1, INDEX(contents_raw, 2, 0), 0))),
INDIRECT(ADDRESS(1, MATCH(AI$1, INDEX(contents_raw, 2, 0), 0)) &amp; ":" &amp; ADDRESS(ROWS(contents_raw), MATCH(AI$1, INDEX(contents_raw, 2, 0), 0))), 0)</f>
        <v>3</v>
      </c>
    </row>
    <row r="34" spans="1:35">
      <c r="A34" s="47" t="s">
        <v>1157</v>
      </c>
      <c r="B34" s="340" t="s">
        <v>1158</v>
      </c>
      <c r="C34" s="47" t="s">
        <v>37</v>
      </c>
      <c r="D34" s="47" t="s">
        <v>38</v>
      </c>
      <c r="E34" s="47" t="s">
        <v>708</v>
      </c>
      <c r="F34" s="47" t="s">
        <v>1056</v>
      </c>
      <c r="G34" s="47" t="s">
        <v>38</v>
      </c>
      <c r="H34" s="47" t="s">
        <v>38</v>
      </c>
      <c r="I34" s="47" t="s">
        <v>39</v>
      </c>
      <c r="J34" s="47">
        <v>4670</v>
      </c>
      <c r="K34" s="47">
        <v>1497</v>
      </c>
      <c r="L34" s="47" t="s">
        <v>38</v>
      </c>
      <c r="M34" s="47">
        <v>157</v>
      </c>
      <c r="N34" s="47">
        <v>3.3618845045566559E-2</v>
      </c>
      <c r="O34" s="47">
        <v>65</v>
      </c>
      <c r="P34" s="47">
        <v>0</v>
      </c>
      <c r="Q34" s="47">
        <v>3</v>
      </c>
      <c r="R34" s="47" t="s">
        <v>38</v>
      </c>
      <c r="S34" s="47">
        <v>4.8179872334003448E-2</v>
      </c>
      <c r="T34" s="47" t="s">
        <v>40</v>
      </c>
      <c r="V34" s="236">
        <f t="shared" si="10"/>
        <v>20</v>
      </c>
      <c r="W34" s="236">
        <f t="shared" si="11"/>
        <v>20</v>
      </c>
      <c r="X34" s="237">
        <f t="shared" si="2"/>
        <v>45541</v>
      </c>
      <c r="Y34" s="236">
        <f t="shared" si="3"/>
        <v>225</v>
      </c>
      <c r="Z34" s="238">
        <f t="shared" si="4"/>
        <v>4.8179871520342615E-2</v>
      </c>
      <c r="AA34" s="237">
        <f t="shared" si="5"/>
        <v>45541</v>
      </c>
      <c r="AB34" s="236">
        <f>IF(AF34="","",RANK(AF34,AF:AF,0)+COUNTIF($AF$1:AF33,AF34))</f>
        <v>6</v>
      </c>
      <c r="AC34" s="238">
        <f t="shared" si="6"/>
        <v>0.2539614561027837</v>
      </c>
      <c r="AD34" s="238">
        <f t="shared" si="7"/>
        <v>3.3618845045566559E-2</v>
      </c>
      <c r="AE34" s="339">
        <f t="shared" si="8"/>
        <v>4670</v>
      </c>
      <c r="AF34" s="236">
        <f t="shared" si="9"/>
        <v>1497</v>
      </c>
      <c r="AG34" s="236" cm="1">
        <f t="array" aca="1" ref="AG34" ca="1">RANK(INDIRECT(ADDRESS(ROW(), MATCH(AG$1, INDEX(contents_raw, 2, 0), 0))),
INDIRECT(ADDRESS(1, MATCH(AG$1, INDEX(contents_raw, 2, 0), 0)) &amp; ":" &amp; ADDRESS(ROWS(contents_raw), MATCH(AG$1, INDEX(contents_raw, 2, 0), 0))), 0)</f>
        <v>19</v>
      </c>
      <c r="AH34" s="236" cm="1">
        <f t="array" aca="1" ref="AH34" ca="1">RANK(INDIRECT(ADDRESS(ROW(), MATCH(AH$1, INDEX(contents_raw, 2, 0), 0))),
INDIRECT(ADDRESS(1, MATCH(AH$1, INDEX(contents_raw, 2, 0), 0)) &amp; ":" &amp; ADDRESS(ROWS(contents_raw), MATCH(AH$1, INDEX(contents_raw, 2, 0), 0))), 0)</f>
        <v>20</v>
      </c>
      <c r="AI34" s="236" cm="1">
        <f t="array" aca="1" ref="AI34" ca="1">RANK(INDIRECT(ADDRESS(ROW(), MATCH(AI$1, INDEX(contents_raw, 2, 0), 0))),
INDIRECT(ADDRESS(1, MATCH(AI$1, INDEX(contents_raw, 2, 0), 0)) &amp; ":" &amp; ADDRESS(ROWS(contents_raw), MATCH(AI$1, INDEX(contents_raw, 2, 0), 0))), 0)</f>
        <v>15</v>
      </c>
    </row>
    <row r="35" spans="1:35">
      <c r="A35" s="47" t="s">
        <v>1159</v>
      </c>
      <c r="B35" s="340" t="s">
        <v>1160</v>
      </c>
      <c r="C35" s="47" t="s">
        <v>37</v>
      </c>
      <c r="D35" s="47" t="s">
        <v>38</v>
      </c>
      <c r="E35" s="47" t="s">
        <v>708</v>
      </c>
      <c r="F35" s="47" t="s">
        <v>1055</v>
      </c>
      <c r="G35" s="47" t="s">
        <v>38</v>
      </c>
      <c r="H35" s="47" t="s">
        <v>38</v>
      </c>
      <c r="I35" s="47" t="s">
        <v>39</v>
      </c>
      <c r="J35" s="47">
        <v>4497</v>
      </c>
      <c r="K35" s="47" t="s">
        <v>38</v>
      </c>
      <c r="L35" s="47" t="s">
        <v>38</v>
      </c>
      <c r="M35" s="47">
        <v>95</v>
      </c>
      <c r="N35" s="47">
        <v>2.1125193685293198E-2</v>
      </c>
      <c r="O35" s="47">
        <v>54</v>
      </c>
      <c r="P35" s="47">
        <v>0</v>
      </c>
      <c r="Q35" s="47">
        <v>3</v>
      </c>
      <c r="R35" s="47" t="s">
        <v>38</v>
      </c>
      <c r="S35" s="47">
        <v>3.3800311386585236E-2</v>
      </c>
      <c r="T35" s="47" t="s">
        <v>38</v>
      </c>
      <c r="V35" s="236">
        <f t="shared" si="10"/>
        <v>24</v>
      </c>
      <c r="W35" s="236">
        <f t="shared" si="11"/>
        <v>24</v>
      </c>
      <c r="X35" s="237">
        <f t="shared" ref="X35:X57" si="12">IF(C35&lt;&gt;"Organic","",IF(B35="","",DATE(RIGHT(F35,4),LEFT(F35,2),MID(F35,4,2))))</f>
        <v>45540</v>
      </c>
      <c r="Y35" s="236">
        <f t="shared" ref="Y35:Y66" si="13">IF(C35&lt;&gt;"Organic","",IF(B35="","",SUM(O35:Q35,M35)))</f>
        <v>152</v>
      </c>
      <c r="Z35" s="238">
        <f t="shared" ref="Z35:Z66" si="14">IFERROR(IF(C35&lt;&gt;"Organic","",Y35/J35),"")</f>
        <v>3.3800311318656885E-2</v>
      </c>
      <c r="AA35" s="237">
        <f t="shared" ref="AA35:AA66" si="15">DATE(RIGHT(F35,4),LEFT(F35,2),MID(F35,4,2))</f>
        <v>45540</v>
      </c>
      <c r="AB35" s="236" t="str">
        <f>IF(AF35="","",RANK(AF35,AF:AF,0)+COUNTIF($AF$1:AF34,AF35))</f>
        <v/>
      </c>
      <c r="AC35" s="238" t="str">
        <f t="shared" ref="AC35:AC66" si="16">IFERROR((0.6*AF35+1.4*M35+O35+P35+Q35)/J35,"")</f>
        <v/>
      </c>
      <c r="AD35" s="238">
        <f t="shared" ref="AD35:AD66" si="17">IF(C35&lt;&gt;"Organic","",IF(B35="","",N35))</f>
        <v>2.1125193685293198E-2</v>
      </c>
      <c r="AE35" s="339">
        <f t="shared" ref="AE35:AE66" si="18">IF(C35&lt;&gt;"Organic","",IF(B35="","",J35))</f>
        <v>4497</v>
      </c>
      <c r="AF35" s="236" t="str">
        <f t="shared" ref="AF35:AF66" si="19">IF(C35="","",IFERROR(IF(OR(C35="Sponsored",C35="total"),"",IF(C36="sponsored",K37,K35)),""))</f>
        <v/>
      </c>
      <c r="AG35" s="236" cm="1">
        <f t="array" aca="1" ref="AG35" ca="1">RANK(INDIRECT(ADDRESS(ROW(), MATCH(AG$1, INDEX(contents_raw, 2, 0), 0))),
INDIRECT(ADDRESS(1, MATCH(AG$1, INDEX(contents_raw, 2, 0), 0)) &amp; ":" &amp; ADDRESS(ROWS(contents_raw), MATCH(AG$1, INDEX(contents_raw, 2, 0), 0))), 0)</f>
        <v>25</v>
      </c>
      <c r="AH35" s="236" cm="1">
        <f t="array" aca="1" ref="AH35" ca="1">RANK(INDIRECT(ADDRESS(ROW(), MATCH(AH$1, INDEX(contents_raw, 2, 0), 0))),
INDIRECT(ADDRESS(1, MATCH(AH$1, INDEX(contents_raw, 2, 0), 0)) &amp; ":" &amp; ADDRESS(ROWS(contents_raw), MATCH(AH$1, INDEX(contents_raw, 2, 0), 0))), 0)</f>
        <v>28</v>
      </c>
      <c r="AI35" s="236" cm="1">
        <f t="array" aca="1" ref="AI35" ca="1">RANK(INDIRECT(ADDRESS(ROW(), MATCH(AI$1, INDEX(contents_raw, 2, 0), 0))),
INDIRECT(ADDRESS(1, MATCH(AI$1, INDEX(contents_raw, 2, 0), 0)) &amp; ":" &amp; ADDRESS(ROWS(contents_raw), MATCH(AI$1, INDEX(contents_raw, 2, 0), 0))), 0)</f>
        <v>18</v>
      </c>
    </row>
    <row r="36" spans="1:35">
      <c r="A36" s="47" t="s">
        <v>1161</v>
      </c>
      <c r="B36" s="340" t="s">
        <v>1162</v>
      </c>
      <c r="C36" s="47" t="s">
        <v>37</v>
      </c>
      <c r="D36" s="47" t="s">
        <v>38</v>
      </c>
      <c r="E36" s="47" t="s">
        <v>708</v>
      </c>
      <c r="F36" s="47" t="s">
        <v>1054</v>
      </c>
      <c r="G36" s="47" t="s">
        <v>38</v>
      </c>
      <c r="H36" s="47" t="s">
        <v>38</v>
      </c>
      <c r="I36" s="47" t="s">
        <v>39</v>
      </c>
      <c r="J36" s="47">
        <v>2443</v>
      </c>
      <c r="K36" s="47" t="s">
        <v>38</v>
      </c>
      <c r="L36" s="47" t="s">
        <v>38</v>
      </c>
      <c r="M36" s="47">
        <v>41</v>
      </c>
      <c r="N36" s="47">
        <v>1.6782645136117935E-2</v>
      </c>
      <c r="O36" s="47">
        <v>34</v>
      </c>
      <c r="P36" s="47">
        <v>1</v>
      </c>
      <c r="Q36" s="47">
        <v>1</v>
      </c>
      <c r="R36" s="47" t="s">
        <v>38</v>
      </c>
      <c r="S36" s="47">
        <v>3.1518623232841492E-2</v>
      </c>
      <c r="T36" s="47" t="s">
        <v>38</v>
      </c>
      <c r="V36" s="236">
        <f t="shared" si="10"/>
        <v>27</v>
      </c>
      <c r="W36" s="236">
        <f t="shared" si="11"/>
        <v>27</v>
      </c>
      <c r="X36" s="237">
        <f t="shared" si="12"/>
        <v>45539</v>
      </c>
      <c r="Y36" s="236">
        <f t="shared" si="13"/>
        <v>77</v>
      </c>
      <c r="Z36" s="238">
        <f t="shared" si="14"/>
        <v>3.151862464183381E-2</v>
      </c>
      <c r="AA36" s="237">
        <f t="shared" si="15"/>
        <v>45539</v>
      </c>
      <c r="AB36" s="236" t="str">
        <f>IF(AF36="","",RANK(AF36,AF:AF,0)+COUNTIF($AF$1:AF35,AF36))</f>
        <v/>
      </c>
      <c r="AC36" s="238" t="str">
        <f t="shared" si="16"/>
        <v/>
      </c>
      <c r="AD36" s="238">
        <f t="shared" si="17"/>
        <v>1.6782645136117935E-2</v>
      </c>
      <c r="AE36" s="339">
        <f t="shared" si="18"/>
        <v>2443</v>
      </c>
      <c r="AF36" s="236" t="str">
        <f t="shared" si="19"/>
        <v/>
      </c>
      <c r="AG36" s="236" cm="1">
        <f t="array" aca="1" ref="AG36" ca="1">RANK(INDIRECT(ADDRESS(ROW(), MATCH(AG$1, INDEX(contents_raw, 2, 0), 0))),
INDIRECT(ADDRESS(1, MATCH(AG$1, INDEX(contents_raw, 2, 0), 0)) &amp; ":" &amp; ADDRESS(ROWS(contents_raw), MATCH(AG$1, INDEX(contents_raw, 2, 0), 0))), 0)</f>
        <v>30</v>
      </c>
      <c r="AH36" s="236" cm="1">
        <f t="array" aca="1" ref="AH36" ca="1">RANK(INDIRECT(ADDRESS(ROW(), MATCH(AH$1, INDEX(contents_raw, 2, 0), 0))),
INDIRECT(ADDRESS(1, MATCH(AH$1, INDEX(contents_raw, 2, 0), 0)) &amp; ":" &amp; ADDRESS(ROWS(contents_raw), MATCH(AH$1, INDEX(contents_raw, 2, 0), 0))), 0)</f>
        <v>29</v>
      </c>
      <c r="AI36" s="236" cm="1">
        <f t="array" aca="1" ref="AI36" ca="1">RANK(INDIRECT(ADDRESS(ROW(), MATCH(AI$1, INDEX(contents_raw, 2, 0), 0))),
INDIRECT(ADDRESS(1, MATCH(AI$1, INDEX(contents_raw, 2, 0), 0)) &amp; ":" &amp; ADDRESS(ROWS(contents_raw), MATCH(AI$1, INDEX(contents_raw, 2, 0), 0))), 0)</f>
        <v>28</v>
      </c>
    </row>
    <row r="37" spans="1:35">
      <c r="A37" s="47" t="s">
        <v>1163</v>
      </c>
      <c r="B37" s="340" t="s">
        <v>1164</v>
      </c>
      <c r="C37" s="47" t="s">
        <v>37</v>
      </c>
      <c r="D37" s="47" t="s">
        <v>38</v>
      </c>
      <c r="E37" s="47" t="s">
        <v>708</v>
      </c>
      <c r="F37" s="47" t="s">
        <v>1054</v>
      </c>
      <c r="G37" s="47" t="s">
        <v>38</v>
      </c>
      <c r="H37" s="47" t="s">
        <v>38</v>
      </c>
      <c r="I37" s="47" t="s">
        <v>39</v>
      </c>
      <c r="J37" s="47">
        <v>19708</v>
      </c>
      <c r="K37" s="47" t="s">
        <v>38</v>
      </c>
      <c r="L37" s="47" t="s">
        <v>38</v>
      </c>
      <c r="M37" s="47">
        <v>4047</v>
      </c>
      <c r="N37" s="47">
        <v>0.20534808933734894</v>
      </c>
      <c r="O37" s="47">
        <v>288</v>
      </c>
      <c r="P37" s="47">
        <v>3</v>
      </c>
      <c r="Q37" s="47">
        <v>13</v>
      </c>
      <c r="R37" s="47" t="s">
        <v>38</v>
      </c>
      <c r="S37" s="47">
        <v>0.22077329456806183</v>
      </c>
      <c r="T37" s="47" t="s">
        <v>38</v>
      </c>
      <c r="V37" s="236">
        <f t="shared" si="10"/>
        <v>7</v>
      </c>
      <c r="W37" s="236">
        <f t="shared" si="11"/>
        <v>7</v>
      </c>
      <c r="X37" s="237">
        <f t="shared" si="12"/>
        <v>45539</v>
      </c>
      <c r="Y37" s="236">
        <f t="shared" si="13"/>
        <v>4351</v>
      </c>
      <c r="Z37" s="238">
        <f t="shared" si="14"/>
        <v>0.22077329003450374</v>
      </c>
      <c r="AA37" s="237">
        <f t="shared" si="15"/>
        <v>45539</v>
      </c>
      <c r="AB37" s="236" t="str">
        <f>IF(AF37="","",RANK(AF37,AF:AF,0)+COUNTIF($AF$1:AF36,AF37))</f>
        <v/>
      </c>
      <c r="AC37" s="238" t="str">
        <f t="shared" si="16"/>
        <v/>
      </c>
      <c r="AD37" s="238">
        <f t="shared" si="17"/>
        <v>0.20534808933734894</v>
      </c>
      <c r="AE37" s="339">
        <f t="shared" si="18"/>
        <v>19708</v>
      </c>
      <c r="AF37" s="236" t="str">
        <f t="shared" si="19"/>
        <v/>
      </c>
      <c r="AG37" s="236" cm="1">
        <f t="array" aca="1" ref="AG37" ca="1">RANK(INDIRECT(ADDRESS(ROW(), MATCH(AG$1, INDEX(contents_raw, 2, 0), 0))),
INDIRECT(ADDRESS(1, MATCH(AG$1, INDEX(contents_raw, 2, 0), 0)) &amp; ":" &amp; ADDRESS(ROWS(contents_raw), MATCH(AG$1, INDEX(contents_raw, 2, 0), 0))), 0)</f>
        <v>1</v>
      </c>
      <c r="AH37" s="236" cm="1">
        <f t="array" aca="1" ref="AH37" ca="1">RANK(INDIRECT(ADDRESS(ROW(), MATCH(AH$1, INDEX(contents_raw, 2, 0), 0))),
INDIRECT(ADDRESS(1, MATCH(AH$1, INDEX(contents_raw, 2, 0), 0)) &amp; ":" &amp; ADDRESS(ROWS(contents_raw), MATCH(AH$1, INDEX(contents_raw, 2, 0), 0))), 0)</f>
        <v>7</v>
      </c>
      <c r="AI37" s="236" cm="1">
        <f t="array" aca="1" ref="AI37" ca="1">RANK(INDIRECT(ADDRESS(ROW(), MATCH(AI$1, INDEX(contents_raw, 2, 0), 0))),
INDIRECT(ADDRESS(1, MATCH(AI$1, INDEX(contents_raw, 2, 0), 0)) &amp; ":" &amp; ADDRESS(ROWS(contents_raw), MATCH(AI$1, INDEX(contents_raw, 2, 0), 0))), 0)</f>
        <v>1</v>
      </c>
    </row>
    <row r="38" spans="1:35">
      <c r="A38" s="47" t="s">
        <v>1165</v>
      </c>
      <c r="B38" s="340" t="s">
        <v>1166</v>
      </c>
      <c r="C38" s="47" t="s">
        <v>37</v>
      </c>
      <c r="D38" s="47" t="s">
        <v>38</v>
      </c>
      <c r="E38" s="47" t="s">
        <v>992</v>
      </c>
      <c r="F38" s="47" t="s">
        <v>1053</v>
      </c>
      <c r="G38" s="47" t="s">
        <v>38</v>
      </c>
      <c r="H38" s="47" t="s">
        <v>38</v>
      </c>
      <c r="I38" s="47" t="s">
        <v>39</v>
      </c>
      <c r="J38" s="47">
        <v>4782</v>
      </c>
      <c r="K38" s="47">
        <v>1979</v>
      </c>
      <c r="L38" s="47" t="s">
        <v>38</v>
      </c>
      <c r="M38" s="47">
        <v>202</v>
      </c>
      <c r="N38" s="47">
        <v>4.2241740971803665E-2</v>
      </c>
      <c r="O38" s="47">
        <v>57</v>
      </c>
      <c r="P38" s="47">
        <v>0</v>
      </c>
      <c r="Q38" s="47">
        <v>4</v>
      </c>
      <c r="R38" s="47" t="s">
        <v>38</v>
      </c>
      <c r="S38" s="47">
        <v>5.4997909814119339E-2</v>
      </c>
      <c r="T38" s="47" t="s">
        <v>40</v>
      </c>
      <c r="V38" s="236">
        <f t="shared" si="10"/>
        <v>17</v>
      </c>
      <c r="W38" s="236">
        <f t="shared" si="11"/>
        <v>17</v>
      </c>
      <c r="X38" s="237">
        <f t="shared" si="12"/>
        <v>45538</v>
      </c>
      <c r="Y38" s="236">
        <f t="shared" si="13"/>
        <v>263</v>
      </c>
      <c r="Z38" s="238">
        <f t="shared" si="14"/>
        <v>5.4997908824759516E-2</v>
      </c>
      <c r="AA38" s="237">
        <f t="shared" si="15"/>
        <v>45538</v>
      </c>
      <c r="AB38" s="236">
        <f>IF(AF38="","",RANK(AF38,AF:AF,0)+COUNTIF($AF$1:AF37,AF38))</f>
        <v>2</v>
      </c>
      <c r="AC38" s="238">
        <f t="shared" si="16"/>
        <v>0.32020075282308652</v>
      </c>
      <c r="AD38" s="238">
        <f t="shared" si="17"/>
        <v>4.2241740971803665E-2</v>
      </c>
      <c r="AE38" s="339">
        <f t="shared" si="18"/>
        <v>4782</v>
      </c>
      <c r="AF38" s="236">
        <f t="shared" si="19"/>
        <v>1979</v>
      </c>
      <c r="AG38" s="236" cm="1">
        <f t="array" aca="1" ref="AG38" ca="1">RANK(INDIRECT(ADDRESS(ROW(), MATCH(AG$1, INDEX(contents_raw, 2, 0), 0))),
INDIRECT(ADDRESS(1, MATCH(AG$1, INDEX(contents_raw, 2, 0), 0)) &amp; ":" &amp; ADDRESS(ROWS(contents_raw), MATCH(AG$1, INDEX(contents_raw, 2, 0), 0))), 0)</f>
        <v>17</v>
      </c>
      <c r="AH38" s="236" cm="1">
        <f t="array" aca="1" ref="AH38" ca="1">RANK(INDIRECT(ADDRESS(ROW(), MATCH(AH$1, INDEX(contents_raw, 2, 0), 0))),
INDIRECT(ADDRESS(1, MATCH(AH$1, INDEX(contents_raw, 2, 0), 0)) &amp; ":" &amp; ADDRESS(ROWS(contents_raw), MATCH(AH$1, INDEX(contents_raw, 2, 0), 0))), 0)</f>
        <v>16</v>
      </c>
      <c r="AI38" s="236" cm="1">
        <f t="array" aca="1" ref="AI38" ca="1">RANK(INDIRECT(ADDRESS(ROW(), MATCH(AI$1, INDEX(contents_raw, 2, 0), 0))),
INDIRECT(ADDRESS(1, MATCH(AI$1, INDEX(contents_raw, 2, 0), 0)) &amp; ":" &amp; ADDRESS(ROWS(contents_raw), MATCH(AI$1, INDEX(contents_raw, 2, 0), 0))), 0)</f>
        <v>14</v>
      </c>
    </row>
    <row r="39" spans="1:35">
      <c r="A39" s="47" t="s">
        <v>1167</v>
      </c>
      <c r="B39" s="340" t="s">
        <v>1168</v>
      </c>
      <c r="C39" s="47" t="s">
        <v>37</v>
      </c>
      <c r="D39" s="47" t="s">
        <v>38</v>
      </c>
      <c r="E39" s="47" t="s">
        <v>992</v>
      </c>
      <c r="F39" s="47" t="s">
        <v>1053</v>
      </c>
      <c r="G39" s="47" t="s">
        <v>38</v>
      </c>
      <c r="H39" s="47" t="s">
        <v>38</v>
      </c>
      <c r="I39" s="47" t="s">
        <v>39</v>
      </c>
      <c r="J39" s="47">
        <v>3527</v>
      </c>
      <c r="K39" s="47" t="s">
        <v>38</v>
      </c>
      <c r="L39" s="47" t="s">
        <v>38</v>
      </c>
      <c r="M39" s="47">
        <v>470</v>
      </c>
      <c r="N39" s="47">
        <v>0.13325773179531097</v>
      </c>
      <c r="O39" s="47">
        <v>23</v>
      </c>
      <c r="P39" s="47">
        <v>0</v>
      </c>
      <c r="Q39" s="47">
        <v>1</v>
      </c>
      <c r="R39" s="47" t="s">
        <v>38</v>
      </c>
      <c r="S39" s="47">
        <v>0.14006237685680389</v>
      </c>
      <c r="T39" s="47" t="s">
        <v>38</v>
      </c>
      <c r="V39" s="236">
        <f t="shared" si="10"/>
        <v>11</v>
      </c>
      <c r="W39" s="236">
        <f t="shared" si="11"/>
        <v>11</v>
      </c>
      <c r="X39" s="237">
        <f t="shared" si="12"/>
        <v>45538</v>
      </c>
      <c r="Y39" s="236">
        <f t="shared" si="13"/>
        <v>494</v>
      </c>
      <c r="Z39" s="238">
        <f t="shared" si="14"/>
        <v>0.14006237595690388</v>
      </c>
      <c r="AA39" s="237">
        <f t="shared" si="15"/>
        <v>45538</v>
      </c>
      <c r="AB39" s="236" t="str">
        <f>IF(AF39="","",RANK(AF39,AF:AF,0)+COUNTIF($AF$1:AF38,AF39))</f>
        <v/>
      </c>
      <c r="AC39" s="238" t="str">
        <f t="shared" si="16"/>
        <v/>
      </c>
      <c r="AD39" s="238">
        <f t="shared" si="17"/>
        <v>0.13325773179531097</v>
      </c>
      <c r="AE39" s="339">
        <f t="shared" si="18"/>
        <v>3527</v>
      </c>
      <c r="AF39" s="236" t="str">
        <f t="shared" si="19"/>
        <v/>
      </c>
      <c r="AG39" s="236" cm="1">
        <f t="array" aca="1" ref="AG39" ca="1">RANK(INDIRECT(ADDRESS(ROW(), MATCH(AG$1, INDEX(contents_raw, 2, 0), 0))),
INDIRECT(ADDRESS(1, MATCH(AG$1, INDEX(contents_raw, 2, 0), 0)) &amp; ":" &amp; ADDRESS(ROWS(contents_raw), MATCH(AG$1, INDEX(contents_raw, 2, 0), 0))), 0)</f>
        <v>12</v>
      </c>
      <c r="AH39" s="236" cm="1">
        <f t="array" aca="1" ref="AH39" ca="1">RANK(INDIRECT(ADDRESS(ROW(), MATCH(AH$1, INDEX(contents_raw, 2, 0), 0))),
INDIRECT(ADDRESS(1, MATCH(AH$1, INDEX(contents_raw, 2, 0), 0)) &amp; ":" &amp; ADDRESS(ROWS(contents_raw), MATCH(AH$1, INDEX(contents_raw, 2, 0), 0))), 0)</f>
        <v>11</v>
      </c>
      <c r="AI39" s="236" cm="1">
        <f t="array" aca="1" ref="AI39" ca="1">RANK(INDIRECT(ADDRESS(ROW(), MATCH(AI$1, INDEX(contents_raw, 2, 0), 0))),
INDIRECT(ADDRESS(1, MATCH(AI$1, INDEX(contents_raw, 2, 0), 0)) &amp; ":" &amp; ADDRESS(ROWS(contents_raw), MATCH(AI$1, INDEX(contents_raw, 2, 0), 0))), 0)</f>
        <v>24</v>
      </c>
    </row>
    <row r="40" spans="1:35">
      <c r="A40" s="47" t="s">
        <v>1169</v>
      </c>
      <c r="B40" s="47" t="s">
        <v>1170</v>
      </c>
      <c r="C40" s="47" t="s">
        <v>37</v>
      </c>
      <c r="D40" s="47" t="s">
        <v>38</v>
      </c>
      <c r="E40" s="47" t="s">
        <v>992</v>
      </c>
      <c r="F40" s="47" t="s">
        <v>1053</v>
      </c>
      <c r="G40" s="47" t="s">
        <v>38</v>
      </c>
      <c r="H40" s="47" t="s">
        <v>38</v>
      </c>
      <c r="I40" s="47" t="s">
        <v>39</v>
      </c>
      <c r="J40" s="47">
        <v>4934</v>
      </c>
      <c r="K40" s="47">
        <v>1824</v>
      </c>
      <c r="L40" s="47" t="s">
        <v>38</v>
      </c>
      <c r="M40" s="47">
        <v>254</v>
      </c>
      <c r="N40" s="47">
        <v>5.1479529589414597E-2</v>
      </c>
      <c r="O40" s="47">
        <v>47</v>
      </c>
      <c r="P40" s="47">
        <v>0</v>
      </c>
      <c r="Q40" s="47">
        <v>1</v>
      </c>
      <c r="R40" s="47" t="s">
        <v>38</v>
      </c>
      <c r="S40" s="47">
        <v>6.1207946389913559E-2</v>
      </c>
      <c r="T40" s="47" t="s">
        <v>40</v>
      </c>
      <c r="V40" s="236">
        <f t="shared" si="10"/>
        <v>14</v>
      </c>
      <c r="W40" s="236">
        <f t="shared" si="11"/>
        <v>14</v>
      </c>
      <c r="X40" s="237">
        <f t="shared" si="12"/>
        <v>45538</v>
      </c>
      <c r="Y40" s="236">
        <f t="shared" si="13"/>
        <v>302</v>
      </c>
      <c r="Z40" s="238">
        <f t="shared" si="14"/>
        <v>6.1207944872314554E-2</v>
      </c>
      <c r="AA40" s="237">
        <f t="shared" si="15"/>
        <v>45538</v>
      </c>
      <c r="AB40" s="236">
        <f>IF(AF40="","",RANK(AF40,AF:AF,0)+COUNTIF($AF$1:AF39,AF40))</f>
        <v>3</v>
      </c>
      <c r="AC40" s="238">
        <f t="shared" si="16"/>
        <v>0.30360762059181184</v>
      </c>
      <c r="AD40" s="238">
        <f t="shared" si="17"/>
        <v>5.1479529589414597E-2</v>
      </c>
      <c r="AE40" s="339">
        <f t="shared" si="18"/>
        <v>4934</v>
      </c>
      <c r="AF40" s="236">
        <f t="shared" si="19"/>
        <v>1824</v>
      </c>
      <c r="AG40" s="236" cm="1">
        <f t="array" aca="1" ref="AG40" ca="1">RANK(INDIRECT(ADDRESS(ROW(), MATCH(AG$1, INDEX(contents_raw, 2, 0), 0))),
INDIRECT(ADDRESS(1, MATCH(AG$1, INDEX(contents_raw, 2, 0), 0)) &amp; ":" &amp; ADDRESS(ROWS(contents_raw), MATCH(AG$1, INDEX(contents_raw, 2, 0), 0))), 0)</f>
        <v>16</v>
      </c>
      <c r="AH40" s="236" cm="1">
        <f t="array" aca="1" ref="AH40" ca="1">RANK(INDIRECT(ADDRESS(ROW(), MATCH(AH$1, INDEX(contents_raw, 2, 0), 0))),
INDIRECT(ADDRESS(1, MATCH(AH$1, INDEX(contents_raw, 2, 0), 0)) &amp; ":" &amp; ADDRESS(ROWS(contents_raw), MATCH(AH$1, INDEX(contents_raw, 2, 0), 0))), 0)</f>
        <v>13</v>
      </c>
      <c r="AI40" s="236" cm="1">
        <f t="array" aca="1" ref="AI40" ca="1">RANK(INDIRECT(ADDRESS(ROW(), MATCH(AI$1, INDEX(contents_raw, 2, 0), 0))),
INDIRECT(ADDRESS(1, MATCH(AI$1, INDEX(contents_raw, 2, 0), 0)) &amp; ":" &amp; ADDRESS(ROWS(contents_raw), MATCH(AI$1, INDEX(contents_raw, 2, 0), 0))), 0)</f>
        <v>12</v>
      </c>
    </row>
    <row r="41" spans="1:35">
      <c r="A41" s="47" t="s">
        <v>1171</v>
      </c>
      <c r="B41" s="47" t="s">
        <v>1172</v>
      </c>
      <c r="C41" s="47" t="s">
        <v>37</v>
      </c>
      <c r="D41" s="47" t="s">
        <v>38</v>
      </c>
      <c r="E41" s="47" t="s">
        <v>708</v>
      </c>
      <c r="F41" s="47" t="s">
        <v>1053</v>
      </c>
      <c r="G41" s="47" t="s">
        <v>38</v>
      </c>
      <c r="H41" s="47" t="s">
        <v>38</v>
      </c>
      <c r="I41" s="47" t="s">
        <v>39</v>
      </c>
      <c r="J41" s="47">
        <v>7597</v>
      </c>
      <c r="K41" s="47" t="s">
        <v>38</v>
      </c>
      <c r="L41" s="47" t="s">
        <v>38</v>
      </c>
      <c r="M41" s="47">
        <v>277</v>
      </c>
      <c r="N41" s="47">
        <v>3.6461763083934784E-2</v>
      </c>
      <c r="O41" s="47">
        <v>63</v>
      </c>
      <c r="P41" s="47">
        <v>1</v>
      </c>
      <c r="Q41" s="47">
        <v>1</v>
      </c>
      <c r="R41" s="47" t="s">
        <v>38</v>
      </c>
      <c r="S41" s="47">
        <v>4.5017771422863007E-2</v>
      </c>
      <c r="T41" s="47" t="s">
        <v>38</v>
      </c>
      <c r="V41" s="236">
        <f t="shared" si="10"/>
        <v>21</v>
      </c>
      <c r="W41" s="236">
        <f t="shared" si="11"/>
        <v>21</v>
      </c>
      <c r="X41" s="237">
        <f t="shared" si="12"/>
        <v>45538</v>
      </c>
      <c r="Y41" s="236">
        <f t="shared" si="13"/>
        <v>342</v>
      </c>
      <c r="Z41" s="238">
        <f t="shared" si="14"/>
        <v>4.5017770172436487E-2</v>
      </c>
      <c r="AA41" s="237">
        <f t="shared" si="15"/>
        <v>45538</v>
      </c>
      <c r="AB41" s="236" t="str">
        <f>IF(AF41="","",RANK(AF41,AF:AF,0)+COUNTIF($AF$1:AF40,AF41))</f>
        <v/>
      </c>
      <c r="AC41" s="238" t="str">
        <f t="shared" si="16"/>
        <v/>
      </c>
      <c r="AD41" s="238">
        <f t="shared" si="17"/>
        <v>3.6461763083934784E-2</v>
      </c>
      <c r="AE41" s="339">
        <f t="shared" si="18"/>
        <v>7597</v>
      </c>
      <c r="AF41" s="236" t="str">
        <f t="shared" si="19"/>
        <v/>
      </c>
      <c r="AG41" s="236" cm="1">
        <f t="array" aca="1" ref="AG41" ca="1">RANK(INDIRECT(ADDRESS(ROW(), MATCH(AG$1, INDEX(contents_raw, 2, 0), 0))),
INDIRECT(ADDRESS(1, MATCH(AG$1, INDEX(contents_raw, 2, 0), 0)) &amp; ":" &amp; ADDRESS(ROWS(contents_raw), MATCH(AG$1, INDEX(contents_raw, 2, 0), 0))), 0)</f>
        <v>15</v>
      </c>
      <c r="AH41" s="236" cm="1">
        <f t="array" aca="1" ref="AH41" ca="1">RANK(INDIRECT(ADDRESS(ROW(), MATCH(AH$1, INDEX(contents_raw, 2, 0), 0))),
INDIRECT(ADDRESS(1, MATCH(AH$1, INDEX(contents_raw, 2, 0), 0)) &amp; ":" &amp; ADDRESS(ROWS(contents_raw), MATCH(AH$1, INDEX(contents_raw, 2, 0), 0))), 0)</f>
        <v>18</v>
      </c>
      <c r="AI41" s="236" cm="1">
        <f t="array" aca="1" ref="AI41" ca="1">RANK(INDIRECT(ADDRESS(ROW(), MATCH(AI$1, INDEX(contents_raw, 2, 0), 0))),
INDIRECT(ADDRESS(1, MATCH(AI$1, INDEX(contents_raw, 2, 0), 0)) &amp; ":" &amp; ADDRESS(ROWS(contents_raw), MATCH(AI$1, INDEX(contents_raw, 2, 0), 0))), 0)</f>
        <v>5</v>
      </c>
    </row>
    <row r="42" spans="1:35">
      <c r="A42" s="47" t="s">
        <v>1173</v>
      </c>
      <c r="B42" s="47" t="s">
        <v>1174</v>
      </c>
      <c r="C42" s="47" t="s">
        <v>37</v>
      </c>
      <c r="D42" s="47" t="s">
        <v>38</v>
      </c>
      <c r="E42" s="47" t="s">
        <v>708</v>
      </c>
      <c r="F42" s="47" t="s">
        <v>1052</v>
      </c>
      <c r="G42" s="47" t="s">
        <v>38</v>
      </c>
      <c r="H42" s="47" t="s">
        <v>38</v>
      </c>
      <c r="I42" s="47" t="s">
        <v>39</v>
      </c>
      <c r="J42" s="47">
        <v>2703</v>
      </c>
      <c r="K42" s="47" t="s">
        <v>38</v>
      </c>
      <c r="L42" s="47" t="s">
        <v>38</v>
      </c>
      <c r="M42" s="47">
        <v>133</v>
      </c>
      <c r="N42" s="47">
        <v>4.9204587936401367E-2</v>
      </c>
      <c r="O42" s="47">
        <v>24</v>
      </c>
      <c r="P42" s="47">
        <v>0</v>
      </c>
      <c r="Q42" s="47">
        <v>0</v>
      </c>
      <c r="R42" s="47" t="s">
        <v>38</v>
      </c>
      <c r="S42" s="47">
        <v>5.8083612471818924E-2</v>
      </c>
      <c r="T42" s="47" t="s">
        <v>38</v>
      </c>
      <c r="V42" s="236">
        <f t="shared" si="10"/>
        <v>16</v>
      </c>
      <c r="W42" s="236">
        <f t="shared" si="11"/>
        <v>16</v>
      </c>
      <c r="X42" s="237">
        <f t="shared" si="12"/>
        <v>45537</v>
      </c>
      <c r="Y42" s="236">
        <f t="shared" si="13"/>
        <v>157</v>
      </c>
      <c r="Z42" s="238">
        <f t="shared" si="14"/>
        <v>5.8083610802811693E-2</v>
      </c>
      <c r="AA42" s="237">
        <f t="shared" si="15"/>
        <v>45537</v>
      </c>
      <c r="AB42" s="236" t="str">
        <f>IF(AF42="","",RANK(AF42,AF:AF,0)+COUNTIF($AF$1:AF41,AF42))</f>
        <v/>
      </c>
      <c r="AC42" s="238" t="str">
        <f t="shared" si="16"/>
        <v/>
      </c>
      <c r="AD42" s="238">
        <f t="shared" si="17"/>
        <v>4.9204587936401367E-2</v>
      </c>
      <c r="AE42" s="339">
        <f t="shared" si="18"/>
        <v>2703</v>
      </c>
      <c r="AF42" s="236" t="str">
        <f t="shared" si="19"/>
        <v/>
      </c>
      <c r="AG42" s="236" cm="1">
        <f t="array" aca="1" ref="AG42" ca="1">RANK(INDIRECT(ADDRESS(ROW(), MATCH(AG$1, INDEX(contents_raw, 2, 0), 0))),
INDIRECT(ADDRESS(1, MATCH(AG$1, INDEX(contents_raw, 2, 0), 0)) &amp; ":" &amp; ADDRESS(ROWS(contents_raw), MATCH(AG$1, INDEX(contents_raw, 2, 0), 0))), 0)</f>
        <v>24</v>
      </c>
      <c r="AH42" s="236" cm="1">
        <f t="array" aca="1" ref="AH42" ca="1">RANK(INDIRECT(ADDRESS(ROW(), MATCH(AH$1, INDEX(contents_raw, 2, 0), 0))),
INDIRECT(ADDRESS(1, MATCH(AH$1, INDEX(contents_raw, 2, 0), 0)) &amp; ":" &amp; ADDRESS(ROWS(contents_raw), MATCH(AH$1, INDEX(contents_raw, 2, 0), 0))), 0)</f>
        <v>14</v>
      </c>
      <c r="AI42" s="236" cm="1">
        <f t="array" aca="1" ref="AI42" ca="1">RANK(INDIRECT(ADDRESS(ROW(), MATCH(AI$1, INDEX(contents_raw, 2, 0), 0))),
INDIRECT(ADDRESS(1, MATCH(AI$1, INDEX(contents_raw, 2, 0), 0)) &amp; ":" &amp; ADDRESS(ROWS(contents_raw), MATCH(AI$1, INDEX(contents_raw, 2, 0), 0))), 0)</f>
        <v>26</v>
      </c>
    </row>
    <row r="43" spans="1:35">
      <c r="A43" s="47"/>
      <c r="B43" s="47"/>
      <c r="C43" s="47"/>
      <c r="D43" s="47"/>
      <c r="E43" s="47"/>
      <c r="F43" s="47"/>
      <c r="G43" s="47"/>
      <c r="H43" s="47"/>
      <c r="I43" s="47"/>
      <c r="J43" s="47"/>
      <c r="K43" s="47"/>
      <c r="L43" s="47"/>
      <c r="M43" s="47"/>
      <c r="N43" s="47"/>
      <c r="O43" s="47"/>
      <c r="P43" s="47"/>
      <c r="Q43" s="47"/>
      <c r="R43" s="47"/>
      <c r="S43" s="47"/>
      <c r="T43" s="47"/>
      <c r="V43" s="236" t="str">
        <f t="shared" si="10"/>
        <v/>
      </c>
      <c r="W43" s="236" t="str">
        <f t="shared" si="11"/>
        <v/>
      </c>
      <c r="X43" s="237" t="str">
        <f t="shared" si="12"/>
        <v/>
      </c>
      <c r="Y43" s="236" t="str">
        <f t="shared" si="13"/>
        <v/>
      </c>
      <c r="Z43" s="238" t="str">
        <f t="shared" si="14"/>
        <v/>
      </c>
      <c r="AA43" s="237" t="e">
        <f t="shared" si="15"/>
        <v>#VALUE!</v>
      </c>
      <c r="AB43" s="236" t="str">
        <f>IF(AF43="","",RANK(AF43,AF:AF,0)+COUNTIF($AF$1:AF42,AF43))</f>
        <v/>
      </c>
      <c r="AC43" s="238" t="str">
        <f t="shared" si="16"/>
        <v/>
      </c>
      <c r="AD43" s="238" t="str">
        <f t="shared" si="17"/>
        <v/>
      </c>
      <c r="AE43" s="339" t="str">
        <f t="shared" si="18"/>
        <v/>
      </c>
      <c r="AF43" s="236" t="str">
        <f t="shared" si="19"/>
        <v/>
      </c>
      <c r="AG43" s="236" t="e" cm="1">
        <f t="array" aca="1" ref="AG43" ca="1">RANK(INDIRECT(ADDRESS(ROW(), MATCH(AG$1, INDEX(contents_raw, 2, 0), 0))),
INDIRECT(ADDRESS(1, MATCH(AG$1, INDEX(contents_raw, 2, 0), 0)) &amp; ":" &amp; ADDRESS(ROWS(contents_raw), MATCH(AG$1, INDEX(contents_raw, 2, 0), 0))), 0)</f>
        <v>#VALUE!</v>
      </c>
      <c r="AH43" s="236" t="e" cm="1">
        <f t="array" aca="1" ref="AH43" ca="1">RANK(INDIRECT(ADDRESS(ROW(), MATCH(AH$1, INDEX(contents_raw, 2, 0), 0))),
INDIRECT(ADDRESS(1, MATCH(AH$1, INDEX(contents_raw, 2, 0), 0)) &amp; ":" &amp; ADDRESS(ROWS(contents_raw), MATCH(AH$1, INDEX(contents_raw, 2, 0), 0))), 0)</f>
        <v>#VALUE!</v>
      </c>
      <c r="AI43" s="236" t="e" cm="1">
        <f t="array" aca="1" ref="AI43" ca="1">RANK(INDIRECT(ADDRESS(ROW(), MATCH(AI$1, INDEX(contents_raw, 2, 0), 0))),
INDIRECT(ADDRESS(1, MATCH(AI$1, INDEX(contents_raw, 2, 0), 0)) &amp; ":" &amp; ADDRESS(ROWS(contents_raw), MATCH(AI$1, INDEX(contents_raw, 2, 0), 0))), 0)</f>
        <v>#VALUE!</v>
      </c>
    </row>
    <row r="44" spans="1:35">
      <c r="A44" s="47"/>
      <c r="B44" s="47"/>
      <c r="C44" s="47"/>
      <c r="D44" s="47"/>
      <c r="E44" s="47"/>
      <c r="F44" s="47"/>
      <c r="G44" s="47"/>
      <c r="H44" s="47"/>
      <c r="I44" s="47"/>
      <c r="J44" s="47"/>
      <c r="K44" s="47"/>
      <c r="L44" s="47"/>
      <c r="M44" s="47"/>
      <c r="N44" s="47"/>
      <c r="O44" s="47"/>
      <c r="P44" s="47"/>
      <c r="Q44" s="47"/>
      <c r="R44" s="47"/>
      <c r="S44" s="47"/>
      <c r="T44" s="47"/>
      <c r="V44" s="236" t="str">
        <f t="shared" si="10"/>
        <v/>
      </c>
      <c r="W44" s="236" t="str">
        <f t="shared" si="11"/>
        <v/>
      </c>
      <c r="X44" s="237" t="str">
        <f t="shared" si="12"/>
        <v/>
      </c>
      <c r="Y44" s="236" t="str">
        <f t="shared" si="13"/>
        <v/>
      </c>
      <c r="Z44" s="238" t="str">
        <f t="shared" si="14"/>
        <v/>
      </c>
      <c r="AA44" s="237" t="e">
        <f t="shared" si="15"/>
        <v>#VALUE!</v>
      </c>
      <c r="AB44" s="236" t="str">
        <f>IF(AF44="","",RANK(AF44,AF:AF,0)+COUNTIF($AF$1:AF43,AF44))</f>
        <v/>
      </c>
      <c r="AC44" s="238" t="str">
        <f t="shared" si="16"/>
        <v/>
      </c>
      <c r="AD44" s="238" t="str">
        <f t="shared" si="17"/>
        <v/>
      </c>
      <c r="AE44" s="339" t="str">
        <f t="shared" si="18"/>
        <v/>
      </c>
      <c r="AF44" s="236" t="str">
        <f t="shared" si="19"/>
        <v/>
      </c>
      <c r="AG44" s="236" t="e" cm="1">
        <f t="array" aca="1" ref="AG44" ca="1">RANK(INDIRECT(ADDRESS(ROW(), MATCH(AG$1, INDEX(contents_raw, 2, 0), 0))),
INDIRECT(ADDRESS(1, MATCH(AG$1, INDEX(contents_raw, 2, 0), 0)) &amp; ":" &amp; ADDRESS(ROWS(contents_raw), MATCH(AG$1, INDEX(contents_raw, 2, 0), 0))), 0)</f>
        <v>#VALUE!</v>
      </c>
      <c r="AH44" s="236" t="e" cm="1">
        <f t="array" aca="1" ref="AH44" ca="1">RANK(INDIRECT(ADDRESS(ROW(), MATCH(AH$1, INDEX(contents_raw, 2, 0), 0))),
INDIRECT(ADDRESS(1, MATCH(AH$1, INDEX(contents_raw, 2, 0), 0)) &amp; ":" &amp; ADDRESS(ROWS(contents_raw), MATCH(AH$1, INDEX(contents_raw, 2, 0), 0))), 0)</f>
        <v>#VALUE!</v>
      </c>
      <c r="AI44" s="236" t="e" cm="1">
        <f t="array" aca="1" ref="AI44" ca="1">RANK(INDIRECT(ADDRESS(ROW(), MATCH(AI$1, INDEX(contents_raw, 2, 0), 0))),
INDIRECT(ADDRESS(1, MATCH(AI$1, INDEX(contents_raw, 2, 0), 0)) &amp; ":" &amp; ADDRESS(ROWS(contents_raw), MATCH(AI$1, INDEX(contents_raw, 2, 0), 0))), 0)</f>
        <v>#VALUE!</v>
      </c>
    </row>
    <row r="45" spans="1:35">
      <c r="A45" s="47"/>
      <c r="B45" s="47"/>
      <c r="C45" s="47"/>
      <c r="D45" s="47"/>
      <c r="E45" s="47"/>
      <c r="F45" s="47"/>
      <c r="G45" s="47"/>
      <c r="H45" s="47"/>
      <c r="I45" s="47"/>
      <c r="J45" s="47"/>
      <c r="K45" s="47"/>
      <c r="L45" s="47"/>
      <c r="M45" s="47"/>
      <c r="N45" s="47"/>
      <c r="O45" s="47"/>
      <c r="P45" s="47"/>
      <c r="Q45" s="47"/>
      <c r="R45" s="47"/>
      <c r="S45" s="47"/>
      <c r="T45" s="47"/>
      <c r="V45" s="236" t="str">
        <f t="shared" si="10"/>
        <v/>
      </c>
      <c r="W45" s="236" t="str">
        <f t="shared" si="11"/>
        <v/>
      </c>
      <c r="X45" s="237" t="str">
        <f t="shared" si="12"/>
        <v/>
      </c>
      <c r="Y45" s="236" t="str">
        <f t="shared" si="13"/>
        <v/>
      </c>
      <c r="Z45" s="238" t="str">
        <f t="shared" si="14"/>
        <v/>
      </c>
      <c r="AA45" s="237" t="e">
        <f t="shared" si="15"/>
        <v>#VALUE!</v>
      </c>
      <c r="AB45" s="236" t="str">
        <f>IF(AF45="","",RANK(AF45,AF:AF,0)+COUNTIF($AF$1:AF44,AF45))</f>
        <v/>
      </c>
      <c r="AC45" s="238" t="str">
        <f t="shared" si="16"/>
        <v/>
      </c>
      <c r="AD45" s="238" t="str">
        <f t="shared" si="17"/>
        <v/>
      </c>
      <c r="AE45" s="339" t="str">
        <f t="shared" si="18"/>
        <v/>
      </c>
      <c r="AF45" s="236" t="str">
        <f t="shared" si="19"/>
        <v/>
      </c>
      <c r="AG45" s="236" t="e" cm="1">
        <f t="array" aca="1" ref="AG45" ca="1">RANK(INDIRECT(ADDRESS(ROW(), MATCH(AG$1, INDEX(contents_raw, 2, 0), 0))),
INDIRECT(ADDRESS(1, MATCH(AG$1, INDEX(contents_raw, 2, 0), 0)) &amp; ":" &amp; ADDRESS(ROWS(contents_raw), MATCH(AG$1, INDEX(contents_raw, 2, 0), 0))), 0)</f>
        <v>#VALUE!</v>
      </c>
      <c r="AH45" s="236" t="e" cm="1">
        <f t="array" aca="1" ref="AH45" ca="1">RANK(INDIRECT(ADDRESS(ROW(), MATCH(AH$1, INDEX(contents_raw, 2, 0), 0))),
INDIRECT(ADDRESS(1, MATCH(AH$1, INDEX(contents_raw, 2, 0), 0)) &amp; ":" &amp; ADDRESS(ROWS(contents_raw), MATCH(AH$1, INDEX(contents_raw, 2, 0), 0))), 0)</f>
        <v>#VALUE!</v>
      </c>
      <c r="AI45" s="236" t="e" cm="1">
        <f t="array" aca="1" ref="AI45" ca="1">RANK(INDIRECT(ADDRESS(ROW(), MATCH(AI$1, INDEX(contents_raw, 2, 0), 0))),
INDIRECT(ADDRESS(1, MATCH(AI$1, INDEX(contents_raw, 2, 0), 0)) &amp; ":" &amp; ADDRESS(ROWS(contents_raw), MATCH(AI$1, INDEX(contents_raw, 2, 0), 0))), 0)</f>
        <v>#VALUE!</v>
      </c>
    </row>
    <row r="46" spans="1:35">
      <c r="A46" s="47"/>
      <c r="B46" s="47"/>
      <c r="C46" s="47"/>
      <c r="D46" s="47"/>
      <c r="E46" s="47"/>
      <c r="F46" s="47"/>
      <c r="G46" s="47"/>
      <c r="H46" s="47"/>
      <c r="I46" s="47"/>
      <c r="J46" s="47"/>
      <c r="K46" s="47"/>
      <c r="L46" s="47"/>
      <c r="M46" s="47"/>
      <c r="N46" s="47"/>
      <c r="O46" s="47"/>
      <c r="P46" s="47"/>
      <c r="Q46" s="47"/>
      <c r="R46" s="47"/>
      <c r="S46" s="47"/>
      <c r="T46" s="47"/>
      <c r="V46" s="236" t="str">
        <f t="shared" si="10"/>
        <v/>
      </c>
      <c r="W46" s="236" t="str">
        <f t="shared" si="11"/>
        <v/>
      </c>
      <c r="X46" s="237" t="str">
        <f t="shared" si="12"/>
        <v/>
      </c>
      <c r="Y46" s="236" t="str">
        <f t="shared" si="13"/>
        <v/>
      </c>
      <c r="Z46" s="238" t="str">
        <f t="shared" si="14"/>
        <v/>
      </c>
      <c r="AA46" s="237" t="e">
        <f t="shared" si="15"/>
        <v>#VALUE!</v>
      </c>
      <c r="AB46" s="236" t="str">
        <f>IF(AF46="","",RANK(AF46,AF:AF,0)+COUNTIF($AF$1:AF45,AF46))</f>
        <v/>
      </c>
      <c r="AC46" s="238" t="str">
        <f t="shared" si="16"/>
        <v/>
      </c>
      <c r="AD46" s="238" t="str">
        <f t="shared" si="17"/>
        <v/>
      </c>
      <c r="AE46" s="339" t="str">
        <f t="shared" si="18"/>
        <v/>
      </c>
      <c r="AF46" s="236" t="str">
        <f t="shared" si="19"/>
        <v/>
      </c>
      <c r="AG46" s="236" t="e" cm="1">
        <f t="array" aca="1" ref="AG46" ca="1">RANK(INDIRECT(ADDRESS(ROW(), MATCH(AG$1, INDEX(contents_raw, 2, 0), 0))),
INDIRECT(ADDRESS(1, MATCH(AG$1, INDEX(contents_raw, 2, 0), 0)) &amp; ":" &amp; ADDRESS(ROWS(contents_raw), MATCH(AG$1, INDEX(contents_raw, 2, 0), 0))), 0)</f>
        <v>#VALUE!</v>
      </c>
      <c r="AH46" s="236" t="e" cm="1">
        <f t="array" aca="1" ref="AH46" ca="1">RANK(INDIRECT(ADDRESS(ROW(), MATCH(AH$1, INDEX(contents_raw, 2, 0), 0))),
INDIRECT(ADDRESS(1, MATCH(AH$1, INDEX(contents_raw, 2, 0), 0)) &amp; ":" &amp; ADDRESS(ROWS(contents_raw), MATCH(AH$1, INDEX(contents_raw, 2, 0), 0))), 0)</f>
        <v>#VALUE!</v>
      </c>
      <c r="AI46" s="236" t="e" cm="1">
        <f t="array" aca="1" ref="AI46" ca="1">RANK(INDIRECT(ADDRESS(ROW(), MATCH(AI$1, INDEX(contents_raw, 2, 0), 0))),
INDIRECT(ADDRESS(1, MATCH(AI$1, INDEX(contents_raw, 2, 0), 0)) &amp; ":" &amp; ADDRESS(ROWS(contents_raw), MATCH(AI$1, INDEX(contents_raw, 2, 0), 0))), 0)</f>
        <v>#VALUE!</v>
      </c>
    </row>
    <row r="47" spans="1:35">
      <c r="A47" s="47"/>
      <c r="B47" s="47"/>
      <c r="C47" s="47"/>
      <c r="D47" s="47"/>
      <c r="E47" s="47"/>
      <c r="F47" s="47"/>
      <c r="G47" s="47"/>
      <c r="H47" s="47"/>
      <c r="I47" s="47"/>
      <c r="J47" s="47"/>
      <c r="K47" s="47"/>
      <c r="L47" s="47"/>
      <c r="M47" s="47"/>
      <c r="N47" s="47"/>
      <c r="O47" s="47"/>
      <c r="P47" s="47"/>
      <c r="Q47" s="47"/>
      <c r="R47" s="47"/>
      <c r="S47" s="47"/>
      <c r="T47" s="47"/>
      <c r="V47" s="236" t="str">
        <f t="shared" si="10"/>
        <v/>
      </c>
      <c r="W47" s="236" t="str">
        <f t="shared" si="11"/>
        <v/>
      </c>
      <c r="X47" s="237" t="str">
        <f t="shared" si="12"/>
        <v/>
      </c>
      <c r="Y47" s="236" t="str">
        <f t="shared" si="13"/>
        <v/>
      </c>
      <c r="Z47" s="238" t="str">
        <f t="shared" si="14"/>
        <v/>
      </c>
      <c r="AA47" s="237" t="e">
        <f t="shared" si="15"/>
        <v>#VALUE!</v>
      </c>
      <c r="AB47" s="236" t="str">
        <f>IF(AF47="","",RANK(AF47,AF:AF,0)+COUNTIF($AF$1:AF46,AF47))</f>
        <v/>
      </c>
      <c r="AC47" s="238" t="str">
        <f t="shared" si="16"/>
        <v/>
      </c>
      <c r="AD47" s="238" t="str">
        <f t="shared" si="17"/>
        <v/>
      </c>
      <c r="AE47" s="339" t="str">
        <f t="shared" si="18"/>
        <v/>
      </c>
      <c r="AF47" s="236" t="str">
        <f t="shared" si="19"/>
        <v/>
      </c>
      <c r="AG47" s="236" t="e" cm="1">
        <f t="array" aca="1" ref="AG47" ca="1">RANK(INDIRECT(ADDRESS(ROW(), MATCH(AG$1, INDEX(contents_raw, 2, 0), 0))),
INDIRECT(ADDRESS(1, MATCH(AG$1, INDEX(contents_raw, 2, 0), 0)) &amp; ":" &amp; ADDRESS(ROWS(contents_raw), MATCH(AG$1, INDEX(contents_raw, 2, 0), 0))), 0)</f>
        <v>#VALUE!</v>
      </c>
      <c r="AH47" s="236" t="e" cm="1">
        <f t="array" aca="1" ref="AH47" ca="1">RANK(INDIRECT(ADDRESS(ROW(), MATCH(AH$1, INDEX(contents_raw, 2, 0), 0))),
INDIRECT(ADDRESS(1, MATCH(AH$1, INDEX(contents_raw, 2, 0), 0)) &amp; ":" &amp; ADDRESS(ROWS(contents_raw), MATCH(AH$1, INDEX(contents_raw, 2, 0), 0))), 0)</f>
        <v>#VALUE!</v>
      </c>
      <c r="AI47" s="236" t="e" cm="1">
        <f t="array" aca="1" ref="AI47" ca="1">RANK(INDIRECT(ADDRESS(ROW(), MATCH(AI$1, INDEX(contents_raw, 2, 0), 0))),
INDIRECT(ADDRESS(1, MATCH(AI$1, INDEX(contents_raw, 2, 0), 0)) &amp; ":" &amp; ADDRESS(ROWS(contents_raw), MATCH(AI$1, INDEX(contents_raw, 2, 0), 0))), 0)</f>
        <v>#VALUE!</v>
      </c>
    </row>
    <row r="48" spans="1:35">
      <c r="A48" s="47"/>
      <c r="B48" s="47"/>
      <c r="C48" s="47"/>
      <c r="D48" s="47"/>
      <c r="E48" s="47"/>
      <c r="F48" s="47"/>
      <c r="G48" s="47"/>
      <c r="H48" s="47"/>
      <c r="I48" s="47"/>
      <c r="J48" s="47"/>
      <c r="K48" s="47"/>
      <c r="L48" s="47"/>
      <c r="M48" s="47"/>
      <c r="N48" s="47"/>
      <c r="O48" s="47"/>
      <c r="P48" s="47"/>
      <c r="Q48" s="47"/>
      <c r="R48" s="47"/>
      <c r="S48" s="47"/>
      <c r="T48" s="47"/>
      <c r="V48" s="236" t="str">
        <f t="shared" si="10"/>
        <v/>
      </c>
      <c r="W48" s="236" t="str">
        <f t="shared" si="11"/>
        <v/>
      </c>
      <c r="X48" s="237" t="str">
        <f t="shared" si="12"/>
        <v/>
      </c>
      <c r="Y48" s="236" t="str">
        <f t="shared" si="13"/>
        <v/>
      </c>
      <c r="Z48" s="238" t="str">
        <f t="shared" si="14"/>
        <v/>
      </c>
      <c r="AA48" s="237" t="e">
        <f t="shared" si="15"/>
        <v>#VALUE!</v>
      </c>
      <c r="AB48" s="236" t="str">
        <f>IF(AF48="","",RANK(AF48,AF:AF,0)+COUNTIF($AF$1:AF47,AF48))</f>
        <v/>
      </c>
      <c r="AC48" s="238" t="str">
        <f t="shared" si="16"/>
        <v/>
      </c>
      <c r="AD48" s="238" t="str">
        <f t="shared" si="17"/>
        <v/>
      </c>
      <c r="AE48" s="339" t="str">
        <f t="shared" si="18"/>
        <v/>
      </c>
      <c r="AF48" s="236" t="str">
        <f t="shared" si="19"/>
        <v/>
      </c>
      <c r="AG48" s="236" t="e" cm="1">
        <f t="array" aca="1" ref="AG48" ca="1">RANK(INDIRECT(ADDRESS(ROW(), MATCH(AG$1, INDEX(contents_raw, 2, 0), 0))),
INDIRECT(ADDRESS(1, MATCH(AG$1, INDEX(contents_raw, 2, 0), 0)) &amp; ":" &amp; ADDRESS(ROWS(contents_raw), MATCH(AG$1, INDEX(contents_raw, 2, 0), 0))), 0)</f>
        <v>#VALUE!</v>
      </c>
      <c r="AH48" s="236" t="e" cm="1">
        <f t="array" aca="1" ref="AH48" ca="1">RANK(INDIRECT(ADDRESS(ROW(), MATCH(AH$1, INDEX(contents_raw, 2, 0), 0))),
INDIRECT(ADDRESS(1, MATCH(AH$1, INDEX(contents_raw, 2, 0), 0)) &amp; ":" &amp; ADDRESS(ROWS(contents_raw), MATCH(AH$1, INDEX(contents_raw, 2, 0), 0))), 0)</f>
        <v>#VALUE!</v>
      </c>
      <c r="AI48" s="236" t="e" cm="1">
        <f t="array" aca="1" ref="AI48" ca="1">RANK(INDIRECT(ADDRESS(ROW(), MATCH(AI$1, INDEX(contents_raw, 2, 0), 0))),
INDIRECT(ADDRESS(1, MATCH(AI$1, INDEX(contents_raw, 2, 0), 0)) &amp; ":" &amp; ADDRESS(ROWS(contents_raw), MATCH(AI$1, INDEX(contents_raw, 2, 0), 0))), 0)</f>
        <v>#VALUE!</v>
      </c>
    </row>
    <row r="49" spans="1:35">
      <c r="A49" s="47"/>
      <c r="B49" s="47"/>
      <c r="C49" s="47"/>
      <c r="D49" s="47"/>
      <c r="E49" s="47"/>
      <c r="F49" s="47"/>
      <c r="G49" s="47"/>
      <c r="H49" s="47"/>
      <c r="I49" s="47"/>
      <c r="J49" s="47"/>
      <c r="K49" s="47"/>
      <c r="L49" s="47"/>
      <c r="M49" s="47"/>
      <c r="N49" s="47"/>
      <c r="O49" s="47"/>
      <c r="P49" s="47"/>
      <c r="Q49" s="47"/>
      <c r="R49" s="47"/>
      <c r="S49" s="47"/>
      <c r="T49" s="47"/>
      <c r="V49" s="236" t="str">
        <f t="shared" ref="V49:V57" si="20">IF(Z49="","",_xlfn.RANK.EQ(Z49,Z:Z,0))</f>
        <v/>
      </c>
      <c r="W49" s="236" t="str">
        <f t="shared" ref="W49:W57" si="21">IF(V49="","",_xlfn.RANK.EQ(V49,V:V,1))</f>
        <v/>
      </c>
      <c r="X49" s="237" t="str">
        <f t="shared" si="12"/>
        <v/>
      </c>
      <c r="Y49" s="236" t="str">
        <f t="shared" si="13"/>
        <v/>
      </c>
      <c r="Z49" s="238" t="str">
        <f t="shared" si="14"/>
        <v/>
      </c>
      <c r="AA49" s="237" t="e">
        <f t="shared" si="15"/>
        <v>#VALUE!</v>
      </c>
      <c r="AB49" s="236" t="str">
        <f>IF(AF49="","",RANK(AF49,AF:AF,0)+COUNTIF($AF$1:AF48,AF49))</f>
        <v/>
      </c>
      <c r="AC49" s="238" t="str">
        <f t="shared" si="16"/>
        <v/>
      </c>
      <c r="AD49" s="238" t="str">
        <f t="shared" si="17"/>
        <v/>
      </c>
      <c r="AE49" s="339" t="str">
        <f t="shared" si="18"/>
        <v/>
      </c>
      <c r="AF49" s="236" t="str">
        <f t="shared" si="19"/>
        <v/>
      </c>
      <c r="AG49" s="236" t="e" cm="1">
        <f t="array" aca="1" ref="AG49" ca="1">RANK(INDIRECT(ADDRESS(ROW(), MATCH(AG$1, INDEX(contents_raw, 2, 0), 0))),
INDIRECT(ADDRESS(1, MATCH(AG$1, INDEX(contents_raw, 2, 0), 0)) &amp; ":" &amp; ADDRESS(ROWS(contents_raw), MATCH(AG$1, INDEX(contents_raw, 2, 0), 0))), 0)</f>
        <v>#VALUE!</v>
      </c>
      <c r="AH49" s="236" t="e" cm="1">
        <f t="array" aca="1" ref="AH49" ca="1">RANK(INDIRECT(ADDRESS(ROW(), MATCH(AH$1, INDEX(contents_raw, 2, 0), 0))),
INDIRECT(ADDRESS(1, MATCH(AH$1, INDEX(contents_raw, 2, 0), 0)) &amp; ":" &amp; ADDRESS(ROWS(contents_raw), MATCH(AH$1, INDEX(contents_raw, 2, 0), 0))), 0)</f>
        <v>#VALUE!</v>
      </c>
      <c r="AI49" s="236" t="e" cm="1">
        <f t="array" aca="1" ref="AI49" ca="1">RANK(INDIRECT(ADDRESS(ROW(), MATCH(AI$1, INDEX(contents_raw, 2, 0), 0))),
INDIRECT(ADDRESS(1, MATCH(AI$1, INDEX(contents_raw, 2, 0), 0)) &amp; ":" &amp; ADDRESS(ROWS(contents_raw), MATCH(AI$1, INDEX(contents_raw, 2, 0), 0))), 0)</f>
        <v>#VALUE!</v>
      </c>
    </row>
    <row r="50" spans="1:35">
      <c r="A50" s="47"/>
      <c r="B50" s="47"/>
      <c r="C50" s="47"/>
      <c r="D50" s="47"/>
      <c r="E50" s="47"/>
      <c r="F50" s="47"/>
      <c r="G50" s="47"/>
      <c r="H50" s="47"/>
      <c r="I50" s="47"/>
      <c r="J50" s="47"/>
      <c r="K50" s="47"/>
      <c r="L50" s="47"/>
      <c r="M50" s="47"/>
      <c r="N50" s="47"/>
      <c r="O50" s="47"/>
      <c r="P50" s="47"/>
      <c r="Q50" s="47"/>
      <c r="R50" s="47"/>
      <c r="S50" s="47"/>
      <c r="T50" s="47"/>
      <c r="V50" s="236" t="str">
        <f t="shared" si="20"/>
        <v/>
      </c>
      <c r="W50" s="236" t="str">
        <f t="shared" si="21"/>
        <v/>
      </c>
      <c r="X50" s="237" t="str">
        <f t="shared" si="12"/>
        <v/>
      </c>
      <c r="Y50" s="236" t="str">
        <f t="shared" si="13"/>
        <v/>
      </c>
      <c r="Z50" s="238" t="str">
        <f t="shared" si="14"/>
        <v/>
      </c>
      <c r="AA50" s="237" t="e">
        <f t="shared" si="15"/>
        <v>#VALUE!</v>
      </c>
      <c r="AB50" s="236" t="str">
        <f>IF(AF50="","",RANK(AF50,AF:AF,0)+COUNTIF($AF$1:AF49,AF50))</f>
        <v/>
      </c>
      <c r="AC50" s="238" t="str">
        <f t="shared" si="16"/>
        <v/>
      </c>
      <c r="AD50" s="238" t="str">
        <f t="shared" si="17"/>
        <v/>
      </c>
      <c r="AE50" s="339" t="str">
        <f t="shared" si="18"/>
        <v/>
      </c>
      <c r="AF50" s="236" t="str">
        <f t="shared" si="19"/>
        <v/>
      </c>
      <c r="AG50" s="236" t="e" cm="1">
        <f t="array" aca="1" ref="AG50" ca="1">RANK(INDIRECT(ADDRESS(ROW(), MATCH(AG$1, INDEX(contents_raw, 2, 0), 0))),
INDIRECT(ADDRESS(1, MATCH(AG$1, INDEX(contents_raw, 2, 0), 0)) &amp; ":" &amp; ADDRESS(ROWS(contents_raw), MATCH(AG$1, INDEX(contents_raw, 2, 0), 0))), 0)</f>
        <v>#VALUE!</v>
      </c>
      <c r="AH50" s="236" t="e" cm="1">
        <f t="array" aca="1" ref="AH50" ca="1">RANK(INDIRECT(ADDRESS(ROW(), MATCH(AH$1, INDEX(contents_raw, 2, 0), 0))),
INDIRECT(ADDRESS(1, MATCH(AH$1, INDEX(contents_raw, 2, 0), 0)) &amp; ":" &amp; ADDRESS(ROWS(contents_raw), MATCH(AH$1, INDEX(contents_raw, 2, 0), 0))), 0)</f>
        <v>#VALUE!</v>
      </c>
      <c r="AI50" s="236" t="e" cm="1">
        <f t="array" aca="1" ref="AI50" ca="1">RANK(INDIRECT(ADDRESS(ROW(), MATCH(AI$1, INDEX(contents_raw, 2, 0), 0))),
INDIRECT(ADDRESS(1, MATCH(AI$1, INDEX(contents_raw, 2, 0), 0)) &amp; ":" &amp; ADDRESS(ROWS(contents_raw), MATCH(AI$1, INDEX(contents_raw, 2, 0), 0))), 0)</f>
        <v>#VALUE!</v>
      </c>
    </row>
    <row r="51" spans="1:35">
      <c r="A51" s="47"/>
      <c r="B51" s="47"/>
      <c r="C51" s="47"/>
      <c r="D51" s="47"/>
      <c r="E51" s="47"/>
      <c r="F51" s="47"/>
      <c r="G51" s="47"/>
      <c r="H51" s="47"/>
      <c r="I51" s="47"/>
      <c r="J51" s="47"/>
      <c r="K51" s="47"/>
      <c r="L51" s="47"/>
      <c r="M51" s="47"/>
      <c r="N51" s="47"/>
      <c r="O51" s="47"/>
      <c r="P51" s="47"/>
      <c r="Q51" s="47"/>
      <c r="R51" s="47"/>
      <c r="S51" s="47"/>
      <c r="T51" s="47"/>
      <c r="V51" s="236" t="str">
        <f t="shared" si="20"/>
        <v/>
      </c>
      <c r="W51" s="236" t="str">
        <f t="shared" si="21"/>
        <v/>
      </c>
      <c r="X51" s="237" t="str">
        <f t="shared" si="12"/>
        <v/>
      </c>
      <c r="Y51" s="236" t="str">
        <f t="shared" si="13"/>
        <v/>
      </c>
      <c r="Z51" s="238" t="str">
        <f t="shared" si="14"/>
        <v/>
      </c>
      <c r="AA51" s="237" t="e">
        <f t="shared" si="15"/>
        <v>#VALUE!</v>
      </c>
      <c r="AB51" s="236" t="str">
        <f>IF(AF51="","",RANK(AF51,AF:AF,0)+COUNTIF($AF$1:AF50,AF51))</f>
        <v/>
      </c>
      <c r="AC51" s="238" t="str">
        <f t="shared" si="16"/>
        <v/>
      </c>
      <c r="AD51" s="238" t="str">
        <f t="shared" si="17"/>
        <v/>
      </c>
      <c r="AE51" s="339" t="str">
        <f t="shared" si="18"/>
        <v/>
      </c>
      <c r="AF51" s="236" t="str">
        <f t="shared" si="19"/>
        <v/>
      </c>
      <c r="AG51" s="236" t="e" cm="1">
        <f t="array" aca="1" ref="AG51" ca="1">RANK(INDIRECT(ADDRESS(ROW(), MATCH(AG$1, INDEX(contents_raw, 2, 0), 0))),
INDIRECT(ADDRESS(1, MATCH(AG$1, INDEX(contents_raw, 2, 0), 0)) &amp; ":" &amp; ADDRESS(ROWS(contents_raw), MATCH(AG$1, INDEX(contents_raw, 2, 0), 0))), 0)</f>
        <v>#VALUE!</v>
      </c>
      <c r="AH51" s="236" t="e" cm="1">
        <f t="array" aca="1" ref="AH51" ca="1">RANK(INDIRECT(ADDRESS(ROW(), MATCH(AH$1, INDEX(contents_raw, 2, 0), 0))),
INDIRECT(ADDRESS(1, MATCH(AH$1, INDEX(contents_raw, 2, 0), 0)) &amp; ":" &amp; ADDRESS(ROWS(contents_raw), MATCH(AH$1, INDEX(contents_raw, 2, 0), 0))), 0)</f>
        <v>#VALUE!</v>
      </c>
      <c r="AI51" s="236" t="e" cm="1">
        <f t="array" aca="1" ref="AI51" ca="1">RANK(INDIRECT(ADDRESS(ROW(), MATCH(AI$1, INDEX(contents_raw, 2, 0), 0))),
INDIRECT(ADDRESS(1, MATCH(AI$1, INDEX(contents_raw, 2, 0), 0)) &amp; ":" &amp; ADDRESS(ROWS(contents_raw), MATCH(AI$1, INDEX(contents_raw, 2, 0), 0))), 0)</f>
        <v>#VALUE!</v>
      </c>
    </row>
    <row r="52" spans="1:35">
      <c r="A52" s="47"/>
      <c r="B52" s="47"/>
      <c r="C52" s="47"/>
      <c r="D52" s="47"/>
      <c r="E52" s="47"/>
      <c r="F52" s="47"/>
      <c r="G52" s="47"/>
      <c r="H52" s="47"/>
      <c r="I52" s="47"/>
      <c r="J52" s="47"/>
      <c r="K52" s="47"/>
      <c r="L52" s="47"/>
      <c r="M52" s="47"/>
      <c r="N52" s="47"/>
      <c r="O52" s="47"/>
      <c r="P52" s="47"/>
      <c r="Q52" s="47"/>
      <c r="R52" s="47"/>
      <c r="S52" s="47"/>
      <c r="T52" s="47"/>
      <c r="V52" s="236" t="str">
        <f t="shared" si="20"/>
        <v/>
      </c>
      <c r="W52" s="236" t="str">
        <f t="shared" si="21"/>
        <v/>
      </c>
      <c r="X52" s="237" t="str">
        <f t="shared" si="12"/>
        <v/>
      </c>
      <c r="Y52" s="236" t="str">
        <f t="shared" si="13"/>
        <v/>
      </c>
      <c r="Z52" s="238" t="str">
        <f t="shared" si="14"/>
        <v/>
      </c>
      <c r="AA52" s="237" t="e">
        <f t="shared" si="15"/>
        <v>#VALUE!</v>
      </c>
      <c r="AB52" s="236" t="str">
        <f>IF(AF52="","",RANK(AF52,AF:AF,0)+COUNTIF($AF$1:AF51,AF52))</f>
        <v/>
      </c>
      <c r="AC52" s="238" t="str">
        <f t="shared" si="16"/>
        <v/>
      </c>
      <c r="AD52" s="238" t="str">
        <f t="shared" si="17"/>
        <v/>
      </c>
      <c r="AE52" s="339" t="str">
        <f t="shared" si="18"/>
        <v/>
      </c>
      <c r="AF52" s="236" t="str">
        <f t="shared" si="19"/>
        <v/>
      </c>
      <c r="AG52" s="236" t="e" cm="1">
        <f t="array" aca="1" ref="AG52" ca="1">RANK(INDIRECT(ADDRESS(ROW(), MATCH(AG$1, INDEX(contents_raw, 2, 0), 0))),
INDIRECT(ADDRESS(1, MATCH(AG$1, INDEX(contents_raw, 2, 0), 0)) &amp; ":" &amp; ADDRESS(ROWS(contents_raw), MATCH(AG$1, INDEX(contents_raw, 2, 0), 0))), 0)</f>
        <v>#VALUE!</v>
      </c>
      <c r="AH52" s="236" t="e" cm="1">
        <f t="array" aca="1" ref="AH52" ca="1">RANK(INDIRECT(ADDRESS(ROW(), MATCH(AH$1, INDEX(contents_raw, 2, 0), 0))),
INDIRECT(ADDRESS(1, MATCH(AH$1, INDEX(contents_raw, 2, 0), 0)) &amp; ":" &amp; ADDRESS(ROWS(contents_raw), MATCH(AH$1, INDEX(contents_raw, 2, 0), 0))), 0)</f>
        <v>#VALUE!</v>
      </c>
      <c r="AI52" s="236" t="e" cm="1">
        <f t="array" aca="1" ref="AI52" ca="1">RANK(INDIRECT(ADDRESS(ROW(), MATCH(AI$1, INDEX(contents_raw, 2, 0), 0))),
INDIRECT(ADDRESS(1, MATCH(AI$1, INDEX(contents_raw, 2, 0), 0)) &amp; ":" &amp; ADDRESS(ROWS(contents_raw), MATCH(AI$1, INDEX(contents_raw, 2, 0), 0))), 0)</f>
        <v>#VALUE!</v>
      </c>
    </row>
    <row r="53" spans="1:35">
      <c r="A53" s="47"/>
      <c r="B53" s="47"/>
      <c r="C53" s="47"/>
      <c r="D53" s="47"/>
      <c r="E53" s="47"/>
      <c r="F53" s="47"/>
      <c r="G53" s="47"/>
      <c r="H53" s="47"/>
      <c r="I53" s="47"/>
      <c r="J53" s="47"/>
      <c r="K53" s="47"/>
      <c r="L53" s="47"/>
      <c r="M53" s="47"/>
      <c r="N53" s="47"/>
      <c r="O53" s="47"/>
      <c r="P53" s="47"/>
      <c r="Q53" s="47"/>
      <c r="R53" s="47"/>
      <c r="S53" s="47"/>
      <c r="T53" s="47"/>
      <c r="V53" s="236" t="str">
        <f t="shared" si="20"/>
        <v/>
      </c>
      <c r="W53" s="236" t="str">
        <f t="shared" si="21"/>
        <v/>
      </c>
      <c r="X53" s="237" t="str">
        <f t="shared" si="12"/>
        <v/>
      </c>
      <c r="Y53" s="236" t="str">
        <f t="shared" si="13"/>
        <v/>
      </c>
      <c r="Z53" s="238" t="str">
        <f t="shared" si="14"/>
        <v/>
      </c>
      <c r="AA53" s="237" t="e">
        <f t="shared" si="15"/>
        <v>#VALUE!</v>
      </c>
      <c r="AB53" s="236" t="str">
        <f>IF(AF53="","",RANK(AF53,AF:AF,0)+COUNTIF($AF$1:AF52,AF53))</f>
        <v/>
      </c>
      <c r="AC53" s="238" t="str">
        <f t="shared" si="16"/>
        <v/>
      </c>
      <c r="AD53" s="238" t="str">
        <f t="shared" si="17"/>
        <v/>
      </c>
      <c r="AE53" s="339" t="str">
        <f t="shared" si="18"/>
        <v/>
      </c>
      <c r="AF53" s="236" t="str">
        <f t="shared" si="19"/>
        <v/>
      </c>
      <c r="AG53" s="236" t="e" cm="1">
        <f t="array" aca="1" ref="AG53" ca="1">RANK(INDIRECT(ADDRESS(ROW(), MATCH(AG$1, INDEX(contents_raw, 2, 0), 0))),
INDIRECT(ADDRESS(1, MATCH(AG$1, INDEX(contents_raw, 2, 0), 0)) &amp; ":" &amp; ADDRESS(ROWS(contents_raw), MATCH(AG$1, INDEX(contents_raw, 2, 0), 0))), 0)</f>
        <v>#VALUE!</v>
      </c>
      <c r="AH53" s="236" t="e" cm="1">
        <f t="array" aca="1" ref="AH53" ca="1">RANK(INDIRECT(ADDRESS(ROW(), MATCH(AH$1, INDEX(contents_raw, 2, 0), 0))),
INDIRECT(ADDRESS(1, MATCH(AH$1, INDEX(contents_raw, 2, 0), 0)) &amp; ":" &amp; ADDRESS(ROWS(contents_raw), MATCH(AH$1, INDEX(contents_raw, 2, 0), 0))), 0)</f>
        <v>#VALUE!</v>
      </c>
      <c r="AI53" s="236" t="e" cm="1">
        <f t="array" aca="1" ref="AI53" ca="1">RANK(INDIRECT(ADDRESS(ROW(), MATCH(AI$1, INDEX(contents_raw, 2, 0), 0))),
INDIRECT(ADDRESS(1, MATCH(AI$1, INDEX(contents_raw, 2, 0), 0)) &amp; ":" &amp; ADDRESS(ROWS(contents_raw), MATCH(AI$1, INDEX(contents_raw, 2, 0), 0))), 0)</f>
        <v>#VALUE!</v>
      </c>
    </row>
    <row r="54" spans="1:35">
      <c r="A54" s="47"/>
      <c r="B54" s="47"/>
      <c r="C54" s="47"/>
      <c r="D54" s="47"/>
      <c r="E54" s="47"/>
      <c r="F54" s="47"/>
      <c r="G54" s="47"/>
      <c r="H54" s="47"/>
      <c r="I54" s="47"/>
      <c r="J54" s="47"/>
      <c r="K54" s="47"/>
      <c r="L54" s="47"/>
      <c r="M54" s="47"/>
      <c r="N54" s="47"/>
      <c r="O54" s="47"/>
      <c r="P54" s="47"/>
      <c r="Q54" s="47"/>
      <c r="R54" s="47"/>
      <c r="S54" s="47"/>
      <c r="T54" s="47"/>
      <c r="V54" s="236" t="str">
        <f t="shared" si="20"/>
        <v/>
      </c>
      <c r="W54" s="236" t="str">
        <f t="shared" si="21"/>
        <v/>
      </c>
      <c r="X54" s="237" t="str">
        <f t="shared" si="12"/>
        <v/>
      </c>
      <c r="Y54" s="236" t="str">
        <f t="shared" si="13"/>
        <v/>
      </c>
      <c r="Z54" s="238" t="str">
        <f t="shared" si="14"/>
        <v/>
      </c>
      <c r="AA54" s="237" t="e">
        <f t="shared" si="15"/>
        <v>#VALUE!</v>
      </c>
      <c r="AB54" s="236" t="str">
        <f>IF(AF54="","",RANK(AF54,AF:AF,0)+COUNTIF($AF$1:AF53,AF54))</f>
        <v/>
      </c>
      <c r="AC54" s="238" t="str">
        <f t="shared" si="16"/>
        <v/>
      </c>
      <c r="AD54" s="238" t="str">
        <f t="shared" si="17"/>
        <v/>
      </c>
      <c r="AE54" s="339" t="str">
        <f t="shared" si="18"/>
        <v/>
      </c>
      <c r="AF54" s="236" t="str">
        <f t="shared" si="19"/>
        <v/>
      </c>
      <c r="AG54" s="236" t="e" cm="1">
        <f t="array" aca="1" ref="AG54" ca="1">RANK(INDIRECT(ADDRESS(ROW(), MATCH(AG$1, INDEX(contents_raw, 2, 0), 0))),
INDIRECT(ADDRESS(1, MATCH(AG$1, INDEX(contents_raw, 2, 0), 0)) &amp; ":" &amp; ADDRESS(ROWS(contents_raw), MATCH(AG$1, INDEX(contents_raw, 2, 0), 0))), 0)</f>
        <v>#VALUE!</v>
      </c>
      <c r="AH54" s="236" t="e" cm="1">
        <f t="array" aca="1" ref="AH54" ca="1">RANK(INDIRECT(ADDRESS(ROW(), MATCH(AH$1, INDEX(contents_raw, 2, 0), 0))),
INDIRECT(ADDRESS(1, MATCH(AH$1, INDEX(contents_raw, 2, 0), 0)) &amp; ":" &amp; ADDRESS(ROWS(contents_raw), MATCH(AH$1, INDEX(contents_raw, 2, 0), 0))), 0)</f>
        <v>#VALUE!</v>
      </c>
      <c r="AI54" s="236" t="e" cm="1">
        <f t="array" aca="1" ref="AI54" ca="1">RANK(INDIRECT(ADDRESS(ROW(), MATCH(AI$1, INDEX(contents_raw, 2, 0), 0))),
INDIRECT(ADDRESS(1, MATCH(AI$1, INDEX(contents_raw, 2, 0), 0)) &amp; ":" &amp; ADDRESS(ROWS(contents_raw), MATCH(AI$1, INDEX(contents_raw, 2, 0), 0))), 0)</f>
        <v>#VALUE!</v>
      </c>
    </row>
    <row r="55" spans="1:35">
      <c r="A55" s="47"/>
      <c r="B55" s="47"/>
      <c r="C55" s="47"/>
      <c r="D55" s="47"/>
      <c r="E55" s="47"/>
      <c r="F55" s="47"/>
      <c r="G55" s="47"/>
      <c r="H55" s="47"/>
      <c r="I55" s="47"/>
      <c r="J55" s="47"/>
      <c r="K55" s="47"/>
      <c r="L55" s="47"/>
      <c r="M55" s="47"/>
      <c r="N55" s="47"/>
      <c r="O55" s="47"/>
      <c r="P55" s="47"/>
      <c r="Q55" s="47"/>
      <c r="R55" s="47"/>
      <c r="S55" s="47"/>
      <c r="T55" s="47"/>
      <c r="V55" s="236" t="str">
        <f t="shared" si="20"/>
        <v/>
      </c>
      <c r="W55" s="236" t="str">
        <f t="shared" si="21"/>
        <v/>
      </c>
      <c r="X55" s="237" t="str">
        <f t="shared" si="12"/>
        <v/>
      </c>
      <c r="Y55" s="236" t="str">
        <f t="shared" si="13"/>
        <v/>
      </c>
      <c r="Z55" s="238" t="str">
        <f t="shared" si="14"/>
        <v/>
      </c>
      <c r="AA55" s="237" t="e">
        <f t="shared" si="15"/>
        <v>#VALUE!</v>
      </c>
      <c r="AB55" s="236" t="str">
        <f>IF(AF55="","",RANK(AF55,AF:AF,0)+COUNTIF($AF$1:AF54,AF55))</f>
        <v/>
      </c>
      <c r="AC55" s="238" t="str">
        <f t="shared" si="16"/>
        <v/>
      </c>
      <c r="AD55" s="238" t="str">
        <f t="shared" si="17"/>
        <v/>
      </c>
      <c r="AE55" s="339" t="str">
        <f t="shared" si="18"/>
        <v/>
      </c>
      <c r="AF55" s="236" t="str">
        <f t="shared" si="19"/>
        <v/>
      </c>
      <c r="AG55" s="236" t="e" cm="1">
        <f t="array" aca="1" ref="AG55" ca="1">RANK(INDIRECT(ADDRESS(ROW(), MATCH(AG$1, INDEX(contents_raw, 2, 0), 0))),
INDIRECT(ADDRESS(1, MATCH(AG$1, INDEX(contents_raw, 2, 0), 0)) &amp; ":" &amp; ADDRESS(ROWS(contents_raw), MATCH(AG$1, INDEX(contents_raw, 2, 0), 0))), 0)</f>
        <v>#VALUE!</v>
      </c>
      <c r="AH55" s="236" t="e" cm="1">
        <f t="array" aca="1" ref="AH55" ca="1">RANK(INDIRECT(ADDRESS(ROW(), MATCH(AH$1, INDEX(contents_raw, 2, 0), 0))),
INDIRECT(ADDRESS(1, MATCH(AH$1, INDEX(contents_raw, 2, 0), 0)) &amp; ":" &amp; ADDRESS(ROWS(contents_raw), MATCH(AH$1, INDEX(contents_raw, 2, 0), 0))), 0)</f>
        <v>#VALUE!</v>
      </c>
      <c r="AI55" s="236" t="e" cm="1">
        <f t="array" aca="1" ref="AI55" ca="1">RANK(INDIRECT(ADDRESS(ROW(), MATCH(AI$1, INDEX(contents_raw, 2, 0), 0))),
INDIRECT(ADDRESS(1, MATCH(AI$1, INDEX(contents_raw, 2, 0), 0)) &amp; ":" &amp; ADDRESS(ROWS(contents_raw), MATCH(AI$1, INDEX(contents_raw, 2, 0), 0))), 0)</f>
        <v>#VALUE!</v>
      </c>
    </row>
    <row r="56" spans="1:35">
      <c r="A56" s="47"/>
      <c r="B56" s="47"/>
      <c r="C56" s="47"/>
      <c r="D56" s="47"/>
      <c r="E56" s="47"/>
      <c r="F56" s="47"/>
      <c r="G56" s="47"/>
      <c r="H56" s="47"/>
      <c r="I56" s="47"/>
      <c r="J56" s="47"/>
      <c r="K56" s="47"/>
      <c r="L56" s="47"/>
      <c r="M56" s="47"/>
      <c r="N56" s="47"/>
      <c r="O56" s="47"/>
      <c r="P56" s="47"/>
      <c r="Q56" s="47"/>
      <c r="R56" s="47"/>
      <c r="S56" s="47"/>
      <c r="T56" s="47"/>
      <c r="V56" s="236" t="str">
        <f t="shared" si="20"/>
        <v/>
      </c>
      <c r="W56" s="236" t="str">
        <f t="shared" si="21"/>
        <v/>
      </c>
      <c r="X56" s="237" t="str">
        <f t="shared" si="12"/>
        <v/>
      </c>
      <c r="Y56" s="236" t="str">
        <f t="shared" si="13"/>
        <v/>
      </c>
      <c r="Z56" s="238" t="str">
        <f t="shared" si="14"/>
        <v/>
      </c>
      <c r="AA56" s="237" t="e">
        <f t="shared" si="15"/>
        <v>#VALUE!</v>
      </c>
      <c r="AB56" s="236" t="str">
        <f>IF(AF56="","",RANK(AF56,AF:AF,0)+COUNTIF($AF$1:AF55,AF56))</f>
        <v/>
      </c>
      <c r="AC56" s="238" t="str">
        <f t="shared" si="16"/>
        <v/>
      </c>
      <c r="AD56" s="238" t="str">
        <f t="shared" si="17"/>
        <v/>
      </c>
      <c r="AE56" s="339" t="str">
        <f t="shared" si="18"/>
        <v/>
      </c>
      <c r="AF56" s="236" t="str">
        <f t="shared" si="19"/>
        <v/>
      </c>
      <c r="AG56" s="236" t="e" cm="1">
        <f t="array" aca="1" ref="AG56" ca="1">RANK(INDIRECT(ADDRESS(ROW(), MATCH(AG$1, INDEX(contents_raw, 2, 0), 0))),
INDIRECT(ADDRESS(1, MATCH(AG$1, INDEX(contents_raw, 2, 0), 0)) &amp; ":" &amp; ADDRESS(ROWS(contents_raw), MATCH(AG$1, INDEX(contents_raw, 2, 0), 0))), 0)</f>
        <v>#VALUE!</v>
      </c>
      <c r="AH56" s="236" t="e" cm="1">
        <f t="array" aca="1" ref="AH56" ca="1">RANK(INDIRECT(ADDRESS(ROW(), MATCH(AH$1, INDEX(contents_raw, 2, 0), 0))),
INDIRECT(ADDRESS(1, MATCH(AH$1, INDEX(contents_raw, 2, 0), 0)) &amp; ":" &amp; ADDRESS(ROWS(contents_raw), MATCH(AH$1, INDEX(contents_raw, 2, 0), 0))), 0)</f>
        <v>#VALUE!</v>
      </c>
      <c r="AI56" s="236" t="e" cm="1">
        <f t="array" aca="1" ref="AI56" ca="1">RANK(INDIRECT(ADDRESS(ROW(), MATCH(AI$1, INDEX(contents_raw, 2, 0), 0))),
INDIRECT(ADDRESS(1, MATCH(AI$1, INDEX(contents_raw, 2, 0), 0)) &amp; ":" &amp; ADDRESS(ROWS(contents_raw), MATCH(AI$1, INDEX(contents_raw, 2, 0), 0))), 0)</f>
        <v>#VALUE!</v>
      </c>
    </row>
    <row r="57" spans="1:35">
      <c r="A57" s="47"/>
      <c r="B57" s="47"/>
      <c r="C57" s="47"/>
      <c r="D57" s="47"/>
      <c r="E57" s="47"/>
      <c r="F57" s="47"/>
      <c r="G57" s="47"/>
      <c r="H57" s="47"/>
      <c r="I57" s="47"/>
      <c r="J57" s="47"/>
      <c r="K57" s="47"/>
      <c r="L57" s="47"/>
      <c r="M57" s="47"/>
      <c r="N57" s="47"/>
      <c r="O57" s="47"/>
      <c r="P57" s="47"/>
      <c r="Q57" s="47"/>
      <c r="R57" s="47"/>
      <c r="S57" s="47"/>
      <c r="T57" s="47"/>
      <c r="V57" s="236" t="str">
        <f t="shared" si="20"/>
        <v/>
      </c>
      <c r="W57" s="236" t="str">
        <f t="shared" si="21"/>
        <v/>
      </c>
      <c r="X57" s="237" t="str">
        <f t="shared" si="12"/>
        <v/>
      </c>
      <c r="Y57" s="236" t="str">
        <f t="shared" si="13"/>
        <v/>
      </c>
      <c r="Z57" s="238" t="str">
        <f t="shared" si="14"/>
        <v/>
      </c>
      <c r="AA57" s="237" t="e">
        <f t="shared" si="15"/>
        <v>#VALUE!</v>
      </c>
      <c r="AB57" s="236" t="str">
        <f>IF(AF57="","",RANK(AF57,AF:AF,0)+COUNTIF($AF$1:AF56,AF57))</f>
        <v/>
      </c>
      <c r="AC57" s="238" t="str">
        <f t="shared" si="16"/>
        <v/>
      </c>
      <c r="AD57" s="238" t="str">
        <f t="shared" si="17"/>
        <v/>
      </c>
      <c r="AE57" s="339" t="str">
        <f t="shared" si="18"/>
        <v/>
      </c>
      <c r="AF57" s="236" t="str">
        <f t="shared" si="19"/>
        <v/>
      </c>
      <c r="AG57" s="236" t="e" cm="1">
        <f t="array" aca="1" ref="AG57" ca="1">RANK(INDIRECT(ADDRESS(ROW(), MATCH(AG$1, INDEX(contents_raw, 2, 0), 0))),
INDIRECT(ADDRESS(1, MATCH(AG$1, INDEX(contents_raw, 2, 0), 0)) &amp; ":" &amp; ADDRESS(ROWS(contents_raw), MATCH(AG$1, INDEX(contents_raw, 2, 0), 0))), 0)</f>
        <v>#VALUE!</v>
      </c>
      <c r="AH57" s="236" t="e" cm="1">
        <f t="array" aca="1" ref="AH57" ca="1">RANK(INDIRECT(ADDRESS(ROW(), MATCH(AH$1, INDEX(contents_raw, 2, 0), 0))),
INDIRECT(ADDRESS(1, MATCH(AH$1, INDEX(contents_raw, 2, 0), 0)) &amp; ":" &amp; ADDRESS(ROWS(contents_raw), MATCH(AH$1, INDEX(contents_raw, 2, 0), 0))), 0)</f>
        <v>#VALUE!</v>
      </c>
      <c r="AI57" s="236" t="e" cm="1">
        <f t="array" aca="1" ref="AI57" ca="1">RANK(INDIRECT(ADDRESS(ROW(), MATCH(AI$1, INDEX(contents_raw, 2, 0), 0))),
INDIRECT(ADDRESS(1, MATCH(AI$1, INDEX(contents_raw, 2, 0), 0)) &amp; ":" &amp; ADDRESS(ROWS(contents_raw), MATCH(AI$1, INDEX(contents_raw, 2, 0), 0))), 0)</f>
        <v>#VALUE!</v>
      </c>
    </row>
    <row r="58" spans="1:35">
      <c r="A58" s="47"/>
      <c r="B58" s="47"/>
      <c r="C58" s="47"/>
      <c r="D58" s="47"/>
      <c r="E58" s="47"/>
      <c r="F58" s="47"/>
      <c r="G58" s="47"/>
      <c r="H58" s="47"/>
      <c r="I58" s="47"/>
      <c r="J58" s="47"/>
      <c r="K58" s="47"/>
      <c r="L58" s="47"/>
      <c r="M58" s="47"/>
      <c r="N58" s="47"/>
      <c r="O58" s="47"/>
      <c r="P58" s="47"/>
      <c r="Q58" s="47"/>
      <c r="R58" s="47"/>
      <c r="S58" s="47"/>
      <c r="T58" s="47"/>
      <c r="V58" s="236" t="str">
        <f t="shared" ref="V58:V80" si="22">IF(Z58="","",_xlfn.RANK.EQ(Z58,Z:Z,0))</f>
        <v/>
      </c>
      <c r="W58" s="236" t="str">
        <f t="shared" ref="W58:W80" si="23">IF(V58="","",_xlfn.RANK.EQ(V58,V:V,1))</f>
        <v/>
      </c>
      <c r="X58" s="237" t="str">
        <f t="shared" ref="X58:X80" si="24">IF(C58&lt;&gt;"Organic","",IF(B58="","",DATE(RIGHT(F58,4),LEFT(F58,2),MID(F58,4,2))))</f>
        <v/>
      </c>
      <c r="Y58" s="236" t="str">
        <f t="shared" si="13"/>
        <v/>
      </c>
      <c r="Z58" s="238" t="str">
        <f t="shared" si="14"/>
        <v/>
      </c>
      <c r="AA58" s="237" t="e">
        <f t="shared" si="15"/>
        <v>#VALUE!</v>
      </c>
      <c r="AB58" s="236" t="str">
        <f>IF(AF58="","",RANK(AF58,AF:AF,0)+COUNTIF($AF$1:AF57,AF58))</f>
        <v/>
      </c>
      <c r="AC58" s="238" t="str">
        <f t="shared" si="16"/>
        <v/>
      </c>
      <c r="AD58" s="238" t="str">
        <f t="shared" si="17"/>
        <v/>
      </c>
      <c r="AE58" s="339" t="str">
        <f t="shared" si="18"/>
        <v/>
      </c>
      <c r="AF58" s="236" t="str">
        <f t="shared" si="19"/>
        <v/>
      </c>
      <c r="AG58" s="236" t="e" cm="1">
        <f t="array" aca="1" ref="AG58" ca="1">RANK(INDIRECT(ADDRESS(ROW(), MATCH(AG$1, INDEX(contents_raw, 2, 0), 0))),
INDIRECT(ADDRESS(1, MATCH(AG$1, INDEX(contents_raw, 2, 0), 0)) &amp; ":" &amp; ADDRESS(ROWS(contents_raw), MATCH(AG$1, INDEX(contents_raw, 2, 0), 0))), 0)</f>
        <v>#VALUE!</v>
      </c>
      <c r="AH58" s="236" t="e" cm="1">
        <f t="array" aca="1" ref="AH58" ca="1">RANK(INDIRECT(ADDRESS(ROW(), MATCH(AH$1, INDEX(contents_raw, 2, 0), 0))),
INDIRECT(ADDRESS(1, MATCH(AH$1, INDEX(contents_raw, 2, 0), 0)) &amp; ":" &amp; ADDRESS(ROWS(contents_raw), MATCH(AH$1, INDEX(contents_raw, 2, 0), 0))), 0)</f>
        <v>#VALUE!</v>
      </c>
      <c r="AI58" s="236" t="e" cm="1">
        <f t="array" aca="1" ref="AI58" ca="1">RANK(INDIRECT(ADDRESS(ROW(), MATCH(AI$1, INDEX(contents_raw, 2, 0), 0))),
INDIRECT(ADDRESS(1, MATCH(AI$1, INDEX(contents_raw, 2, 0), 0)) &amp; ":" &amp; ADDRESS(ROWS(contents_raw), MATCH(AI$1, INDEX(contents_raw, 2, 0), 0))), 0)</f>
        <v>#VALUE!</v>
      </c>
    </row>
    <row r="59" spans="1:35">
      <c r="A59" s="47"/>
      <c r="B59" s="47"/>
      <c r="C59" s="47"/>
      <c r="D59" s="47"/>
      <c r="E59" s="47"/>
      <c r="F59" s="47"/>
      <c r="G59" s="47"/>
      <c r="H59" s="47"/>
      <c r="I59" s="47"/>
      <c r="J59" s="47"/>
      <c r="K59" s="47"/>
      <c r="L59" s="47"/>
      <c r="M59" s="47"/>
      <c r="N59" s="47"/>
      <c r="O59" s="47"/>
      <c r="P59" s="47"/>
      <c r="Q59" s="47"/>
      <c r="R59" s="47"/>
      <c r="S59" s="47"/>
      <c r="T59" s="47"/>
      <c r="V59" s="236" t="str">
        <f t="shared" si="22"/>
        <v/>
      </c>
      <c r="W59" s="236" t="str">
        <f t="shared" si="23"/>
        <v/>
      </c>
      <c r="X59" s="237" t="str">
        <f t="shared" si="24"/>
        <v/>
      </c>
      <c r="Y59" s="236" t="str">
        <f t="shared" si="13"/>
        <v/>
      </c>
      <c r="Z59" s="238" t="str">
        <f t="shared" si="14"/>
        <v/>
      </c>
      <c r="AA59" s="237" t="e">
        <f t="shared" si="15"/>
        <v>#VALUE!</v>
      </c>
      <c r="AB59" s="236" t="str">
        <f>IF(AF59="","",RANK(AF59,AF:AF,0)+COUNTIF($AF$1:AF58,AF59))</f>
        <v/>
      </c>
      <c r="AC59" s="238" t="str">
        <f t="shared" si="16"/>
        <v/>
      </c>
      <c r="AD59" s="238" t="str">
        <f t="shared" si="17"/>
        <v/>
      </c>
      <c r="AE59" s="339" t="str">
        <f t="shared" si="18"/>
        <v/>
      </c>
      <c r="AF59" s="236" t="str">
        <f t="shared" si="19"/>
        <v/>
      </c>
      <c r="AG59" s="236" t="e" cm="1">
        <f t="array" aca="1" ref="AG59" ca="1">RANK(INDIRECT(ADDRESS(ROW(), MATCH(AG$1, INDEX(contents_raw, 2, 0), 0))),
INDIRECT(ADDRESS(1, MATCH(AG$1, INDEX(contents_raw, 2, 0), 0)) &amp; ":" &amp; ADDRESS(ROWS(contents_raw), MATCH(AG$1, INDEX(contents_raw, 2, 0), 0))), 0)</f>
        <v>#VALUE!</v>
      </c>
      <c r="AH59" s="236" t="e" cm="1">
        <f t="array" aca="1" ref="AH59" ca="1">RANK(INDIRECT(ADDRESS(ROW(), MATCH(AH$1, INDEX(contents_raw, 2, 0), 0))),
INDIRECT(ADDRESS(1, MATCH(AH$1, INDEX(contents_raw, 2, 0), 0)) &amp; ":" &amp; ADDRESS(ROWS(contents_raw), MATCH(AH$1, INDEX(contents_raw, 2, 0), 0))), 0)</f>
        <v>#VALUE!</v>
      </c>
      <c r="AI59" s="236" t="e" cm="1">
        <f t="array" aca="1" ref="AI59" ca="1">RANK(INDIRECT(ADDRESS(ROW(), MATCH(AI$1, INDEX(contents_raw, 2, 0), 0))),
INDIRECT(ADDRESS(1, MATCH(AI$1, INDEX(contents_raw, 2, 0), 0)) &amp; ":" &amp; ADDRESS(ROWS(contents_raw), MATCH(AI$1, INDEX(contents_raw, 2, 0), 0))), 0)</f>
        <v>#VALUE!</v>
      </c>
    </row>
    <row r="60" spans="1:35">
      <c r="A60" s="47"/>
      <c r="B60" s="47"/>
      <c r="C60" s="47"/>
      <c r="D60" s="47"/>
      <c r="E60" s="47"/>
      <c r="F60" s="47"/>
      <c r="G60" s="47"/>
      <c r="H60" s="47"/>
      <c r="I60" s="47"/>
      <c r="J60" s="47"/>
      <c r="K60" s="47"/>
      <c r="L60" s="47"/>
      <c r="M60" s="47"/>
      <c r="N60" s="47"/>
      <c r="O60" s="47"/>
      <c r="P60" s="47"/>
      <c r="Q60" s="47"/>
      <c r="R60" s="47"/>
      <c r="S60" s="47"/>
      <c r="T60" s="47"/>
      <c r="V60" s="236" t="str">
        <f t="shared" si="22"/>
        <v/>
      </c>
      <c r="W60" s="236" t="str">
        <f t="shared" si="23"/>
        <v/>
      </c>
      <c r="X60" s="237" t="str">
        <f t="shared" si="24"/>
        <v/>
      </c>
      <c r="Y60" s="236" t="str">
        <f t="shared" si="13"/>
        <v/>
      </c>
      <c r="Z60" s="238" t="str">
        <f t="shared" si="14"/>
        <v/>
      </c>
      <c r="AA60" s="237" t="e">
        <f t="shared" si="15"/>
        <v>#VALUE!</v>
      </c>
      <c r="AB60" s="236" t="str">
        <f>IF(AF60="","",RANK(AF60,AF:AF,0)+COUNTIF($AF$1:AF59,AF60))</f>
        <v/>
      </c>
      <c r="AC60" s="238" t="str">
        <f t="shared" si="16"/>
        <v/>
      </c>
      <c r="AD60" s="238" t="str">
        <f t="shared" si="17"/>
        <v/>
      </c>
      <c r="AE60" s="339" t="str">
        <f t="shared" si="18"/>
        <v/>
      </c>
      <c r="AF60" s="236" t="str">
        <f t="shared" si="19"/>
        <v/>
      </c>
      <c r="AG60" s="236" t="e" cm="1">
        <f t="array" aca="1" ref="AG60" ca="1">RANK(INDIRECT(ADDRESS(ROW(), MATCH(AG$1, INDEX(contents_raw, 2, 0), 0))),
INDIRECT(ADDRESS(1, MATCH(AG$1, INDEX(contents_raw, 2, 0), 0)) &amp; ":" &amp; ADDRESS(ROWS(contents_raw), MATCH(AG$1, INDEX(contents_raw, 2, 0), 0))), 0)</f>
        <v>#VALUE!</v>
      </c>
      <c r="AH60" s="236" t="e" cm="1">
        <f t="array" aca="1" ref="AH60" ca="1">RANK(INDIRECT(ADDRESS(ROW(), MATCH(AH$1, INDEX(contents_raw, 2, 0), 0))),
INDIRECT(ADDRESS(1, MATCH(AH$1, INDEX(contents_raw, 2, 0), 0)) &amp; ":" &amp; ADDRESS(ROWS(contents_raw), MATCH(AH$1, INDEX(contents_raw, 2, 0), 0))), 0)</f>
        <v>#VALUE!</v>
      </c>
      <c r="AI60" s="236" t="e" cm="1">
        <f t="array" aca="1" ref="AI60" ca="1">RANK(INDIRECT(ADDRESS(ROW(), MATCH(AI$1, INDEX(contents_raw, 2, 0), 0))),
INDIRECT(ADDRESS(1, MATCH(AI$1, INDEX(contents_raw, 2, 0), 0)) &amp; ":" &amp; ADDRESS(ROWS(contents_raw), MATCH(AI$1, INDEX(contents_raw, 2, 0), 0))), 0)</f>
        <v>#VALUE!</v>
      </c>
    </row>
    <row r="61" spans="1:35">
      <c r="A61" s="47"/>
      <c r="B61" s="47"/>
      <c r="C61" s="47"/>
      <c r="D61" s="47"/>
      <c r="E61" s="47"/>
      <c r="F61" s="47"/>
      <c r="G61" s="47"/>
      <c r="H61" s="47"/>
      <c r="I61" s="47"/>
      <c r="J61" s="47"/>
      <c r="K61" s="47"/>
      <c r="L61" s="47"/>
      <c r="M61" s="47"/>
      <c r="N61" s="47"/>
      <c r="O61" s="47"/>
      <c r="P61" s="47"/>
      <c r="Q61" s="47"/>
      <c r="R61" s="47"/>
      <c r="S61" s="47"/>
      <c r="T61" s="47"/>
      <c r="V61" s="236" t="str">
        <f t="shared" si="22"/>
        <v/>
      </c>
      <c r="W61" s="236" t="str">
        <f t="shared" si="23"/>
        <v/>
      </c>
      <c r="X61" s="237" t="str">
        <f t="shared" si="24"/>
        <v/>
      </c>
      <c r="Y61" s="236" t="str">
        <f t="shared" si="13"/>
        <v/>
      </c>
      <c r="Z61" s="238" t="str">
        <f t="shared" si="14"/>
        <v/>
      </c>
      <c r="AA61" s="237" t="e">
        <f t="shared" si="15"/>
        <v>#VALUE!</v>
      </c>
      <c r="AB61" s="236" t="str">
        <f>IF(AF61="","",RANK(AF61,AF:AF,0)+COUNTIF($AF$1:AF60,AF61))</f>
        <v/>
      </c>
      <c r="AC61" s="238" t="str">
        <f t="shared" si="16"/>
        <v/>
      </c>
      <c r="AD61" s="238" t="str">
        <f t="shared" si="17"/>
        <v/>
      </c>
      <c r="AE61" s="339" t="str">
        <f t="shared" si="18"/>
        <v/>
      </c>
      <c r="AF61" s="236" t="str">
        <f t="shared" si="19"/>
        <v/>
      </c>
      <c r="AG61" s="236" t="e" cm="1">
        <f t="array" aca="1" ref="AG61" ca="1">RANK(INDIRECT(ADDRESS(ROW(), MATCH(AG$1, INDEX(contents_raw, 2, 0), 0))),
INDIRECT(ADDRESS(1, MATCH(AG$1, INDEX(contents_raw, 2, 0), 0)) &amp; ":" &amp; ADDRESS(ROWS(contents_raw), MATCH(AG$1, INDEX(contents_raw, 2, 0), 0))), 0)</f>
        <v>#VALUE!</v>
      </c>
      <c r="AH61" s="236" t="e" cm="1">
        <f t="array" aca="1" ref="AH61" ca="1">RANK(INDIRECT(ADDRESS(ROW(), MATCH(AH$1, INDEX(contents_raw, 2, 0), 0))),
INDIRECT(ADDRESS(1, MATCH(AH$1, INDEX(contents_raw, 2, 0), 0)) &amp; ":" &amp; ADDRESS(ROWS(contents_raw), MATCH(AH$1, INDEX(contents_raw, 2, 0), 0))), 0)</f>
        <v>#VALUE!</v>
      </c>
      <c r="AI61" s="236" t="e" cm="1">
        <f t="array" aca="1" ref="AI61" ca="1">RANK(INDIRECT(ADDRESS(ROW(), MATCH(AI$1, INDEX(contents_raw, 2, 0), 0))),
INDIRECT(ADDRESS(1, MATCH(AI$1, INDEX(contents_raw, 2, 0), 0)) &amp; ":" &amp; ADDRESS(ROWS(contents_raw), MATCH(AI$1, INDEX(contents_raw, 2, 0), 0))), 0)</f>
        <v>#VALUE!</v>
      </c>
    </row>
    <row r="62" spans="1:35">
      <c r="A62" s="47"/>
      <c r="B62" s="47"/>
      <c r="C62" s="47"/>
      <c r="D62" s="47"/>
      <c r="E62" s="47"/>
      <c r="F62" s="47"/>
      <c r="G62" s="47"/>
      <c r="H62" s="47"/>
      <c r="I62" s="47"/>
      <c r="J62" s="47"/>
      <c r="K62" s="47"/>
      <c r="L62" s="47"/>
      <c r="M62" s="47"/>
      <c r="N62" s="47"/>
      <c r="O62" s="47"/>
      <c r="P62" s="47"/>
      <c r="Q62" s="47"/>
      <c r="R62" s="47"/>
      <c r="S62" s="47"/>
      <c r="T62" s="47"/>
      <c r="V62" s="236" t="str">
        <f t="shared" si="22"/>
        <v/>
      </c>
      <c r="W62" s="236" t="str">
        <f t="shared" si="23"/>
        <v/>
      </c>
      <c r="X62" s="237" t="str">
        <f t="shared" si="24"/>
        <v/>
      </c>
      <c r="Y62" s="236" t="str">
        <f t="shared" si="13"/>
        <v/>
      </c>
      <c r="Z62" s="238" t="str">
        <f t="shared" si="14"/>
        <v/>
      </c>
      <c r="AA62" s="237" t="e">
        <f t="shared" si="15"/>
        <v>#VALUE!</v>
      </c>
      <c r="AB62" s="236" t="str">
        <f>IF(AF62="","",RANK(AF62,AF:AF,0)+COUNTIF($AF$1:AF61,AF62))</f>
        <v/>
      </c>
      <c r="AC62" s="238" t="str">
        <f t="shared" si="16"/>
        <v/>
      </c>
      <c r="AD62" s="238" t="str">
        <f t="shared" si="17"/>
        <v/>
      </c>
      <c r="AE62" s="339" t="str">
        <f t="shared" si="18"/>
        <v/>
      </c>
      <c r="AF62" s="236" t="str">
        <f t="shared" si="19"/>
        <v/>
      </c>
      <c r="AG62" s="236" t="e" cm="1">
        <f t="array" aca="1" ref="AG62" ca="1">RANK(INDIRECT(ADDRESS(ROW(), MATCH(AG$1, INDEX(contents_raw, 2, 0), 0))),
INDIRECT(ADDRESS(1, MATCH(AG$1, INDEX(contents_raw, 2, 0), 0)) &amp; ":" &amp; ADDRESS(ROWS(contents_raw), MATCH(AG$1, INDEX(contents_raw, 2, 0), 0))), 0)</f>
        <v>#VALUE!</v>
      </c>
      <c r="AH62" s="236" t="e" cm="1">
        <f t="array" aca="1" ref="AH62" ca="1">RANK(INDIRECT(ADDRESS(ROW(), MATCH(AH$1, INDEX(contents_raw, 2, 0), 0))),
INDIRECT(ADDRESS(1, MATCH(AH$1, INDEX(contents_raw, 2, 0), 0)) &amp; ":" &amp; ADDRESS(ROWS(contents_raw), MATCH(AH$1, INDEX(contents_raw, 2, 0), 0))), 0)</f>
        <v>#VALUE!</v>
      </c>
      <c r="AI62" s="236" t="e" cm="1">
        <f t="array" aca="1" ref="AI62" ca="1">RANK(INDIRECT(ADDRESS(ROW(), MATCH(AI$1, INDEX(contents_raw, 2, 0), 0))),
INDIRECT(ADDRESS(1, MATCH(AI$1, INDEX(contents_raw, 2, 0), 0)) &amp; ":" &amp; ADDRESS(ROWS(contents_raw), MATCH(AI$1, INDEX(contents_raw, 2, 0), 0))), 0)</f>
        <v>#VALUE!</v>
      </c>
    </row>
    <row r="63" spans="1:35">
      <c r="A63" s="47"/>
      <c r="B63" s="47"/>
      <c r="C63" s="47"/>
      <c r="D63" s="47"/>
      <c r="E63" s="47"/>
      <c r="F63" s="47"/>
      <c r="G63" s="47"/>
      <c r="H63" s="47"/>
      <c r="I63" s="47"/>
      <c r="J63" s="47"/>
      <c r="K63" s="47"/>
      <c r="L63" s="47"/>
      <c r="M63" s="47"/>
      <c r="N63" s="47"/>
      <c r="O63" s="47"/>
      <c r="P63" s="47"/>
      <c r="Q63" s="47"/>
      <c r="R63" s="47"/>
      <c r="S63" s="47"/>
      <c r="T63" s="47"/>
      <c r="V63" s="236" t="str">
        <f t="shared" si="22"/>
        <v/>
      </c>
      <c r="W63" s="236" t="str">
        <f t="shared" si="23"/>
        <v/>
      </c>
      <c r="X63" s="237" t="str">
        <f t="shared" si="24"/>
        <v/>
      </c>
      <c r="Y63" s="236" t="str">
        <f t="shared" si="13"/>
        <v/>
      </c>
      <c r="Z63" s="238" t="str">
        <f t="shared" si="14"/>
        <v/>
      </c>
      <c r="AA63" s="237" t="e">
        <f t="shared" si="15"/>
        <v>#VALUE!</v>
      </c>
      <c r="AB63" s="236" t="str">
        <f>IF(AF63="","",RANK(AF63,AF:AF,0)+COUNTIF($AF$1:AF62,AF63))</f>
        <v/>
      </c>
      <c r="AC63" s="238" t="str">
        <f t="shared" si="16"/>
        <v/>
      </c>
      <c r="AD63" s="238" t="str">
        <f t="shared" si="17"/>
        <v/>
      </c>
      <c r="AE63" s="339" t="str">
        <f t="shared" si="18"/>
        <v/>
      </c>
      <c r="AF63" s="236" t="str">
        <f t="shared" si="19"/>
        <v/>
      </c>
      <c r="AG63" s="236" t="e" cm="1">
        <f t="array" aca="1" ref="AG63" ca="1">RANK(INDIRECT(ADDRESS(ROW(), MATCH(AG$1, INDEX(contents_raw, 2, 0), 0))),
INDIRECT(ADDRESS(1, MATCH(AG$1, INDEX(contents_raw, 2, 0), 0)) &amp; ":" &amp; ADDRESS(ROWS(contents_raw), MATCH(AG$1, INDEX(contents_raw, 2, 0), 0))), 0)</f>
        <v>#VALUE!</v>
      </c>
      <c r="AH63" s="236" t="e" cm="1">
        <f t="array" aca="1" ref="AH63" ca="1">RANK(INDIRECT(ADDRESS(ROW(), MATCH(AH$1, INDEX(contents_raw, 2, 0), 0))),
INDIRECT(ADDRESS(1, MATCH(AH$1, INDEX(contents_raw, 2, 0), 0)) &amp; ":" &amp; ADDRESS(ROWS(contents_raw), MATCH(AH$1, INDEX(contents_raw, 2, 0), 0))), 0)</f>
        <v>#VALUE!</v>
      </c>
      <c r="AI63" s="236" t="e" cm="1">
        <f t="array" aca="1" ref="AI63" ca="1">RANK(INDIRECT(ADDRESS(ROW(), MATCH(AI$1, INDEX(contents_raw, 2, 0), 0))),
INDIRECT(ADDRESS(1, MATCH(AI$1, INDEX(contents_raw, 2, 0), 0)) &amp; ":" &amp; ADDRESS(ROWS(contents_raw), MATCH(AI$1, INDEX(contents_raw, 2, 0), 0))), 0)</f>
        <v>#VALUE!</v>
      </c>
    </row>
    <row r="64" spans="1:35">
      <c r="A64" s="47"/>
      <c r="B64" s="47"/>
      <c r="C64" s="47"/>
      <c r="D64" s="47"/>
      <c r="E64" s="47"/>
      <c r="F64" s="47"/>
      <c r="G64" s="47"/>
      <c r="H64" s="47"/>
      <c r="I64" s="47"/>
      <c r="J64" s="47"/>
      <c r="K64" s="47"/>
      <c r="L64" s="47"/>
      <c r="M64" s="47"/>
      <c r="N64" s="47"/>
      <c r="O64" s="47"/>
      <c r="P64" s="47"/>
      <c r="Q64" s="47"/>
      <c r="R64" s="47"/>
      <c r="S64" s="47"/>
      <c r="T64" s="47"/>
      <c r="V64" s="236" t="str">
        <f t="shared" si="22"/>
        <v/>
      </c>
      <c r="W64" s="236" t="str">
        <f t="shared" si="23"/>
        <v/>
      </c>
      <c r="X64" s="237" t="str">
        <f t="shared" si="24"/>
        <v/>
      </c>
      <c r="Y64" s="236" t="str">
        <f t="shared" si="13"/>
        <v/>
      </c>
      <c r="Z64" s="238" t="str">
        <f t="shared" si="14"/>
        <v/>
      </c>
      <c r="AA64" s="237" t="e">
        <f t="shared" si="15"/>
        <v>#VALUE!</v>
      </c>
      <c r="AB64" s="236" t="str">
        <f>IF(AF64="","",RANK(AF64,AF:AF,0)+COUNTIF($AF$1:AF63,AF64))</f>
        <v/>
      </c>
      <c r="AC64" s="238" t="str">
        <f t="shared" si="16"/>
        <v/>
      </c>
      <c r="AD64" s="238" t="str">
        <f t="shared" si="17"/>
        <v/>
      </c>
      <c r="AE64" s="339" t="str">
        <f t="shared" si="18"/>
        <v/>
      </c>
      <c r="AF64" s="236" t="str">
        <f t="shared" si="19"/>
        <v/>
      </c>
      <c r="AG64" s="236" t="e" cm="1">
        <f t="array" aca="1" ref="AG64" ca="1">RANK(INDIRECT(ADDRESS(ROW(), MATCH(AG$1, INDEX(contents_raw, 2, 0), 0))),
INDIRECT(ADDRESS(1, MATCH(AG$1, INDEX(contents_raw, 2, 0), 0)) &amp; ":" &amp; ADDRESS(ROWS(contents_raw), MATCH(AG$1, INDEX(contents_raw, 2, 0), 0))), 0)</f>
        <v>#VALUE!</v>
      </c>
      <c r="AH64" s="236" t="e" cm="1">
        <f t="array" aca="1" ref="AH64" ca="1">RANK(INDIRECT(ADDRESS(ROW(), MATCH(AH$1, INDEX(contents_raw, 2, 0), 0))),
INDIRECT(ADDRESS(1, MATCH(AH$1, INDEX(contents_raw, 2, 0), 0)) &amp; ":" &amp; ADDRESS(ROWS(contents_raw), MATCH(AH$1, INDEX(contents_raw, 2, 0), 0))), 0)</f>
        <v>#VALUE!</v>
      </c>
      <c r="AI64" s="236" t="e" cm="1">
        <f t="array" aca="1" ref="AI64" ca="1">RANK(INDIRECT(ADDRESS(ROW(), MATCH(AI$1, INDEX(contents_raw, 2, 0), 0))),
INDIRECT(ADDRESS(1, MATCH(AI$1, INDEX(contents_raw, 2, 0), 0)) &amp; ":" &amp; ADDRESS(ROWS(contents_raw), MATCH(AI$1, INDEX(contents_raw, 2, 0), 0))), 0)</f>
        <v>#VALUE!</v>
      </c>
    </row>
    <row r="65" spans="1:35">
      <c r="A65" s="47"/>
      <c r="B65" s="47"/>
      <c r="C65" s="47"/>
      <c r="D65" s="47"/>
      <c r="E65" s="47"/>
      <c r="F65" s="47"/>
      <c r="G65" s="47"/>
      <c r="H65" s="47"/>
      <c r="I65" s="47"/>
      <c r="J65" s="47"/>
      <c r="K65" s="47"/>
      <c r="L65" s="47"/>
      <c r="M65" s="47"/>
      <c r="N65" s="47"/>
      <c r="O65" s="47"/>
      <c r="P65" s="47"/>
      <c r="Q65" s="47"/>
      <c r="R65" s="47"/>
      <c r="S65" s="47"/>
      <c r="T65" s="47"/>
      <c r="V65" s="236" t="str">
        <f t="shared" si="22"/>
        <v/>
      </c>
      <c r="W65" s="236" t="str">
        <f t="shared" si="23"/>
        <v/>
      </c>
      <c r="X65" s="237" t="str">
        <f t="shared" si="24"/>
        <v/>
      </c>
      <c r="Y65" s="236" t="str">
        <f t="shared" si="13"/>
        <v/>
      </c>
      <c r="Z65" s="238" t="str">
        <f t="shared" si="14"/>
        <v/>
      </c>
      <c r="AA65" s="237" t="e">
        <f t="shared" si="15"/>
        <v>#VALUE!</v>
      </c>
      <c r="AB65" s="236" t="str">
        <f>IF(AF65="","",RANK(AF65,AF:AF,0)+COUNTIF($AF$1:AF64,AF65))</f>
        <v/>
      </c>
      <c r="AC65" s="238" t="str">
        <f t="shared" si="16"/>
        <v/>
      </c>
      <c r="AD65" s="238" t="str">
        <f t="shared" si="17"/>
        <v/>
      </c>
      <c r="AE65" s="339" t="str">
        <f t="shared" si="18"/>
        <v/>
      </c>
      <c r="AF65" s="236" t="str">
        <f t="shared" si="19"/>
        <v/>
      </c>
      <c r="AG65" s="236" t="e" cm="1">
        <f t="array" aca="1" ref="AG65" ca="1">RANK(INDIRECT(ADDRESS(ROW(), MATCH(AG$1, INDEX(contents_raw, 2, 0), 0))),
INDIRECT(ADDRESS(1, MATCH(AG$1, INDEX(contents_raw, 2, 0), 0)) &amp; ":" &amp; ADDRESS(ROWS(contents_raw), MATCH(AG$1, INDEX(contents_raw, 2, 0), 0))), 0)</f>
        <v>#VALUE!</v>
      </c>
      <c r="AH65" s="236" t="e" cm="1">
        <f t="array" aca="1" ref="AH65" ca="1">RANK(INDIRECT(ADDRESS(ROW(), MATCH(AH$1, INDEX(contents_raw, 2, 0), 0))),
INDIRECT(ADDRESS(1, MATCH(AH$1, INDEX(contents_raw, 2, 0), 0)) &amp; ":" &amp; ADDRESS(ROWS(contents_raw), MATCH(AH$1, INDEX(contents_raw, 2, 0), 0))), 0)</f>
        <v>#VALUE!</v>
      </c>
      <c r="AI65" s="236" t="e" cm="1">
        <f t="array" aca="1" ref="AI65" ca="1">RANK(INDIRECT(ADDRESS(ROW(), MATCH(AI$1, INDEX(contents_raw, 2, 0), 0))),
INDIRECT(ADDRESS(1, MATCH(AI$1, INDEX(contents_raw, 2, 0), 0)) &amp; ":" &amp; ADDRESS(ROWS(contents_raw), MATCH(AI$1, INDEX(contents_raw, 2, 0), 0))), 0)</f>
        <v>#VALUE!</v>
      </c>
    </row>
    <row r="66" spans="1:35">
      <c r="A66" s="47"/>
      <c r="B66" s="47"/>
      <c r="C66" s="47"/>
      <c r="D66" s="47"/>
      <c r="E66" s="47"/>
      <c r="F66" s="47"/>
      <c r="G66" s="47"/>
      <c r="H66" s="47"/>
      <c r="I66" s="47"/>
      <c r="J66" s="47"/>
      <c r="K66" s="47"/>
      <c r="L66" s="47"/>
      <c r="M66" s="47"/>
      <c r="N66" s="47"/>
      <c r="O66" s="47"/>
      <c r="P66" s="47"/>
      <c r="Q66" s="47"/>
      <c r="R66" s="47"/>
      <c r="S66" s="47"/>
      <c r="T66" s="47"/>
      <c r="V66" s="236" t="str">
        <f t="shared" si="22"/>
        <v/>
      </c>
      <c r="W66" s="236" t="str">
        <f t="shared" si="23"/>
        <v/>
      </c>
      <c r="X66" s="237" t="str">
        <f t="shared" si="24"/>
        <v/>
      </c>
      <c r="Y66" s="236" t="str">
        <f t="shared" si="13"/>
        <v/>
      </c>
      <c r="Z66" s="238" t="str">
        <f t="shared" si="14"/>
        <v/>
      </c>
      <c r="AA66" s="237" t="e">
        <f t="shared" si="15"/>
        <v>#VALUE!</v>
      </c>
      <c r="AB66" s="236" t="str">
        <f>IF(AF66="","",RANK(AF66,AF:AF,0)+COUNTIF($AF$1:AF65,AF66))</f>
        <v/>
      </c>
      <c r="AC66" s="238" t="str">
        <f t="shared" si="16"/>
        <v/>
      </c>
      <c r="AD66" s="238" t="str">
        <f t="shared" si="17"/>
        <v/>
      </c>
      <c r="AE66" s="339" t="str">
        <f t="shared" si="18"/>
        <v/>
      </c>
      <c r="AF66" s="236" t="str">
        <f t="shared" si="19"/>
        <v/>
      </c>
      <c r="AG66" s="236" t="e" cm="1">
        <f t="array" aca="1" ref="AG66" ca="1">RANK(INDIRECT(ADDRESS(ROW(), MATCH(AG$1, INDEX(contents_raw, 2, 0), 0))),
INDIRECT(ADDRESS(1, MATCH(AG$1, INDEX(contents_raw, 2, 0), 0)) &amp; ":" &amp; ADDRESS(ROWS(contents_raw), MATCH(AG$1, INDEX(contents_raw, 2, 0), 0))), 0)</f>
        <v>#VALUE!</v>
      </c>
      <c r="AH66" s="236" t="e" cm="1">
        <f t="array" aca="1" ref="AH66" ca="1">RANK(INDIRECT(ADDRESS(ROW(), MATCH(AH$1, INDEX(contents_raw, 2, 0), 0))),
INDIRECT(ADDRESS(1, MATCH(AH$1, INDEX(contents_raw, 2, 0), 0)) &amp; ":" &amp; ADDRESS(ROWS(contents_raw), MATCH(AH$1, INDEX(contents_raw, 2, 0), 0))), 0)</f>
        <v>#VALUE!</v>
      </c>
      <c r="AI66" s="236" t="e" cm="1">
        <f t="array" aca="1" ref="AI66" ca="1">RANK(INDIRECT(ADDRESS(ROW(), MATCH(AI$1, INDEX(contents_raw, 2, 0), 0))),
INDIRECT(ADDRESS(1, MATCH(AI$1, INDEX(contents_raw, 2, 0), 0)) &amp; ":" &amp; ADDRESS(ROWS(contents_raw), MATCH(AI$1, INDEX(contents_raw, 2, 0), 0))), 0)</f>
        <v>#VALUE!</v>
      </c>
    </row>
    <row r="67" spans="1:35">
      <c r="A67" s="47"/>
      <c r="B67" s="47"/>
      <c r="C67" s="47"/>
      <c r="D67" s="47"/>
      <c r="E67" s="47"/>
      <c r="F67" s="47"/>
      <c r="G67" s="47"/>
      <c r="H67" s="47"/>
      <c r="I67" s="47"/>
      <c r="J67" s="47"/>
      <c r="K67" s="47"/>
      <c r="L67" s="47"/>
      <c r="M67" s="47"/>
      <c r="N67" s="47"/>
      <c r="O67" s="47"/>
      <c r="P67" s="47"/>
      <c r="Q67" s="47"/>
      <c r="R67" s="47"/>
      <c r="S67" s="47"/>
      <c r="T67" s="47"/>
      <c r="V67" s="236" t="str">
        <f t="shared" si="22"/>
        <v/>
      </c>
      <c r="W67" s="236" t="str">
        <f t="shared" si="23"/>
        <v/>
      </c>
      <c r="X67" s="237" t="str">
        <f t="shared" si="24"/>
        <v/>
      </c>
      <c r="Y67" s="236" t="str">
        <f t="shared" ref="Y67:Y80" si="25">IF(C67&lt;&gt;"Organic","",IF(B67="","",SUM(O67:Q67,M67)))</f>
        <v/>
      </c>
      <c r="Z67" s="238" t="str">
        <f t="shared" ref="Z67:Z80" si="26">IFERROR(IF(C67&lt;&gt;"Organic","",Y67/J67),"")</f>
        <v/>
      </c>
      <c r="AA67" s="237" t="e">
        <f t="shared" ref="AA67:AA80" si="27">DATE(RIGHT(F67,4),LEFT(F67,2),MID(F67,4,2))</f>
        <v>#VALUE!</v>
      </c>
      <c r="AB67" s="236" t="str">
        <f>IF(AF67="","",RANK(AF67,AF:AF,0)+COUNTIF($AF$1:AF66,AF67))</f>
        <v/>
      </c>
      <c r="AC67" s="238" t="str">
        <f t="shared" ref="AC67:AC80" si="28">IFERROR((0.6*AF67+1.4*M67+O67+P67+Q67)/J67,"")</f>
        <v/>
      </c>
      <c r="AD67" s="238" t="str">
        <f t="shared" ref="AD67:AD80" si="29">IF(C67&lt;&gt;"Organic","",IF(B67="","",N67))</f>
        <v/>
      </c>
      <c r="AE67" s="339" t="str">
        <f t="shared" ref="AE67:AE80" si="30">IF(C67&lt;&gt;"Organic","",IF(B67="","",J67))</f>
        <v/>
      </c>
      <c r="AF67" s="236" t="str">
        <f t="shared" ref="AF67:AF80" si="31">IF(C67="","",IFERROR(IF(OR(C67="Sponsored",C67="total"),"",IF(C68="sponsored",K69,K67)),""))</f>
        <v/>
      </c>
      <c r="AG67" s="236" t="e" cm="1">
        <f t="array" aca="1" ref="AG67" ca="1">RANK(INDIRECT(ADDRESS(ROW(), MATCH(AG$1, INDEX(contents_raw, 2, 0), 0))),
INDIRECT(ADDRESS(1, MATCH(AG$1, INDEX(contents_raw, 2, 0), 0)) &amp; ":" &amp; ADDRESS(ROWS(contents_raw), MATCH(AG$1, INDEX(contents_raw, 2, 0), 0))), 0)</f>
        <v>#VALUE!</v>
      </c>
      <c r="AH67" s="236" t="e" cm="1">
        <f t="array" aca="1" ref="AH67" ca="1">RANK(INDIRECT(ADDRESS(ROW(), MATCH(AH$1, INDEX(contents_raw, 2, 0), 0))),
INDIRECT(ADDRESS(1, MATCH(AH$1, INDEX(contents_raw, 2, 0), 0)) &amp; ":" &amp; ADDRESS(ROWS(contents_raw), MATCH(AH$1, INDEX(contents_raw, 2, 0), 0))), 0)</f>
        <v>#VALUE!</v>
      </c>
      <c r="AI67" s="236" t="e" cm="1">
        <f t="array" aca="1" ref="AI67" ca="1">RANK(INDIRECT(ADDRESS(ROW(), MATCH(AI$1, INDEX(contents_raw, 2, 0), 0))),
INDIRECT(ADDRESS(1, MATCH(AI$1, INDEX(contents_raw, 2, 0), 0)) &amp; ":" &amp; ADDRESS(ROWS(contents_raw), MATCH(AI$1, INDEX(contents_raw, 2, 0), 0))), 0)</f>
        <v>#VALUE!</v>
      </c>
    </row>
    <row r="68" spans="1:35">
      <c r="A68" s="47"/>
      <c r="B68" s="47"/>
      <c r="C68" s="47"/>
      <c r="D68" s="47"/>
      <c r="E68" s="47"/>
      <c r="F68" s="47"/>
      <c r="G68" s="47"/>
      <c r="H68" s="47"/>
      <c r="I68" s="47"/>
      <c r="J68" s="47"/>
      <c r="K68" s="47"/>
      <c r="L68" s="47"/>
      <c r="M68" s="47"/>
      <c r="N68" s="47"/>
      <c r="O68" s="47"/>
      <c r="P68" s="47"/>
      <c r="Q68" s="47"/>
      <c r="R68" s="47"/>
      <c r="S68" s="47"/>
      <c r="T68" s="47"/>
      <c r="V68" s="236" t="str">
        <f t="shared" si="22"/>
        <v/>
      </c>
      <c r="W68" s="236" t="str">
        <f t="shared" si="23"/>
        <v/>
      </c>
      <c r="X68" s="237" t="str">
        <f t="shared" si="24"/>
        <v/>
      </c>
      <c r="Y68" s="236" t="str">
        <f t="shared" si="25"/>
        <v/>
      </c>
      <c r="Z68" s="238" t="str">
        <f t="shared" si="26"/>
        <v/>
      </c>
      <c r="AA68" s="237" t="e">
        <f t="shared" si="27"/>
        <v>#VALUE!</v>
      </c>
      <c r="AB68" s="236" t="str">
        <f>IF(AF68="","",RANK(AF68,AF:AF,0)+COUNTIF($AF$1:AF67,AF68))</f>
        <v/>
      </c>
      <c r="AC68" s="238" t="str">
        <f t="shared" si="28"/>
        <v/>
      </c>
      <c r="AD68" s="238" t="str">
        <f t="shared" si="29"/>
        <v/>
      </c>
      <c r="AE68" s="339" t="str">
        <f t="shared" si="30"/>
        <v/>
      </c>
      <c r="AF68" s="236" t="str">
        <f t="shared" si="31"/>
        <v/>
      </c>
      <c r="AG68" s="236" t="e" cm="1">
        <f t="array" aca="1" ref="AG68" ca="1">RANK(INDIRECT(ADDRESS(ROW(), MATCH(AG$1, INDEX(contents_raw, 2, 0), 0))),
INDIRECT(ADDRESS(1, MATCH(AG$1, INDEX(contents_raw, 2, 0), 0)) &amp; ":" &amp; ADDRESS(ROWS(contents_raw), MATCH(AG$1, INDEX(contents_raw, 2, 0), 0))), 0)</f>
        <v>#VALUE!</v>
      </c>
      <c r="AH68" s="236" t="e" cm="1">
        <f t="array" aca="1" ref="AH68" ca="1">RANK(INDIRECT(ADDRESS(ROW(), MATCH(AH$1, INDEX(contents_raw, 2, 0), 0))),
INDIRECT(ADDRESS(1, MATCH(AH$1, INDEX(contents_raw, 2, 0), 0)) &amp; ":" &amp; ADDRESS(ROWS(contents_raw), MATCH(AH$1, INDEX(contents_raw, 2, 0), 0))), 0)</f>
        <v>#VALUE!</v>
      </c>
      <c r="AI68" s="236" t="e" cm="1">
        <f t="array" aca="1" ref="AI68" ca="1">RANK(INDIRECT(ADDRESS(ROW(), MATCH(AI$1, INDEX(contents_raw, 2, 0), 0))),
INDIRECT(ADDRESS(1, MATCH(AI$1, INDEX(contents_raw, 2, 0), 0)) &amp; ":" &amp; ADDRESS(ROWS(contents_raw), MATCH(AI$1, INDEX(contents_raw, 2, 0), 0))), 0)</f>
        <v>#VALUE!</v>
      </c>
    </row>
    <row r="69" spans="1:35">
      <c r="A69" s="47"/>
      <c r="B69" s="47"/>
      <c r="C69" s="47"/>
      <c r="D69" s="47"/>
      <c r="E69" s="47"/>
      <c r="F69" s="47"/>
      <c r="G69" s="47"/>
      <c r="H69" s="47"/>
      <c r="I69" s="47"/>
      <c r="J69" s="47"/>
      <c r="K69" s="47"/>
      <c r="L69" s="47"/>
      <c r="M69" s="47"/>
      <c r="N69" s="47"/>
      <c r="O69" s="47"/>
      <c r="P69" s="47"/>
      <c r="Q69" s="47"/>
      <c r="R69" s="47"/>
      <c r="S69" s="47"/>
      <c r="T69" s="47"/>
      <c r="V69" s="236" t="str">
        <f t="shared" si="22"/>
        <v/>
      </c>
      <c r="W69" s="236" t="str">
        <f t="shared" si="23"/>
        <v/>
      </c>
      <c r="X69" s="237" t="str">
        <f t="shared" si="24"/>
        <v/>
      </c>
      <c r="Y69" s="236" t="str">
        <f t="shared" si="25"/>
        <v/>
      </c>
      <c r="Z69" s="238" t="str">
        <f t="shared" si="26"/>
        <v/>
      </c>
      <c r="AA69" s="237" t="e">
        <f t="shared" si="27"/>
        <v>#VALUE!</v>
      </c>
      <c r="AB69" s="236" t="str">
        <f>IF(AF69="","",RANK(AF69,AF:AF,0)+COUNTIF($AF$1:AF68,AF69))</f>
        <v/>
      </c>
      <c r="AC69" s="238" t="str">
        <f t="shared" si="28"/>
        <v/>
      </c>
      <c r="AD69" s="238" t="str">
        <f t="shared" si="29"/>
        <v/>
      </c>
      <c r="AE69" s="339" t="str">
        <f t="shared" si="30"/>
        <v/>
      </c>
      <c r="AF69" s="236" t="str">
        <f t="shared" si="31"/>
        <v/>
      </c>
      <c r="AG69" s="236" t="e" cm="1">
        <f t="array" aca="1" ref="AG69" ca="1">RANK(INDIRECT(ADDRESS(ROW(), MATCH(AG$1, INDEX(contents_raw, 2, 0), 0))),
INDIRECT(ADDRESS(1, MATCH(AG$1, INDEX(contents_raw, 2, 0), 0)) &amp; ":" &amp; ADDRESS(ROWS(contents_raw), MATCH(AG$1, INDEX(contents_raw, 2, 0), 0))), 0)</f>
        <v>#VALUE!</v>
      </c>
      <c r="AH69" s="236" t="e" cm="1">
        <f t="array" aca="1" ref="AH69" ca="1">RANK(INDIRECT(ADDRESS(ROW(), MATCH(AH$1, INDEX(contents_raw, 2, 0), 0))),
INDIRECT(ADDRESS(1, MATCH(AH$1, INDEX(contents_raw, 2, 0), 0)) &amp; ":" &amp; ADDRESS(ROWS(contents_raw), MATCH(AH$1, INDEX(contents_raw, 2, 0), 0))), 0)</f>
        <v>#VALUE!</v>
      </c>
      <c r="AI69" s="236" t="e" cm="1">
        <f t="array" aca="1" ref="AI69" ca="1">RANK(INDIRECT(ADDRESS(ROW(), MATCH(AI$1, INDEX(contents_raw, 2, 0), 0))),
INDIRECT(ADDRESS(1, MATCH(AI$1, INDEX(contents_raw, 2, 0), 0)) &amp; ":" &amp; ADDRESS(ROWS(contents_raw), MATCH(AI$1, INDEX(contents_raw, 2, 0), 0))), 0)</f>
        <v>#VALUE!</v>
      </c>
    </row>
    <row r="70" spans="1:35">
      <c r="A70" s="47"/>
      <c r="B70" s="47"/>
      <c r="C70" s="47"/>
      <c r="D70" s="47"/>
      <c r="E70" s="47"/>
      <c r="F70" s="47"/>
      <c r="G70" s="47"/>
      <c r="H70" s="47"/>
      <c r="I70" s="47"/>
      <c r="J70" s="47"/>
      <c r="K70" s="47"/>
      <c r="L70" s="47"/>
      <c r="M70" s="47"/>
      <c r="N70" s="47"/>
      <c r="O70" s="47"/>
      <c r="P70" s="47"/>
      <c r="Q70" s="47"/>
      <c r="R70" s="47"/>
      <c r="S70" s="47"/>
      <c r="T70" s="47"/>
      <c r="V70" s="236" t="str">
        <f t="shared" si="22"/>
        <v/>
      </c>
      <c r="W70" s="236" t="str">
        <f t="shared" si="23"/>
        <v/>
      </c>
      <c r="X70" s="237" t="str">
        <f t="shared" si="24"/>
        <v/>
      </c>
      <c r="Y70" s="236" t="str">
        <f t="shared" si="25"/>
        <v/>
      </c>
      <c r="Z70" s="238" t="str">
        <f t="shared" si="26"/>
        <v/>
      </c>
      <c r="AA70" s="237" t="e">
        <f t="shared" si="27"/>
        <v>#VALUE!</v>
      </c>
      <c r="AB70" s="236" t="str">
        <f>IF(AF70="","",RANK(AF70,AF:AF,0)+COUNTIF($AF$1:AF69,AF70))</f>
        <v/>
      </c>
      <c r="AC70" s="238" t="str">
        <f t="shared" si="28"/>
        <v/>
      </c>
      <c r="AD70" s="238" t="str">
        <f t="shared" si="29"/>
        <v/>
      </c>
      <c r="AE70" s="339" t="str">
        <f t="shared" si="30"/>
        <v/>
      </c>
      <c r="AF70" s="236" t="str">
        <f t="shared" si="31"/>
        <v/>
      </c>
      <c r="AG70" s="236" t="e" cm="1">
        <f t="array" aca="1" ref="AG70" ca="1">RANK(INDIRECT(ADDRESS(ROW(), MATCH(AG$1, INDEX(contents_raw, 2, 0), 0))),
INDIRECT(ADDRESS(1, MATCH(AG$1, INDEX(contents_raw, 2, 0), 0)) &amp; ":" &amp; ADDRESS(ROWS(contents_raw), MATCH(AG$1, INDEX(contents_raw, 2, 0), 0))), 0)</f>
        <v>#VALUE!</v>
      </c>
      <c r="AH70" s="236" t="e" cm="1">
        <f t="array" aca="1" ref="AH70" ca="1">RANK(INDIRECT(ADDRESS(ROW(), MATCH(AH$1, INDEX(contents_raw, 2, 0), 0))),
INDIRECT(ADDRESS(1, MATCH(AH$1, INDEX(contents_raw, 2, 0), 0)) &amp; ":" &amp; ADDRESS(ROWS(contents_raw), MATCH(AH$1, INDEX(contents_raw, 2, 0), 0))), 0)</f>
        <v>#VALUE!</v>
      </c>
      <c r="AI70" s="236" t="e" cm="1">
        <f t="array" aca="1" ref="AI70" ca="1">RANK(INDIRECT(ADDRESS(ROW(), MATCH(AI$1, INDEX(contents_raw, 2, 0), 0))),
INDIRECT(ADDRESS(1, MATCH(AI$1, INDEX(contents_raw, 2, 0), 0)) &amp; ":" &amp; ADDRESS(ROWS(contents_raw), MATCH(AI$1, INDEX(contents_raw, 2, 0), 0))), 0)</f>
        <v>#VALUE!</v>
      </c>
    </row>
    <row r="71" spans="1:35">
      <c r="A71" s="47"/>
      <c r="B71" s="47"/>
      <c r="C71" s="47"/>
      <c r="D71" s="47"/>
      <c r="E71" s="47"/>
      <c r="F71" s="47"/>
      <c r="G71" s="47"/>
      <c r="H71" s="47"/>
      <c r="I71" s="47"/>
      <c r="J71" s="47"/>
      <c r="K71" s="47"/>
      <c r="L71" s="47"/>
      <c r="M71" s="47"/>
      <c r="N71" s="47"/>
      <c r="O71" s="47"/>
      <c r="P71" s="47"/>
      <c r="Q71" s="47"/>
      <c r="R71" s="47"/>
      <c r="S71" s="47"/>
      <c r="T71" s="47"/>
      <c r="V71" s="236" t="str">
        <f t="shared" si="22"/>
        <v/>
      </c>
      <c r="W71" s="236" t="str">
        <f t="shared" si="23"/>
        <v/>
      </c>
      <c r="X71" s="237" t="str">
        <f t="shared" si="24"/>
        <v/>
      </c>
      <c r="Y71" s="236" t="str">
        <f t="shared" si="25"/>
        <v/>
      </c>
      <c r="Z71" s="238" t="str">
        <f t="shared" si="26"/>
        <v/>
      </c>
      <c r="AA71" s="237" t="e">
        <f t="shared" si="27"/>
        <v>#VALUE!</v>
      </c>
      <c r="AB71" s="236" t="str">
        <f>IF(AF71="","",RANK(AF71,AF:AF,0)+COUNTIF($AF$1:AF70,AF71))</f>
        <v/>
      </c>
      <c r="AC71" s="238" t="str">
        <f t="shared" si="28"/>
        <v/>
      </c>
      <c r="AD71" s="238" t="str">
        <f t="shared" si="29"/>
        <v/>
      </c>
      <c r="AE71" s="339" t="str">
        <f t="shared" si="30"/>
        <v/>
      </c>
      <c r="AF71" s="236" t="str">
        <f t="shared" si="31"/>
        <v/>
      </c>
      <c r="AG71" s="236" t="e" cm="1">
        <f t="array" aca="1" ref="AG71" ca="1">RANK(INDIRECT(ADDRESS(ROW(), MATCH(AG$1, INDEX(contents_raw, 2, 0), 0))),
INDIRECT(ADDRESS(1, MATCH(AG$1, INDEX(contents_raw, 2, 0), 0)) &amp; ":" &amp; ADDRESS(ROWS(contents_raw), MATCH(AG$1, INDEX(contents_raw, 2, 0), 0))), 0)</f>
        <v>#VALUE!</v>
      </c>
      <c r="AH71" s="236" t="e" cm="1">
        <f t="array" aca="1" ref="AH71" ca="1">RANK(INDIRECT(ADDRESS(ROW(), MATCH(AH$1, INDEX(contents_raw, 2, 0), 0))),
INDIRECT(ADDRESS(1, MATCH(AH$1, INDEX(contents_raw, 2, 0), 0)) &amp; ":" &amp; ADDRESS(ROWS(contents_raw), MATCH(AH$1, INDEX(contents_raw, 2, 0), 0))), 0)</f>
        <v>#VALUE!</v>
      </c>
      <c r="AI71" s="236" t="e" cm="1">
        <f t="array" aca="1" ref="AI71" ca="1">RANK(INDIRECT(ADDRESS(ROW(), MATCH(AI$1, INDEX(contents_raw, 2, 0), 0))),
INDIRECT(ADDRESS(1, MATCH(AI$1, INDEX(contents_raw, 2, 0), 0)) &amp; ":" &amp; ADDRESS(ROWS(contents_raw), MATCH(AI$1, INDEX(contents_raw, 2, 0), 0))), 0)</f>
        <v>#VALUE!</v>
      </c>
    </row>
    <row r="72" spans="1:35">
      <c r="A72" s="47"/>
      <c r="B72" s="47"/>
      <c r="C72" s="47"/>
      <c r="D72" s="47"/>
      <c r="E72" s="47"/>
      <c r="F72" s="47"/>
      <c r="G72" s="47"/>
      <c r="H72" s="47"/>
      <c r="I72" s="47"/>
      <c r="J72" s="47"/>
      <c r="K72" s="47"/>
      <c r="L72" s="47"/>
      <c r="M72" s="47"/>
      <c r="N72" s="47"/>
      <c r="O72" s="47"/>
      <c r="P72" s="47"/>
      <c r="Q72" s="47"/>
      <c r="R72" s="47"/>
      <c r="S72" s="47"/>
      <c r="T72" s="47"/>
      <c r="V72" s="236" t="str">
        <f t="shared" si="22"/>
        <v/>
      </c>
      <c r="W72" s="236" t="str">
        <f t="shared" si="23"/>
        <v/>
      </c>
      <c r="X72" s="237" t="str">
        <f t="shared" si="24"/>
        <v/>
      </c>
      <c r="Y72" s="236" t="str">
        <f t="shared" si="25"/>
        <v/>
      </c>
      <c r="Z72" s="238" t="str">
        <f t="shared" si="26"/>
        <v/>
      </c>
      <c r="AA72" s="237" t="e">
        <f t="shared" si="27"/>
        <v>#VALUE!</v>
      </c>
      <c r="AB72" s="236" t="str">
        <f>IF(AF72="","",RANK(AF72,AF:AF,0)+COUNTIF($AF$1:AF71,AF72))</f>
        <v/>
      </c>
      <c r="AC72" s="238" t="str">
        <f t="shared" si="28"/>
        <v/>
      </c>
      <c r="AD72" s="238" t="str">
        <f t="shared" si="29"/>
        <v/>
      </c>
      <c r="AE72" s="339" t="str">
        <f t="shared" si="30"/>
        <v/>
      </c>
      <c r="AF72" s="236" t="str">
        <f t="shared" si="31"/>
        <v/>
      </c>
      <c r="AG72" s="236" t="e" cm="1">
        <f t="array" aca="1" ref="AG72" ca="1">RANK(INDIRECT(ADDRESS(ROW(), MATCH(AG$1, INDEX(contents_raw, 2, 0), 0))),
INDIRECT(ADDRESS(1, MATCH(AG$1, INDEX(contents_raw, 2, 0), 0)) &amp; ":" &amp; ADDRESS(ROWS(contents_raw), MATCH(AG$1, INDEX(contents_raw, 2, 0), 0))), 0)</f>
        <v>#VALUE!</v>
      </c>
      <c r="AH72" s="236" t="e" cm="1">
        <f t="array" aca="1" ref="AH72" ca="1">RANK(INDIRECT(ADDRESS(ROW(), MATCH(AH$1, INDEX(contents_raw, 2, 0), 0))),
INDIRECT(ADDRESS(1, MATCH(AH$1, INDEX(contents_raw, 2, 0), 0)) &amp; ":" &amp; ADDRESS(ROWS(contents_raw), MATCH(AH$1, INDEX(contents_raw, 2, 0), 0))), 0)</f>
        <v>#VALUE!</v>
      </c>
      <c r="AI72" s="236" t="e" cm="1">
        <f t="array" aca="1" ref="AI72" ca="1">RANK(INDIRECT(ADDRESS(ROW(), MATCH(AI$1, INDEX(contents_raw, 2, 0), 0))),
INDIRECT(ADDRESS(1, MATCH(AI$1, INDEX(contents_raw, 2, 0), 0)) &amp; ":" &amp; ADDRESS(ROWS(contents_raw), MATCH(AI$1, INDEX(contents_raw, 2, 0), 0))), 0)</f>
        <v>#VALUE!</v>
      </c>
    </row>
    <row r="73" spans="1:35">
      <c r="A73" s="47"/>
      <c r="B73" s="47"/>
      <c r="C73" s="47"/>
      <c r="D73" s="47"/>
      <c r="E73" s="47"/>
      <c r="F73" s="47"/>
      <c r="G73" s="47"/>
      <c r="H73" s="47"/>
      <c r="I73" s="47"/>
      <c r="J73" s="47"/>
      <c r="K73" s="47"/>
      <c r="L73" s="47"/>
      <c r="M73" s="47"/>
      <c r="N73" s="47"/>
      <c r="O73" s="47"/>
      <c r="P73" s="47"/>
      <c r="Q73" s="47"/>
      <c r="R73" s="47"/>
      <c r="S73" s="47"/>
      <c r="T73" s="47"/>
      <c r="V73" s="236" t="str">
        <f t="shared" si="22"/>
        <v/>
      </c>
      <c r="W73" s="236" t="str">
        <f t="shared" si="23"/>
        <v/>
      </c>
      <c r="X73" s="237" t="str">
        <f t="shared" si="24"/>
        <v/>
      </c>
      <c r="Y73" s="236" t="str">
        <f t="shared" si="25"/>
        <v/>
      </c>
      <c r="Z73" s="238" t="str">
        <f t="shared" si="26"/>
        <v/>
      </c>
      <c r="AA73" s="237" t="e">
        <f t="shared" si="27"/>
        <v>#VALUE!</v>
      </c>
      <c r="AB73" s="236" t="str">
        <f>IF(AF73="","",RANK(AF73,AF:AF,0)+COUNTIF($AF$1:AF72,AF73))</f>
        <v/>
      </c>
      <c r="AC73" s="238" t="str">
        <f t="shared" si="28"/>
        <v/>
      </c>
      <c r="AD73" s="238" t="str">
        <f t="shared" si="29"/>
        <v/>
      </c>
      <c r="AE73" s="339" t="str">
        <f t="shared" si="30"/>
        <v/>
      </c>
      <c r="AF73" s="236" t="str">
        <f t="shared" si="31"/>
        <v/>
      </c>
      <c r="AG73" s="236" t="e" cm="1">
        <f t="array" aca="1" ref="AG73" ca="1">RANK(INDIRECT(ADDRESS(ROW(), MATCH(AG$1, INDEX(contents_raw, 2, 0), 0))),
INDIRECT(ADDRESS(1, MATCH(AG$1, INDEX(contents_raw, 2, 0), 0)) &amp; ":" &amp; ADDRESS(ROWS(contents_raw), MATCH(AG$1, INDEX(contents_raw, 2, 0), 0))), 0)</f>
        <v>#VALUE!</v>
      </c>
      <c r="AH73" s="236" t="e" cm="1">
        <f t="array" aca="1" ref="AH73" ca="1">RANK(INDIRECT(ADDRESS(ROW(), MATCH(AH$1, INDEX(contents_raw, 2, 0), 0))),
INDIRECT(ADDRESS(1, MATCH(AH$1, INDEX(contents_raw, 2, 0), 0)) &amp; ":" &amp; ADDRESS(ROWS(contents_raw), MATCH(AH$1, INDEX(contents_raw, 2, 0), 0))), 0)</f>
        <v>#VALUE!</v>
      </c>
      <c r="AI73" s="236" t="e" cm="1">
        <f t="array" aca="1" ref="AI73" ca="1">RANK(INDIRECT(ADDRESS(ROW(), MATCH(AI$1, INDEX(contents_raw, 2, 0), 0))),
INDIRECT(ADDRESS(1, MATCH(AI$1, INDEX(contents_raw, 2, 0), 0)) &amp; ":" &amp; ADDRESS(ROWS(contents_raw), MATCH(AI$1, INDEX(contents_raw, 2, 0), 0))), 0)</f>
        <v>#VALUE!</v>
      </c>
    </row>
    <row r="74" spans="1:35">
      <c r="A74" s="47"/>
      <c r="B74" s="47"/>
      <c r="C74" s="47"/>
      <c r="D74" s="47"/>
      <c r="E74" s="47"/>
      <c r="F74" s="47"/>
      <c r="G74" s="47"/>
      <c r="H74" s="47"/>
      <c r="I74" s="47"/>
      <c r="J74" s="47"/>
      <c r="K74" s="47"/>
      <c r="L74" s="47"/>
      <c r="M74" s="47"/>
      <c r="N74" s="47"/>
      <c r="O74" s="47"/>
      <c r="P74" s="47"/>
      <c r="Q74" s="47"/>
      <c r="R74" s="47"/>
      <c r="S74" s="47"/>
      <c r="T74" s="47"/>
      <c r="V74" s="236" t="str">
        <f t="shared" si="22"/>
        <v/>
      </c>
      <c r="W74" s="236" t="str">
        <f t="shared" si="23"/>
        <v/>
      </c>
      <c r="X74" s="237" t="str">
        <f t="shared" si="24"/>
        <v/>
      </c>
      <c r="Y74" s="236" t="str">
        <f t="shared" si="25"/>
        <v/>
      </c>
      <c r="Z74" s="238" t="str">
        <f t="shared" si="26"/>
        <v/>
      </c>
      <c r="AA74" s="237" t="e">
        <f t="shared" si="27"/>
        <v>#VALUE!</v>
      </c>
      <c r="AB74" s="236" t="str">
        <f>IF(AF74="","",RANK(AF74,AF:AF,0)+COUNTIF($AF$1:AF73,AF74))</f>
        <v/>
      </c>
      <c r="AC74" s="238" t="str">
        <f t="shared" si="28"/>
        <v/>
      </c>
      <c r="AD74" s="238" t="str">
        <f t="shared" si="29"/>
        <v/>
      </c>
      <c r="AE74" s="339" t="str">
        <f t="shared" si="30"/>
        <v/>
      </c>
      <c r="AF74" s="236" t="str">
        <f t="shared" si="31"/>
        <v/>
      </c>
      <c r="AG74" s="236" t="e" cm="1">
        <f t="array" aca="1" ref="AG74" ca="1">RANK(INDIRECT(ADDRESS(ROW(), MATCH(AG$1, INDEX(contents_raw, 2, 0), 0))),
INDIRECT(ADDRESS(1, MATCH(AG$1, INDEX(contents_raw, 2, 0), 0)) &amp; ":" &amp; ADDRESS(ROWS(contents_raw), MATCH(AG$1, INDEX(contents_raw, 2, 0), 0))), 0)</f>
        <v>#VALUE!</v>
      </c>
      <c r="AH74" s="236" t="e" cm="1">
        <f t="array" aca="1" ref="AH74" ca="1">RANK(INDIRECT(ADDRESS(ROW(), MATCH(AH$1, INDEX(contents_raw, 2, 0), 0))),
INDIRECT(ADDRESS(1, MATCH(AH$1, INDEX(contents_raw, 2, 0), 0)) &amp; ":" &amp; ADDRESS(ROWS(contents_raw), MATCH(AH$1, INDEX(contents_raw, 2, 0), 0))), 0)</f>
        <v>#VALUE!</v>
      </c>
      <c r="AI74" s="236" t="e" cm="1">
        <f t="array" aca="1" ref="AI74" ca="1">RANK(INDIRECT(ADDRESS(ROW(), MATCH(AI$1, INDEX(contents_raw, 2, 0), 0))),
INDIRECT(ADDRESS(1, MATCH(AI$1, INDEX(contents_raw, 2, 0), 0)) &amp; ":" &amp; ADDRESS(ROWS(contents_raw), MATCH(AI$1, INDEX(contents_raw, 2, 0), 0))), 0)</f>
        <v>#VALUE!</v>
      </c>
    </row>
    <row r="75" spans="1:35">
      <c r="A75" s="47"/>
      <c r="B75" s="47"/>
      <c r="C75" s="47"/>
      <c r="D75" s="47"/>
      <c r="E75" s="47"/>
      <c r="F75" s="47"/>
      <c r="G75" s="47"/>
      <c r="H75" s="47"/>
      <c r="I75" s="47"/>
      <c r="J75" s="47"/>
      <c r="K75" s="47"/>
      <c r="L75" s="47"/>
      <c r="M75" s="47"/>
      <c r="N75" s="47"/>
      <c r="O75" s="47"/>
      <c r="P75" s="47"/>
      <c r="Q75" s="47"/>
      <c r="R75" s="47"/>
      <c r="S75" s="47"/>
      <c r="T75" s="47"/>
      <c r="V75" s="236" t="str">
        <f t="shared" si="22"/>
        <v/>
      </c>
      <c r="W75" s="236" t="str">
        <f t="shared" si="23"/>
        <v/>
      </c>
      <c r="X75" s="237" t="str">
        <f t="shared" si="24"/>
        <v/>
      </c>
      <c r="Y75" s="236" t="str">
        <f t="shared" si="25"/>
        <v/>
      </c>
      <c r="Z75" s="238" t="str">
        <f t="shared" si="26"/>
        <v/>
      </c>
      <c r="AA75" s="237" t="e">
        <f t="shared" si="27"/>
        <v>#VALUE!</v>
      </c>
      <c r="AB75" s="236" t="str">
        <f>IF(AF75="","",RANK(AF75,AF:AF,0)+COUNTIF($AF$1:AF74,AF75))</f>
        <v/>
      </c>
      <c r="AC75" s="238" t="str">
        <f t="shared" si="28"/>
        <v/>
      </c>
      <c r="AD75" s="238" t="str">
        <f t="shared" si="29"/>
        <v/>
      </c>
      <c r="AE75" s="339" t="str">
        <f t="shared" si="30"/>
        <v/>
      </c>
      <c r="AF75" s="236" t="str">
        <f t="shared" si="31"/>
        <v/>
      </c>
      <c r="AG75" s="236" t="e" cm="1">
        <f t="array" aca="1" ref="AG75" ca="1">RANK(INDIRECT(ADDRESS(ROW(), MATCH(AG$1, INDEX(contents_raw, 2, 0), 0))),
INDIRECT(ADDRESS(1, MATCH(AG$1, INDEX(contents_raw, 2, 0), 0)) &amp; ":" &amp; ADDRESS(ROWS(contents_raw), MATCH(AG$1, INDEX(contents_raw, 2, 0), 0))), 0)</f>
        <v>#VALUE!</v>
      </c>
      <c r="AH75" s="236" t="e" cm="1">
        <f t="array" aca="1" ref="AH75" ca="1">RANK(INDIRECT(ADDRESS(ROW(), MATCH(AH$1, INDEX(contents_raw, 2, 0), 0))),
INDIRECT(ADDRESS(1, MATCH(AH$1, INDEX(contents_raw, 2, 0), 0)) &amp; ":" &amp; ADDRESS(ROWS(contents_raw), MATCH(AH$1, INDEX(contents_raw, 2, 0), 0))), 0)</f>
        <v>#VALUE!</v>
      </c>
      <c r="AI75" s="236" t="e" cm="1">
        <f t="array" aca="1" ref="AI75" ca="1">RANK(INDIRECT(ADDRESS(ROW(), MATCH(AI$1, INDEX(contents_raw, 2, 0), 0))),
INDIRECT(ADDRESS(1, MATCH(AI$1, INDEX(contents_raw, 2, 0), 0)) &amp; ":" &amp; ADDRESS(ROWS(contents_raw), MATCH(AI$1, INDEX(contents_raw, 2, 0), 0))), 0)</f>
        <v>#VALUE!</v>
      </c>
    </row>
    <row r="76" spans="1:35">
      <c r="A76" s="47"/>
      <c r="B76" s="47"/>
      <c r="C76" s="47"/>
      <c r="D76" s="47"/>
      <c r="E76" s="47"/>
      <c r="F76" s="47"/>
      <c r="G76" s="47"/>
      <c r="H76" s="47"/>
      <c r="I76" s="47"/>
      <c r="J76" s="47"/>
      <c r="K76" s="47"/>
      <c r="L76" s="47"/>
      <c r="M76" s="47"/>
      <c r="N76" s="47"/>
      <c r="O76" s="47"/>
      <c r="P76" s="47"/>
      <c r="Q76" s="47"/>
      <c r="R76" s="47"/>
      <c r="S76" s="47"/>
      <c r="T76" s="47"/>
      <c r="V76" s="236" t="str">
        <f t="shared" si="22"/>
        <v/>
      </c>
      <c r="W76" s="236" t="str">
        <f t="shared" si="23"/>
        <v/>
      </c>
      <c r="X76" s="237" t="str">
        <f t="shared" si="24"/>
        <v/>
      </c>
      <c r="Y76" s="236" t="str">
        <f t="shared" si="25"/>
        <v/>
      </c>
      <c r="Z76" s="238" t="str">
        <f t="shared" si="26"/>
        <v/>
      </c>
      <c r="AA76" s="237" t="e">
        <f t="shared" si="27"/>
        <v>#VALUE!</v>
      </c>
      <c r="AB76" s="236" t="str">
        <f>IF(AF76="","",RANK(AF76,AF:AF,0)+COUNTIF($AF$1:AF75,AF76))</f>
        <v/>
      </c>
      <c r="AC76" s="238" t="str">
        <f t="shared" si="28"/>
        <v/>
      </c>
      <c r="AD76" s="238" t="str">
        <f t="shared" si="29"/>
        <v/>
      </c>
      <c r="AE76" s="339" t="str">
        <f t="shared" si="30"/>
        <v/>
      </c>
      <c r="AF76" s="236" t="str">
        <f t="shared" si="31"/>
        <v/>
      </c>
      <c r="AG76" s="236" t="e" cm="1">
        <f t="array" aca="1" ref="AG76" ca="1">RANK(INDIRECT(ADDRESS(ROW(), MATCH(AG$1, INDEX(contents_raw, 2, 0), 0))),
INDIRECT(ADDRESS(1, MATCH(AG$1, INDEX(contents_raw, 2, 0), 0)) &amp; ":" &amp; ADDRESS(ROWS(contents_raw), MATCH(AG$1, INDEX(contents_raw, 2, 0), 0))), 0)</f>
        <v>#VALUE!</v>
      </c>
      <c r="AH76" s="236" t="e" cm="1">
        <f t="array" aca="1" ref="AH76" ca="1">RANK(INDIRECT(ADDRESS(ROW(), MATCH(AH$1, INDEX(contents_raw, 2, 0), 0))),
INDIRECT(ADDRESS(1, MATCH(AH$1, INDEX(contents_raw, 2, 0), 0)) &amp; ":" &amp; ADDRESS(ROWS(contents_raw), MATCH(AH$1, INDEX(contents_raw, 2, 0), 0))), 0)</f>
        <v>#VALUE!</v>
      </c>
      <c r="AI76" s="236" t="e" cm="1">
        <f t="array" aca="1" ref="AI76" ca="1">RANK(INDIRECT(ADDRESS(ROW(), MATCH(AI$1, INDEX(contents_raw, 2, 0), 0))),
INDIRECT(ADDRESS(1, MATCH(AI$1, INDEX(contents_raw, 2, 0), 0)) &amp; ":" &amp; ADDRESS(ROWS(contents_raw), MATCH(AI$1, INDEX(contents_raw, 2, 0), 0))), 0)</f>
        <v>#VALUE!</v>
      </c>
    </row>
    <row r="77" spans="1:35">
      <c r="A77" s="47"/>
      <c r="B77" s="47"/>
      <c r="C77" s="47"/>
      <c r="D77" s="47"/>
      <c r="E77" s="47"/>
      <c r="F77" s="47"/>
      <c r="G77" s="47"/>
      <c r="H77" s="47"/>
      <c r="I77" s="47"/>
      <c r="J77" s="47"/>
      <c r="K77" s="47"/>
      <c r="L77" s="47"/>
      <c r="M77" s="47"/>
      <c r="N77" s="47"/>
      <c r="O77" s="47"/>
      <c r="P77" s="47"/>
      <c r="Q77" s="47"/>
      <c r="R77" s="47"/>
      <c r="S77" s="47"/>
      <c r="T77" s="47"/>
      <c r="V77" s="236" t="str">
        <f t="shared" si="22"/>
        <v/>
      </c>
      <c r="W77" s="236" t="str">
        <f t="shared" si="23"/>
        <v/>
      </c>
      <c r="X77" s="237" t="str">
        <f t="shared" si="24"/>
        <v/>
      </c>
      <c r="Y77" s="236" t="str">
        <f t="shared" si="25"/>
        <v/>
      </c>
      <c r="Z77" s="238" t="str">
        <f t="shared" si="26"/>
        <v/>
      </c>
      <c r="AA77" s="237" t="e">
        <f t="shared" si="27"/>
        <v>#VALUE!</v>
      </c>
      <c r="AB77" s="236" t="str">
        <f>IF(AF77="","",RANK(AF77,AF:AF,0)+COUNTIF($AF$1:AF76,AF77))</f>
        <v/>
      </c>
      <c r="AC77" s="238" t="str">
        <f t="shared" si="28"/>
        <v/>
      </c>
      <c r="AD77" s="238" t="str">
        <f t="shared" si="29"/>
        <v/>
      </c>
      <c r="AE77" s="339" t="str">
        <f t="shared" si="30"/>
        <v/>
      </c>
      <c r="AF77" s="236" t="str">
        <f t="shared" si="31"/>
        <v/>
      </c>
      <c r="AG77" s="236" t="e" cm="1">
        <f t="array" aca="1" ref="AG77" ca="1">RANK(INDIRECT(ADDRESS(ROW(), MATCH(AG$1, INDEX(contents_raw, 2, 0), 0))),
INDIRECT(ADDRESS(1, MATCH(AG$1, INDEX(contents_raw, 2, 0), 0)) &amp; ":" &amp; ADDRESS(ROWS(contents_raw), MATCH(AG$1, INDEX(contents_raw, 2, 0), 0))), 0)</f>
        <v>#VALUE!</v>
      </c>
      <c r="AH77" s="236" t="e" cm="1">
        <f t="array" aca="1" ref="AH77" ca="1">RANK(INDIRECT(ADDRESS(ROW(), MATCH(AH$1, INDEX(contents_raw, 2, 0), 0))),
INDIRECT(ADDRESS(1, MATCH(AH$1, INDEX(contents_raw, 2, 0), 0)) &amp; ":" &amp; ADDRESS(ROWS(contents_raw), MATCH(AH$1, INDEX(contents_raw, 2, 0), 0))), 0)</f>
        <v>#VALUE!</v>
      </c>
      <c r="AI77" s="236" t="e" cm="1">
        <f t="array" aca="1" ref="AI77" ca="1">RANK(INDIRECT(ADDRESS(ROW(), MATCH(AI$1, INDEX(contents_raw, 2, 0), 0))),
INDIRECT(ADDRESS(1, MATCH(AI$1, INDEX(contents_raw, 2, 0), 0)) &amp; ":" &amp; ADDRESS(ROWS(contents_raw), MATCH(AI$1, INDEX(contents_raw, 2, 0), 0))), 0)</f>
        <v>#VALUE!</v>
      </c>
    </row>
    <row r="78" spans="1:35">
      <c r="A78" s="47"/>
      <c r="B78" s="47"/>
      <c r="C78" s="47"/>
      <c r="D78" s="47"/>
      <c r="E78" s="47"/>
      <c r="F78" s="47"/>
      <c r="G78" s="47"/>
      <c r="H78" s="47"/>
      <c r="I78" s="47"/>
      <c r="J78" s="47"/>
      <c r="K78" s="47"/>
      <c r="L78" s="47"/>
      <c r="M78" s="47"/>
      <c r="N78" s="47"/>
      <c r="O78" s="47"/>
      <c r="P78" s="47"/>
      <c r="Q78" s="47"/>
      <c r="R78" s="47"/>
      <c r="S78" s="47"/>
      <c r="T78" s="47"/>
      <c r="V78" s="236" t="str">
        <f t="shared" si="22"/>
        <v/>
      </c>
      <c r="W78" s="236" t="str">
        <f t="shared" si="23"/>
        <v/>
      </c>
      <c r="X78" s="237" t="str">
        <f t="shared" si="24"/>
        <v/>
      </c>
      <c r="Y78" s="236" t="str">
        <f t="shared" si="25"/>
        <v/>
      </c>
      <c r="Z78" s="238" t="str">
        <f t="shared" si="26"/>
        <v/>
      </c>
      <c r="AA78" s="237" t="e">
        <f t="shared" si="27"/>
        <v>#VALUE!</v>
      </c>
      <c r="AB78" s="236" t="str">
        <f>IF(AF78="","",RANK(AF78,AF:AF,0)+COUNTIF($AF$1:AF77,AF78))</f>
        <v/>
      </c>
      <c r="AC78" s="238" t="str">
        <f t="shared" si="28"/>
        <v/>
      </c>
      <c r="AD78" s="238" t="str">
        <f t="shared" si="29"/>
        <v/>
      </c>
      <c r="AE78" s="339" t="str">
        <f t="shared" si="30"/>
        <v/>
      </c>
      <c r="AF78" s="236" t="str">
        <f t="shared" si="31"/>
        <v/>
      </c>
      <c r="AG78" s="236" t="e" cm="1">
        <f t="array" aca="1" ref="AG78" ca="1">RANK(INDIRECT(ADDRESS(ROW(), MATCH(AG$1, INDEX(contents_raw, 2, 0), 0))),
INDIRECT(ADDRESS(1, MATCH(AG$1, INDEX(contents_raw, 2, 0), 0)) &amp; ":" &amp; ADDRESS(ROWS(contents_raw), MATCH(AG$1, INDEX(contents_raw, 2, 0), 0))), 0)</f>
        <v>#VALUE!</v>
      </c>
      <c r="AH78" s="236" t="e" cm="1">
        <f t="array" aca="1" ref="AH78" ca="1">RANK(INDIRECT(ADDRESS(ROW(), MATCH(AH$1, INDEX(contents_raw, 2, 0), 0))),
INDIRECT(ADDRESS(1, MATCH(AH$1, INDEX(contents_raw, 2, 0), 0)) &amp; ":" &amp; ADDRESS(ROWS(contents_raw), MATCH(AH$1, INDEX(contents_raw, 2, 0), 0))), 0)</f>
        <v>#VALUE!</v>
      </c>
      <c r="AI78" s="236" t="e" cm="1">
        <f t="array" aca="1" ref="AI78" ca="1">RANK(INDIRECT(ADDRESS(ROW(), MATCH(AI$1, INDEX(contents_raw, 2, 0), 0))),
INDIRECT(ADDRESS(1, MATCH(AI$1, INDEX(contents_raw, 2, 0), 0)) &amp; ":" &amp; ADDRESS(ROWS(contents_raw), MATCH(AI$1, INDEX(contents_raw, 2, 0), 0))), 0)</f>
        <v>#VALUE!</v>
      </c>
    </row>
    <row r="79" spans="1:35">
      <c r="A79" s="47"/>
      <c r="B79" s="47"/>
      <c r="C79" s="47"/>
      <c r="D79" s="47"/>
      <c r="E79" s="47"/>
      <c r="F79" s="47"/>
      <c r="G79" s="47"/>
      <c r="H79" s="47"/>
      <c r="I79" s="47"/>
      <c r="J79" s="47"/>
      <c r="K79" s="47"/>
      <c r="L79" s="47"/>
      <c r="M79" s="47"/>
      <c r="N79" s="47"/>
      <c r="O79" s="47"/>
      <c r="P79" s="47"/>
      <c r="Q79" s="47"/>
      <c r="R79" s="47"/>
      <c r="S79" s="47"/>
      <c r="T79" s="47"/>
      <c r="V79" s="236" t="str">
        <f t="shared" si="22"/>
        <v/>
      </c>
      <c r="W79" s="236" t="str">
        <f t="shared" si="23"/>
        <v/>
      </c>
      <c r="X79" s="237" t="str">
        <f t="shared" si="24"/>
        <v/>
      </c>
      <c r="Y79" s="236" t="str">
        <f t="shared" si="25"/>
        <v/>
      </c>
      <c r="Z79" s="238" t="str">
        <f t="shared" si="26"/>
        <v/>
      </c>
      <c r="AA79" s="237" t="e">
        <f t="shared" si="27"/>
        <v>#VALUE!</v>
      </c>
      <c r="AB79" s="236" t="str">
        <f>IF(AF79="","",RANK(AF79,AF:AF,0)+COUNTIF($AF$1:AF78,AF79))</f>
        <v/>
      </c>
      <c r="AC79" s="238" t="str">
        <f t="shared" si="28"/>
        <v/>
      </c>
      <c r="AD79" s="238" t="str">
        <f t="shared" si="29"/>
        <v/>
      </c>
      <c r="AE79" s="339" t="str">
        <f t="shared" si="30"/>
        <v/>
      </c>
      <c r="AF79" s="236" t="str">
        <f t="shared" si="31"/>
        <v/>
      </c>
      <c r="AG79" s="236" t="e" cm="1">
        <f t="array" aca="1" ref="AG79" ca="1">RANK(INDIRECT(ADDRESS(ROW(), MATCH(AG$1, INDEX(contents_raw, 2, 0), 0))),
INDIRECT(ADDRESS(1, MATCH(AG$1, INDEX(contents_raw, 2, 0), 0)) &amp; ":" &amp; ADDRESS(ROWS(contents_raw), MATCH(AG$1, INDEX(contents_raw, 2, 0), 0))), 0)</f>
        <v>#VALUE!</v>
      </c>
      <c r="AH79" s="236" t="e" cm="1">
        <f t="array" aca="1" ref="AH79" ca="1">RANK(INDIRECT(ADDRESS(ROW(), MATCH(AH$1, INDEX(contents_raw, 2, 0), 0))),
INDIRECT(ADDRESS(1, MATCH(AH$1, INDEX(contents_raw, 2, 0), 0)) &amp; ":" &amp; ADDRESS(ROWS(contents_raw), MATCH(AH$1, INDEX(contents_raw, 2, 0), 0))), 0)</f>
        <v>#VALUE!</v>
      </c>
      <c r="AI79" s="236" t="e" cm="1">
        <f t="array" aca="1" ref="AI79" ca="1">RANK(INDIRECT(ADDRESS(ROW(), MATCH(AI$1, INDEX(contents_raw, 2, 0), 0))),
INDIRECT(ADDRESS(1, MATCH(AI$1, INDEX(contents_raw, 2, 0), 0)) &amp; ":" &amp; ADDRESS(ROWS(contents_raw), MATCH(AI$1, INDEX(contents_raw, 2, 0), 0))), 0)</f>
        <v>#VALUE!</v>
      </c>
    </row>
    <row r="80" spans="1:35">
      <c r="A80" s="47"/>
      <c r="B80" s="47"/>
      <c r="C80" s="47"/>
      <c r="D80" s="47"/>
      <c r="E80" s="47"/>
      <c r="F80" s="47"/>
      <c r="G80" s="47"/>
      <c r="H80" s="47"/>
      <c r="I80" s="47"/>
      <c r="J80" s="47"/>
      <c r="K80" s="47"/>
      <c r="L80" s="47"/>
      <c r="M80" s="47"/>
      <c r="N80" s="47"/>
      <c r="O80" s="47"/>
      <c r="P80" s="47"/>
      <c r="Q80" s="47"/>
      <c r="R80" s="47"/>
      <c r="S80" s="47"/>
      <c r="T80" s="47"/>
      <c r="V80" s="236" t="str">
        <f t="shared" si="22"/>
        <v/>
      </c>
      <c r="W80" s="236" t="str">
        <f t="shared" si="23"/>
        <v/>
      </c>
      <c r="X80" s="237" t="str">
        <f t="shared" si="24"/>
        <v/>
      </c>
      <c r="Y80" s="236" t="str">
        <f t="shared" si="25"/>
        <v/>
      </c>
      <c r="Z80" s="238" t="str">
        <f t="shared" si="26"/>
        <v/>
      </c>
      <c r="AA80" s="237" t="e">
        <f t="shared" si="27"/>
        <v>#VALUE!</v>
      </c>
      <c r="AB80" s="236" t="str">
        <f>IF(AF80="","",RANK(AF80,AF:AF,0)+COUNTIF($AF$1:AF79,AF80))</f>
        <v/>
      </c>
      <c r="AC80" s="238" t="str">
        <f t="shared" si="28"/>
        <v/>
      </c>
      <c r="AD80" s="238" t="str">
        <f t="shared" si="29"/>
        <v/>
      </c>
      <c r="AE80" s="339" t="str">
        <f t="shared" si="30"/>
        <v/>
      </c>
      <c r="AF80" s="236" t="str">
        <f t="shared" si="31"/>
        <v/>
      </c>
      <c r="AG80" s="236" t="e" cm="1">
        <f t="array" aca="1" ref="AG80" ca="1">RANK(INDIRECT(ADDRESS(ROW(), MATCH(AG$1, INDEX(contents_raw, 2, 0), 0))),
INDIRECT(ADDRESS(1, MATCH(AG$1, INDEX(contents_raw, 2, 0), 0)) &amp; ":" &amp; ADDRESS(ROWS(contents_raw), MATCH(AG$1, INDEX(contents_raw, 2, 0), 0))), 0)</f>
        <v>#VALUE!</v>
      </c>
      <c r="AH80" s="236" t="e" cm="1">
        <f t="array" aca="1" ref="AH80" ca="1">RANK(INDIRECT(ADDRESS(ROW(), MATCH(AH$1, INDEX(contents_raw, 2, 0), 0))),
INDIRECT(ADDRESS(1, MATCH(AH$1, INDEX(contents_raw, 2, 0), 0)) &amp; ":" &amp; ADDRESS(ROWS(contents_raw), MATCH(AH$1, INDEX(contents_raw, 2, 0), 0))), 0)</f>
        <v>#VALUE!</v>
      </c>
      <c r="AI80" s="236" t="e" cm="1">
        <f t="array" aca="1" ref="AI80" ca="1">RANK(INDIRECT(ADDRESS(ROW(), MATCH(AI$1, INDEX(contents_raw, 2, 0), 0))),
INDIRECT(ADDRESS(1, MATCH(AI$1, INDEX(contents_raw, 2, 0), 0)) &amp; ":" &amp; ADDRESS(ROWS(contents_raw), MATCH(AI$1, INDEX(contents_raw, 2, 0), 0))), 0)</f>
        <v>#VALUE!</v>
      </c>
    </row>
  </sheetData>
  <autoFilter ref="A1:Z48" xr:uid="{00000000-0009-0000-0000-000006000000}"/>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EC93-6955-4133-97B2-BE901FCEC21C}">
  <sheetPr codeName="Sheet15">
    <tabColor rgb="FFFFFF00"/>
  </sheetPr>
  <dimension ref="A1:J74"/>
  <sheetViews>
    <sheetView tabSelected="1" zoomScaleNormal="100" workbookViewId="0">
      <selection activeCell="O6" sqref="O6"/>
    </sheetView>
  </sheetViews>
  <sheetFormatPr defaultRowHeight="16.5"/>
  <cols>
    <col min="2" max="2" width="155.875" customWidth="1"/>
    <col min="3" max="3" width="46" customWidth="1"/>
    <col min="4" max="6" width="17.875" customWidth="1"/>
  </cols>
  <sheetData>
    <row r="1" spans="1:10">
      <c r="A1" s="148" t="s">
        <v>85</v>
      </c>
      <c r="B1" s="92" t="s">
        <v>189</v>
      </c>
      <c r="C1" s="92" t="s">
        <v>194</v>
      </c>
      <c r="D1" s="92" t="s">
        <v>111</v>
      </c>
      <c r="E1" s="93" t="s">
        <v>195</v>
      </c>
      <c r="F1" s="52" t="s">
        <v>135</v>
      </c>
      <c r="G1" s="52" t="s">
        <v>463</v>
      </c>
      <c r="H1" s="52" t="s">
        <v>462</v>
      </c>
      <c r="J1" s="52" t="s">
        <v>974</v>
      </c>
    </row>
    <row r="2" spans="1:10">
      <c r="A2" s="4">
        <v>1</v>
      </c>
      <c r="B2" s="147" t="str">
        <f>IFERROR(INDEX(contents!A:A,MATCH(A2,contents!W:W,0),1),"")</f>
        <v>The importance of AI, data centers, and servers has grown more than ever before. Among these, the most crucial aspect is data processing and storage technology, which SK hynix specializes in. From #CMM-DDR5 (CXL® Memory Module) to #DDR5 and #HBM3E, SK hynix's server memory, equipped with ultra-fast data processing and exceptional reliability, is leading the future of data infrastructure.
Discover SK hynix's innovative server solutions that are redefining server performance.
#SKhynix #Server #DataCenter #AI #GDDR7 #MCRDIMM #RDIMM #CXL #CMM</v>
      </c>
      <c r="C2" s="46"/>
      <c r="D2" s="46"/>
      <c r="E2" s="128"/>
      <c r="F2" s="237">
        <f>IFERROR(INDEX(contents!AA:AA,MATCH(A2,contents!W:W,0),1),"")</f>
        <v>45544</v>
      </c>
      <c r="G2" s="236" t="str">
        <f>IFERROR(INDEX(contents!B:B,MATCH(A2,contents!W:W,0),1),"")</f>
        <v>https://www.linkedin.com/feed/update/urn:li:activity:7238871271386533888</v>
      </c>
      <c r="H2" s="236" t="str">
        <f>IFERROR(VLOOKUP('contents 추가정보'!G2,contents!B:AB,27,FALSE),"")</f>
        <v/>
      </c>
      <c r="J2" t="s">
        <v>1015</v>
      </c>
    </row>
    <row r="3" spans="1:10">
      <c r="A3" s="4">
        <v>2</v>
      </c>
      <c r="B3" s="147" t="str">
        <f>IFERROR(INDEX(contents!A:A,MATCH(A3,contents!W:W,0),1),"")</f>
        <v>The key technology that transforms #AI semiconductor paradigm is none other than #PIM (Processing-in-Memory). In today’s era of IoT, Big Data, and AI, PIM architecture has become indispensable. SK hynix is leading the AI memory market with its #AiM (Accelerator-in-Memory) and AiM-based accelerator #AiMX.
Discover how SK hynix’s PIM memory resolves data bottlenecks and delivers exceptional performance in the carousel below.
#SKhynix #Bigdata #IoT #Datacenter #InMemory #Memory</v>
      </c>
      <c r="C3" s="46"/>
      <c r="D3" s="46"/>
      <c r="E3" s="128"/>
      <c r="F3" s="237">
        <f>IFERROR(INDEX(contents!AA:AA,MATCH(A3,contents!W:W,0),1),"")</f>
        <v>45555</v>
      </c>
      <c r="G3" s="236" t="str">
        <f>IFERROR(INDEX(contents!B:B,MATCH(A3,contents!W:W,0),1),"")</f>
        <v>https://www.linkedin.com/feed/update/urn:li:activity:7242842492507693056</v>
      </c>
      <c r="H3" s="236" t="str">
        <f>IFERROR(VLOOKUP('contents 추가정보'!G3,contents!B:AB,27,FALSE),"")</f>
        <v/>
      </c>
      <c r="J3" t="s">
        <v>1016</v>
      </c>
    </row>
    <row r="4" spans="1:10">
      <c r="A4" s="4">
        <v>3</v>
      </c>
      <c r="B4" s="147" t="str">
        <f>IFERROR(INDEX(contents!A:A,MATCH(A4,contents!W:W,0),1),"")</f>
        <v>The 2024 edition of SK hynix's Sustainability Report has been released. 🌍 SK hynix actively engages in a diverse range of activities across the economic, social, and environmental sectors and has been publishing an annual sustainability report since 2008 to provide transparent information to its stakeholders.
This Sustainability Report provides a comprehensive overview of SK hynix's #ESG ( #Environmental, #Social, and #Governance ) efforts and achievements, delivered through its ESG strategy framework, #PRISM .
Download the full version: 
https://lnkd.in/gUdP5hze
#SKhynix #SustainabilityReport #Sustainability #ESGReport2024 #Environment</v>
      </c>
      <c r="C4" s="46"/>
      <c r="D4" s="46"/>
      <c r="E4" s="128"/>
      <c r="F4" s="237">
        <f>IFERROR(INDEX(contents!AA:AA,MATCH(A4,contents!W:W,0),1),"")</f>
        <v>45545</v>
      </c>
      <c r="G4" s="236" t="str">
        <f>IFERROR(INDEX(contents!B:B,MATCH(A4,contents!W:W,0),1),"")</f>
        <v>https://www.linkedin.com/feed/update/urn:li:activity:7239233699580461056</v>
      </c>
      <c r="H4" s="236" t="str">
        <f>IFERROR(VLOOKUP('contents 추가정보'!G4,contents!B:AB,27,FALSE),"")</f>
        <v/>
      </c>
    </row>
    <row r="5" spans="1:10">
      <c r="A5" s="4">
        <v>4</v>
      </c>
      <c r="B5" s="147" t="str">
        <f>IFERROR(INDEX(contents!A:A,MATCH(A5,contents!W:W,0),1),"")</f>
        <v>As AI and big data grow, eSSD's performance and reliability are key for efficient large-scale data processing in servers and data centers. 
SK hynix’s #eSSD products are driving innovation in the data industry, solidifying the company’s position as a global leader.
Explore SK hynix’s distinctive eSSD solutions that excel in server and data center environments.
#SKhynix #eSSD #Server #DaterCenter #Bigdata #AI</v>
      </c>
      <c r="C5" s="46"/>
      <c r="D5" s="46"/>
      <c r="E5" s="128"/>
      <c r="F5" s="237">
        <f>IFERROR(INDEX(contents!AA:AA,MATCH(A5,contents!W:W,0),1),"")</f>
        <v>45562</v>
      </c>
      <c r="G5" s="236" t="str">
        <f>IFERROR(INDEX(contents!B:B,MATCH(A5,contents!W:W,0),1),"")</f>
        <v>https://www.linkedin.com/feed/update/urn:li:activity:7245379156362878978</v>
      </c>
      <c r="H5" s="236" t="str">
        <f>IFERROR(VLOOKUP('contents 추가정보'!G5,contents!B:AB,27,FALSE),"")</f>
        <v/>
      </c>
    </row>
    <row r="6" spans="1:10">
      <c r="A6" s="4">
        <v>5</v>
      </c>
      <c r="B6" s="147" t="str">
        <f>IFERROR(INDEX(contents!A:A,MATCH(A6,contents!W:W,0),1),"")</f>
        <v>The pace of AI development is accelerating. SK hynix participated in TSMC Open Innovation Platform Ecosystem Forum 2024, showcasing various #AI memory solutions, including #HBM3E, and received significant attention.
We sincerely thank everyone who visited our booth and all the team members Jonghwa Jeong, Jaehan Park, Byoungdo Lee, jinsu L., Jaesik Lee, Suna Shin, Doohee Lee who contributed to the success of this event. We always appreciate your passion!
#SKhynix #TSMC #TSMCOIP #Memory #AIMemory</v>
      </c>
      <c r="C6" s="46"/>
      <c r="D6" s="46"/>
      <c r="E6" s="128"/>
      <c r="F6" s="237">
        <f>IFERROR(INDEX(contents!AA:AA,MATCH(A6,contents!W:W,0),1),"")</f>
        <v>45561</v>
      </c>
      <c r="G6" s="236" t="str">
        <f>IFERROR(INDEX(contents!B:B,MATCH(A6,contents!W:W,0),1),"")</f>
        <v>https://www.linkedin.com/feed/update/urn:li:activity:7245040724499390464</v>
      </c>
      <c r="H6" s="236" t="str">
        <f>IFERROR(VLOOKUP('contents 추가정보'!G6,contents!B:AB,27,FALSE),"")</f>
        <v/>
      </c>
    </row>
    <row r="7" spans="1:10">
      <c r="A7" s="4">
        <v>6</v>
      </c>
      <c r="B7" s="147" t="str">
        <f>IFERROR(INDEX(contents!A:A,MATCH(A7,contents!W:W,0),1),"")</f>
        <v>The excitement continues at the AI Hardware &amp; Edge AI Summit 2024! Visit SK hynix at Booth #27 to explore their unique Processing In Memory ( #PIM ) technology, #AiM, and #AiMX. This incredible, cutting-edge #AI memory solution is versatile, supporting everything from data centers to edge devices. At the exhibit, SK hynix demonstrated the performance of AiMX using the latest #LLM model, #Llama3 70B.
If you haven’t yet, stop by Booth #27 and check out these innovations—plus, give a round of applause to the hardworking SK hynix team!
Eui-Cheol Lim ILKON KIM Byeongju An Yosub Song
#SKhynix #AIHWEdgeAISummit #EdgeAI #AIHardware </v>
      </c>
      <c r="C7" s="46"/>
      <c r="D7" s="46"/>
      <c r="E7" s="128"/>
      <c r="F7" s="237">
        <f>IFERROR(INDEX(contents!AA:AA,MATCH(A7,contents!W:W,0),1),"")</f>
        <v>45546</v>
      </c>
      <c r="G7" s="236" t="str">
        <f>IFERROR(INDEX(contents!B:B,MATCH(A7,contents!W:W,0),1),"")</f>
        <v>https://www.linkedin.com/feed/update/urn:li:activity:7239596041203785728</v>
      </c>
      <c r="H7" s="236" t="str">
        <f>IFERROR(VLOOKUP('contents 추가정보'!G7,contents!B:AB,27,FALSE),"")</f>
        <v/>
      </c>
    </row>
    <row r="8" spans="1:10">
      <c r="A8" s="4">
        <v>7</v>
      </c>
      <c r="B8" s="147" t="str">
        <f>IFERROR(INDEX(contents!A:A,MATCH(A8,contents!W:W,0),1),"")</f>
        <v>Today at #Semicon Taiwan 2024, Juseon (Justin) Kim, President of SK hynix, gave an insightful presentation on "Unleashing the Possibilities of AI Memory Technology."
The rapid advancement of #AI is driving the memory industry, which requires higher density, greater bandwidth, and lower power consumption. Justin Kim emphasized that SK hynix’s leadership in technological innovation stems from its world-class memory products and strong partnerships. With its cutting-edge memory technology, SK hynix has become a key player in the AI market.
#SKhynix #SemiconTaiwan #Memory #Partnerships #GenerativeAI </v>
      </c>
      <c r="C8" s="46"/>
      <c r="D8" s="46"/>
      <c r="E8" s="128"/>
      <c r="F8" s="237">
        <f>IFERROR(INDEX(contents!AA:AA,MATCH(A8,contents!W:W,0),1),"")</f>
        <v>45539</v>
      </c>
      <c r="G8" s="236" t="str">
        <f>IFERROR(INDEX(contents!B:B,MATCH(A8,contents!W:W,0),1),"")</f>
        <v>https://www.linkedin.com/feed/update/urn:li:activity:7237043797233209344</v>
      </c>
      <c r="H8" s="236" t="str">
        <f>IFERROR(VLOOKUP('contents 추가정보'!G8,contents!B:AB,27,FALSE),"")</f>
        <v/>
      </c>
    </row>
    <row r="9" spans="1:10">
      <c r="A9" s="4">
        <v>8</v>
      </c>
      <c r="B9" s="147" t="str">
        <f>IFERROR(INDEX(contents!A:A,MATCH(A9,contents!W:W,0),1),"")</f>
        <v>At TSMC Open Innovation Platform Ecosystem Forum 2024, Byoungdo Lee from SK hynix's HBM Packaging Technical Enabling department presented "A Collaborative Study on 2.5D System in Package for Better Quality and Reliability of High Bandwidth Memory," offering remarkable insights into memory technology.
We appreciate everyone who attended the session and extend our gratitude to Byoungdo Lee for sharing his valuable expertise.
#SKhynix #TSMC #TSMCOIP #HBM #Packaging #Memory #HBM3E</v>
      </c>
      <c r="C9" s="46"/>
      <c r="D9" s="46"/>
      <c r="E9" s="128"/>
      <c r="F9" s="237">
        <f>IFERROR(INDEX(contents!AA:AA,MATCH(A9,contents!W:W,0),1),"")</f>
        <v>45561</v>
      </c>
      <c r="G9" s="236" t="str">
        <f>IFERROR(INDEX(contents!B:B,MATCH(A9,contents!W:W,0),1),"")</f>
        <v>https://www.linkedin.com/feed/update/urn:li:activity:7245036686601027584</v>
      </c>
      <c r="H9" s="236" t="str">
        <f>IFERROR(VLOOKUP('contents 추가정보'!G9,contents!B:AB,27,FALSE),"")</f>
        <v/>
      </c>
    </row>
    <row r="10" spans="1:10">
      <c r="A10" s="4">
        <v>9</v>
      </c>
      <c r="B10" s="147" t="str">
        <f>IFERROR(INDEX(contents!A:A,MATCH(A10,contents!W:W,0),1),"")</f>
        <v>SK hynix participated in TSMC Open Innovation Platform Ecosystem Forum 2024, where our booth became a focal point for many attendees. The significant interest in SK hynix‘s AI memory technology ensured a constant flow of visitors. 
More posts capturing these remarkable moments will be shared soon.
#SKhynix #TSMC #TSMCOIP #TSMCOIP2024 #AI #Memory</v>
      </c>
      <c r="C10" s="46"/>
      <c r="D10" s="46"/>
      <c r="E10" s="128"/>
      <c r="F10" s="237">
        <f>IFERROR(INDEX(contents!AA:AA,MATCH(A10,contents!W:W,0),1),"")</f>
        <v>45561</v>
      </c>
      <c r="G10" s="236" t="str">
        <f>IFERROR(INDEX(contents!B:B,MATCH(A10,contents!W:W,0),1),"")</f>
        <v>https://www.linkedin.com/feed/update/urn:li:activity:7245035180460023808</v>
      </c>
      <c r="H10" s="236" t="str">
        <f>IFERROR(VLOOKUP('contents 추가정보'!G10,contents!B:AB,27,FALSE),"")</f>
        <v/>
      </c>
    </row>
    <row r="11" spans="1:10">
      <c r="A11" s="4">
        <v>10</v>
      </c>
      <c r="B11" s="147" t="str">
        <f>IFERROR(INDEX(contents!A:A,MATCH(A11,contents!W:W,0),1),"")</f>
        <v>SK hynix’s innovation journey continues beyond 40 years! ⭐ From producing Korea’s first 16K #SRAM in 1984 to mass-producing the world’s highest 321-layer #NAND and our cutting-edge #HBM3E, we’ve been shaping the future with pioneering technology.
Now, we’re unveiling the defining moments that fueled SK hynix’s growth and innovation. Join us on this remarkable journey that has driven our success today!
#SKhynix #Sternstunde #MomentofGlory #Semiconductor #Memory #Innovation</v>
      </c>
      <c r="C11" s="46"/>
      <c r="D11" s="46"/>
      <c r="E11" s="128"/>
      <c r="F11" s="237">
        <f>IFERROR(INDEX(contents!AA:AA,MATCH(A11,contents!W:W,0),1),"")</f>
        <v>45547</v>
      </c>
      <c r="G11" s="236" t="str">
        <f>IFERROR(INDEX(contents!B:B,MATCH(A11,contents!W:W,0),1),"")</f>
        <v>https://www.linkedin.com/feed/update/urn:li:activity:7239958430432518144</v>
      </c>
      <c r="H11" s="236" t="str">
        <f>IFERROR(VLOOKUP('contents 추가정보'!G11,contents!B:AB,27,FALSE),"")</f>
        <v/>
      </c>
    </row>
    <row r="12" spans="1:10">
      <c r="A12" s="4">
        <v>11</v>
      </c>
      <c r="B12" s="147" t="str">
        <f>IFERROR(INDEX(contents!A:A,MATCH(A12,contents!W:W,0),1),"")</f>
        <v>SUSTAINABLE GROWTH 🌍
SK hynix has secured its leading position in #ESG by winning the 'Best ESG Bond' award at the 2023 IFR Asia Awards. Every year, we publish a comprehensive #Sustainability Report that highlights our ESG efforts and achievements. 
We are responsibly leading the future of memory solutions, focusing on sustainability. Our advancements in memory technology support a greener, more efficient world. 
Join us on our journey toward ESG-driven innovation. 
#SKhynix #PRISM #SustainabilityReport #GreenBond #Environment</v>
      </c>
      <c r="C12" s="46"/>
      <c r="D12" s="46"/>
      <c r="E12" s="128"/>
      <c r="F12" s="237">
        <f>IFERROR(INDEX(contents!AA:AA,MATCH(A12,contents!W:W,0),1),"")</f>
        <v>45538</v>
      </c>
      <c r="G12" s="236" t="str">
        <f>IFERROR(INDEX(contents!B:B,MATCH(A12,contents!W:W,0),1),"")</f>
        <v>https://www.linkedin.com/feed/update/urn:li:activity:7236689465484668929</v>
      </c>
      <c r="H12" s="236" t="str">
        <f>IFERROR(VLOOKUP('contents 추가정보'!G12,contents!B:AB,27,FALSE),"")</f>
        <v/>
      </c>
    </row>
    <row r="13" spans="1:10">
      <c r="A13" s="4">
        <v>12</v>
      </c>
      <c r="B13" s="147" t="str">
        <f>IFERROR(INDEX(contents!A:A,MATCH(A13,contents!W:W,0),1),"")</f>
        <v>Boost your AI with SK hynix's #PIM Solutions! At the AI Hardware &amp; Edge AI Summit 2024, Eui-Cheol Lim, System Architect Research Fellow, delivered a successful presentation, showcasing innovative strategies to accelerate #LLM services from data centers to edge devices using SK hynix's unique PIM solutions, #AiM and #AiMX.
It was an invaluable opportunity to glimpse the future of data optimization. A big thank you to Dr. Lim for his insightful presentation and to everyone who joined us for this enlightening session!
#SKhynix #AIHWEdgeAISummit #EdgeAI #AIHardware #ML #AI #Session</v>
      </c>
      <c r="C13" s="46"/>
      <c r="D13" s="46"/>
      <c r="E13" s="128"/>
      <c r="F13" s="237">
        <f>IFERROR(INDEX(contents!AA:AA,MATCH(A13,contents!W:W,0),1),"")</f>
        <v>45548</v>
      </c>
      <c r="G13" s="236" t="str">
        <f>IFERROR(INDEX(contents!B:B,MATCH(A13,contents!W:W,0),1),"")</f>
        <v>https://www.linkedin.com/feed/update/urn:li:activity:7240320838816690176</v>
      </c>
      <c r="H13" s="236" t="str">
        <f>IFERROR(VLOOKUP('contents 추가정보'!G13,contents!B:AB,27,FALSE),"")</f>
        <v/>
      </c>
    </row>
    <row r="14" spans="1:10">
      <c r="A14" s="4">
        <v>13</v>
      </c>
      <c r="B14" s="147" t="str">
        <f>IFERROR(INDEX(contents!A:A,MATCH(A14,contents!W:W,0),1),"")</f>
        <v>Experience unmatched performance with SK hynix's 12-layer #HBM3E, the pinnacle of global memory technology. By developing the world's fastest #DRAM, SK hynix didn’t stop at 8 layers but advanced to 12, achieving an innovative success. 
Discover the remarkable performance of SK hynix's HBM3E.
#SKhynix #12Hi #AI #Memory</v>
      </c>
      <c r="C14" s="46"/>
      <c r="D14" s="46"/>
      <c r="E14" s="128"/>
      <c r="F14" s="237">
        <f>IFERROR(INDEX(contents!AA:AA,MATCH(A14,contents!W:W,0),1),"")</f>
        <v>45561</v>
      </c>
      <c r="G14" s="236" t="str">
        <f>IFERROR(INDEX(contents!B:B,MATCH(A14,contents!W:W,0),1),"")</f>
        <v>https://www.linkedin.com/feed/update/urn:li:activity:7245016788290125824</v>
      </c>
      <c r="H14" s="236">
        <f>IFERROR(VLOOKUP('contents 추가정보'!G14,contents!B:AB,27,FALSE),"")</f>
        <v>1</v>
      </c>
    </row>
    <row r="15" spans="1:10">
      <c r="A15" s="4">
        <v>14</v>
      </c>
      <c r="B15" s="147" t="str">
        <f>IFERROR(INDEX(contents!A:A,MATCH(A15,contents!W:W,0),1),"")</f>
        <v>At Dell Technologies Forum 2024 on August 28, Eunsung Na, Director of #HBM Business Strategy at SK hynix, shared insights on how the company rapidly adapts to tends in the semiconductor market and leads the development of HBM.
Watch the interview video below to learn more about how SK hynix is driving memory solutions in the AI era.
#SKhynix #DTF2024 #DellTechnologiesForum #HBM3E #AI</v>
      </c>
      <c r="C15" s="46"/>
      <c r="D15" s="46"/>
      <c r="E15" s="128"/>
      <c r="F15" s="237">
        <f>IFERROR(INDEX(contents!AA:AA,MATCH(A15,contents!W:W,0),1),"")</f>
        <v>45538</v>
      </c>
      <c r="G15" s="236" t="str">
        <f>IFERROR(INDEX(contents!B:B,MATCH(A15,contents!W:W,0),1),"")</f>
        <v>https://www.linkedin.com/feed/update/urn:li:activity:7236681907239886850</v>
      </c>
      <c r="H15" s="236">
        <f>IFERROR(VLOOKUP('contents 추가정보'!G15,contents!B:AB,27,FALSE),"")</f>
        <v>3</v>
      </c>
    </row>
    <row r="16" spans="1:10">
      <c r="A16" s="4">
        <v>15</v>
      </c>
      <c r="B16" s="147" t="str">
        <f>IFERROR(INDEX(contents!A:A,MATCH(A16,contents!W:W,0),1),"")</f>
        <v>TSMC Open Innovation Platform Ecosystem Forum 2024 concluded successfully. At the event, SK hynix showcased cutting-edge AI memory solutions, including #HBM3E , #LPCAMM2 , #GDDR7 , and #MCRDIMM , receiving enthusiastic responses from attendees. 
We appreciate everyone’s interest and will continue to demonstrate exceptional technological leadership in the memory market. Stay tuned for SK hynix's future development!
#SKhynix #TSMC #TSMCOIP #AI #Memory </v>
      </c>
      <c r="C16" s="46"/>
      <c r="D16" s="46"/>
      <c r="E16" s="128"/>
      <c r="F16" s="237">
        <f>IFERROR(INDEX(contents!AA:AA,MATCH(A16,contents!W:W,0),1),"")</f>
        <v>45562</v>
      </c>
      <c r="G16" s="236" t="str">
        <f>IFERROR(INDEX(contents!B:B,MATCH(A16,contents!W:W,0),1),"")</f>
        <v>https://www.linkedin.com/feed/update/urn:li:activity:7245394286106529795</v>
      </c>
      <c r="H16" s="236" t="str">
        <f>IFERROR(VLOOKUP('contents 추가정보'!G16,contents!B:AB,27,FALSE),"")</f>
        <v/>
      </c>
    </row>
    <row r="17" spans="1:8">
      <c r="A17" s="4">
        <v>16</v>
      </c>
      <c r="B17" s="147" t="str">
        <f>IFERROR(INDEX(contents!A:A,MATCH(A17,contents!W:W,0),1),"")</f>
        <v>Generative AI is quickly becoming the standard of our time. In step with this incredible technological advancement, SK hynix is setting a new benchmark with its innovative memory solutions.
Discover SK hynix’s latest #AI memory solutions: #HBM3E , #GDDR6 , #LPDDR5T , #MCRDIMM , and more. They offer unmatched performance, advanced capacity, and exceptional power efficiency.
SK hynix is pushing the boundaries of AI with its technological leadership.
#SKhynix #AIMemory #DRAM #Solutions #GenerativeAI</v>
      </c>
      <c r="C17" s="46"/>
      <c r="D17" s="46"/>
      <c r="E17" s="128"/>
      <c r="F17" s="237">
        <f>IFERROR(INDEX(contents!AA:AA,MATCH(A17,contents!W:W,0),1),"")</f>
        <v>45537</v>
      </c>
      <c r="G17" s="236" t="str">
        <f>IFERROR(INDEX(contents!B:B,MATCH(A17,contents!W:W,0),1),"")</f>
        <v>https://www.linkedin.com/feed/update/urn:li:activity:7236334551961116672</v>
      </c>
      <c r="H17" s="236" t="str">
        <f>IFERROR(VLOOKUP('contents 추가정보'!G17,contents!B:AB,27,FALSE),"")</f>
        <v/>
      </c>
    </row>
    <row r="18" spans="1:8">
      <c r="A18" s="4">
        <v>17</v>
      </c>
      <c r="B18" s="147" t="str">
        <f>IFERROR(INDEX(contents!A:A,MATCH(A18,contents!W:W,0),1),"")</f>
        <v>As #AI and high-performance computing (#HPC) technologies advance, #CXL is emerging as a next-generation memory solution that overcomes the limitations of traditional memory. CXL is compatible with DDR memory and offers significant advantages in scalability. SK hynix has developed the #HMSDK (Heterogeneous Memory Software Development Kit) and applied it to its #CMM-DDR5 product, enhancing these strengths and significantly improving system performance.
To learn more about this innovative technology, check out the video below!
#SKhynix #CMM #DDR5 #Memory #Solutions</v>
      </c>
      <c r="C18" s="46"/>
      <c r="D18" s="46"/>
      <c r="E18" s="128"/>
      <c r="F18" s="237">
        <f>IFERROR(INDEX(contents!AA:AA,MATCH(A18,contents!W:W,0),1),"")</f>
        <v>45538</v>
      </c>
      <c r="G18" s="236" t="str">
        <f>IFERROR(INDEX(contents!B:B,MATCH(A18,contents!W:W,0),1),"")</f>
        <v>https://www.linkedin.com/feed/update/urn:li:activity:7236697003001360386</v>
      </c>
      <c r="H18" s="236">
        <f>IFERROR(VLOOKUP('contents 추가정보'!G18,contents!B:AB,27,FALSE),"")</f>
        <v>2</v>
      </c>
    </row>
    <row r="19" spans="1:8">
      <c r="A19" s="4">
        <v>18</v>
      </c>
      <c r="B19" s="147" t="str">
        <f>IFERROR(INDEX(contents!A:A,MATCH(A19,contents!W:W,0),1),"")</f>
        <v>At TSMC OIP, a partner collaboration platform and exhibition for semiconductor as well as manufacturing innovation, SK hynix will give a special presentation.
Led by Byoungdo Lee from SK hynix's HBM Packaging Technical Enabling department, this session will explore a collaborative study focused on improving the quality and reliability of 2.5D System in Package. It’s a unique opportunity to dive into the future of High Bandwidth Memory (#HBM) technology.
Watch the video below to get more information about the session!
#SKhynix #TSMC #TSMCOIP #AI #Memory #HBM3E</v>
      </c>
      <c r="C19" s="46"/>
      <c r="D19" s="46"/>
      <c r="E19" s="128"/>
      <c r="F19" s="237">
        <f>IFERROR(INDEX(contents!AA:AA,MATCH(A19,contents!W:W,0),1),"")</f>
        <v>45559</v>
      </c>
      <c r="G19" s="236" t="str">
        <f>IFERROR(INDEX(contents!B:B,MATCH(A19,contents!W:W,0),1),"")</f>
        <v>https://www.linkedin.com/feed/update/urn:li:activity:7244307146304061440</v>
      </c>
      <c r="H19" s="236">
        <f>IFERROR(VLOOKUP('contents 추가정보'!G19,contents!B:AB,27,FALSE),"")</f>
        <v>7</v>
      </c>
    </row>
    <row r="20" spans="1:8">
      <c r="A20" s="4">
        <v>19</v>
      </c>
      <c r="B20" s="147" t="str">
        <f>IFERROR(INDEX(contents!A:A,MATCH(A20,contents!W:W,0),1),"")</f>
        <v>Explore SK hynix’s booth at TSMC OIP in advance with our 3D tour! Our cutting-edge AI memory solutions are waiting for you at Booth #308. Experience innovative future technologies like #HBM3E , #LPCAMM2 , #GDDR7 , and #MCRDIMM firsthand.
#SKhynix #TSMC #TSMCOIP #AI #Memory #3D #Booth</v>
      </c>
      <c r="C20" s="46"/>
      <c r="D20" s="46"/>
      <c r="E20" s="128"/>
      <c r="F20" s="237">
        <f>IFERROR(INDEX(contents!AA:AA,MATCH(A20,contents!W:W,0),1),"")</f>
        <v>45560</v>
      </c>
      <c r="G20" s="236" t="str">
        <f>IFERROR(INDEX(contents!B:B,MATCH(A20,contents!W:W,0),1),"")</f>
        <v>https://www.linkedin.com/feed/update/urn:li:activity:7244671835387150336</v>
      </c>
      <c r="H20" s="236">
        <f>IFERROR(VLOOKUP('contents 추가정보'!G20,contents!B:AB,27,FALSE),"")</f>
        <v>8</v>
      </c>
    </row>
    <row r="21" spans="1:8">
      <c r="A21" s="4">
        <v>20</v>
      </c>
      <c r="B21" s="147" t="str">
        <f>IFERROR(INDEX(contents!A:A,MATCH(A21,contents!W:W,0),1),"")</f>
        <v>Here’s the action from Dell Technologies Forum 2024! SK hynix unveiled advanced memory solutions designed to lead the #AI era, focusing on servers, data centers, PCs, and mobile devices. They also showcased products like the #PS1010 and #PCB01, developed in collaboration with Dell Technologies.
During the breakout session, Eunsung Na, Director of the #HBM Business Strategy team, emphasized the crucial role of SK hynix's memory technology in the AI era, receiving great applause.
Catch all the exciting moments in the video!
#SKhynix #DellTechForum #Dell #DellTechnologies #DellTechnologiesForum #Memory </v>
      </c>
      <c r="C21" s="46"/>
      <c r="D21" s="46"/>
      <c r="E21" s="128"/>
      <c r="F21" s="237">
        <f>IFERROR(INDEX(contents!AA:AA,MATCH(A21,contents!W:W,0),1),"")</f>
        <v>45541</v>
      </c>
      <c r="G21" s="236" t="str">
        <f>IFERROR(INDEX(contents!B:B,MATCH(A21,contents!W:W,0),1),"")</f>
        <v>https://www.linkedin.com/feed/update/urn:li:activity:7237776569627197440</v>
      </c>
      <c r="H21" s="236">
        <f>IFERROR(VLOOKUP('contents 추가정보'!G21,contents!B:AB,27,FALSE),"")</f>
        <v>6</v>
      </c>
    </row>
    <row r="22" spans="1:8">
      <c r="A22" s="4">
        <v>21</v>
      </c>
      <c r="B22" s="147" t="str">
        <f>IFERROR(INDEX(contents!A:A,MATCH(A22,contents!W:W,0),1),"")</f>
        <v>Today at the Suwon Convention Center in South Korea, the #OCP Regional Summit APAC kicks off as part of the OpenInfra Asia Summit and Open Compute Project Foundation, offering a key networking opportunity for experts in data center infrastructure, cloud computing, networking, and storage.
SK hynix’s Jerry(eung-bo) Shim and haerang choi will present on September 3rd and 4th, covering OCP Hyperscale #CXL TME implementation and #LLM service innovation through memory-computing convergence.
Don’t miss this opportunity to discover the latest in memory technology.
#SKhynix #OCPRegionalSummit #OpenInfraSummit #OCPSummit2024 </v>
      </c>
      <c r="C22" s="46"/>
      <c r="D22" s="46"/>
      <c r="E22" s="128"/>
      <c r="F22" s="237">
        <f>IFERROR(INDEX(contents!AA:AA,MATCH(A22,contents!W:W,0),1),"")</f>
        <v>45538</v>
      </c>
      <c r="G22" s="236" t="str">
        <f>IFERROR(INDEX(contents!B:B,MATCH(A22,contents!W:W,0),1),"")</f>
        <v>https://www.linkedin.com/feed/update/urn:li:activity:7236528762446569472</v>
      </c>
      <c r="H22" s="236" t="str">
        <f>IFERROR(VLOOKUP('contents 추가정보'!G22,contents!B:AB,27,FALSE),"")</f>
        <v/>
      </c>
    </row>
    <row r="23" spans="1:8">
      <c r="A23" s="4">
        <v>22</v>
      </c>
      <c r="B23" s="147" t="str">
        <f>IFERROR(INDEX(contents!A:A,MATCH(A23,contents!W:W,0),1),"")</f>
        <v>NIAGARA 2.0 - The Pooled Memory Solution: Discover SK hynix's 'Niagara 2.0,' a #CXLⓇ disaggregated memory platform. 
It combines multiple CXLⓇ memories, offering scalability, flexibility, and optimized memory sharing between hosts like #CPUs and #GPUs. By eliminating idle memory and reducing power consumption, #Niagara2.0 is set to revolutionize AI and big data processing. 
Discover it now!
#SKhynix #AI #BigData #CMM #CMM-DDR5 #Niagara</v>
      </c>
      <c r="C23" s="46"/>
      <c r="D23" s="46"/>
      <c r="E23" s="128"/>
      <c r="F23" s="237">
        <f>IFERROR(INDEX(contents!AA:AA,MATCH(A23,contents!W:W,0),1),"")</f>
        <v>45548</v>
      </c>
      <c r="G23" s="236" t="str">
        <f>IFERROR(INDEX(contents!B:B,MATCH(A23,contents!W:W,0),1),"")</f>
        <v>https://www.linkedin.com/feed/update/urn:li:activity:7242132820830085121</v>
      </c>
      <c r="H23" s="236">
        <f>IFERROR(VLOOKUP('contents 추가정보'!G23,contents!B:AB,27,FALSE),"")</f>
        <v>4</v>
      </c>
    </row>
    <row r="24" spans="1:8">
      <c r="A24" s="4">
        <v>23</v>
      </c>
      <c r="B24" s="147" t="str">
        <f>IFERROR(INDEX(contents!A:A,MATCH(A24,contents!W:W,0),1),"")</f>
        <v>When the clouds clear, real beauty emerges. 🌕 Experience unparalleled graphic quality with SK hynix's world-class #GDDR7. With SK hynix's high-performance #AI graphic memory GDDR7, enjoy the crystal-clear full moon this Chuseok like never before. 
#SKhynix #Graphic #Memory #Happy #Chuseok </v>
      </c>
      <c r="C24" s="46"/>
      <c r="D24" s="46"/>
      <c r="E24" s="128"/>
      <c r="F24" s="237">
        <f>IFERROR(INDEX(contents!AA:AA,MATCH(A24,contents!W:W,0),1),"")</f>
        <v>45548</v>
      </c>
      <c r="G24" s="236" t="str">
        <f>IFERROR(INDEX(contents!B:B,MATCH(A24,contents!W:W,0),1),"")</f>
        <v>https://www.linkedin.com/feed/update/urn:li:activity:7241400466167754752</v>
      </c>
      <c r="H24" s="236">
        <f>IFERROR(VLOOKUP('contents 추가정보'!G24,contents!B:AB,27,FALSE),"")</f>
        <v>5</v>
      </c>
    </row>
    <row r="25" spans="1:8">
      <c r="A25" s="4">
        <v>24</v>
      </c>
      <c r="B25" s="147" t="str">
        <f>IFERROR(INDEX(contents!A:A,MATCH(A25,contents!W:W,0),1),"")</f>
        <v>Don’t miss this session featuring SK hynix’s exceptional speaker. On Thursday, September 12th, at 1:30 PM, in Track B – Regency Ballroom at the AI Hardware &amp; Edge AI Summit 2024, Eui-Cheol Lim, SK hynix’s Research Fellow, System Architecture, will present on "Accelerating LLM Services from Datacenter to Edge Device."
Discover the groundbreaking strategies from one of the leading experts in AI innovation as Eui-cheol Lim discusses optimizing #LLM services from data centers to edge devices.
#SKhynix #AIHWEdgeAISummit #EdgeAI #AIHardware #ML #Session</v>
      </c>
      <c r="C25" s="46"/>
      <c r="D25" s="46"/>
      <c r="E25" s="128"/>
      <c r="F25" s="237">
        <f>IFERROR(INDEX(contents!AA:AA,MATCH(A25,contents!W:W,0),1),"")</f>
        <v>45540</v>
      </c>
      <c r="G25" s="236" t="str">
        <f>IFERROR(INDEX(contents!B:B,MATCH(A25,contents!W:W,0),1),"")</f>
        <v>https://www.linkedin.com/feed/update/urn:li:activity:7237421727780143106</v>
      </c>
      <c r="H25" s="236" t="str">
        <f>IFERROR(VLOOKUP('contents 추가정보'!G25,contents!B:AB,27,FALSE),"")</f>
        <v/>
      </c>
    </row>
    <row r="26" spans="1:8">
      <c r="A26" s="4">
        <v>25</v>
      </c>
      <c r="B26" s="147" t="str">
        <f>IFERROR(INDEX(contents!A:A,MATCH(A26,contents!W:W,0),1),"")</f>
        <v>TSMC OIP featuring SK hynix’s cutting-edge AI memory solutions is about to begin!
From the world’s highest-performing AI memory #HBM3E to #LPCAMM2 , #GDDR7 , and #MCRDIMM , groundbreaking AI memory technologies are gathering in one place. Visit us at Booth #308 at the Santa Clara Convention Center on September 25.
📅 Date: Wednesday, September 25, 2024
📍 Location: Santa Clara Convention Center, California
🗺️ Booth: #308
Experience a new level of innovation at the SK hynix booth!
#SKhynix #TSMC #TSMCOIP #AI #Memory</v>
      </c>
      <c r="C26" s="46"/>
      <c r="D26" s="46"/>
      <c r="E26" s="128"/>
      <c r="F26" s="237">
        <f>IFERROR(INDEX(contents!AA:AA,MATCH(A26,contents!W:W,0),1),"")</f>
        <v>45559</v>
      </c>
      <c r="G26" s="236" t="str">
        <f>IFERROR(INDEX(contents!B:B,MATCH(A26,contents!W:W,0),1),"")</f>
        <v>https://www.linkedin.com/feed/update/urn:li:activity:7244292016245800960</v>
      </c>
      <c r="H26" s="236" t="str">
        <f>IFERROR(VLOOKUP('contents 추가정보'!G26,contents!B:AB,27,FALSE),"")</f>
        <v/>
      </c>
    </row>
    <row r="27" spans="1:8">
      <c r="A27" s="4">
        <v>26</v>
      </c>
      <c r="B27" s="147" t="str">
        <f>IFERROR(INDEX(contents!A:A,MATCH(A27,contents!W:W,0),1),"")</f>
        <v>TSMC OIP, a gathering of semiconductor ecosystem partners and customers to discuss and collaborate on the latest technologies and products, will take place in Santa Clara, CA on September 25.
SK hynix will showcase its cutting-edge #AI memory solutions, including #HBM3E , #LPCAMM2 , #GDDR7 , #MCRDIMM at this event. 
Discover how SK hynix is shaping the future of AI memory solutions through this exhibition!
 📅 Date: Wednesday, September 25, 2024
 🗺️ Location: Santa Clara Convention Center, California
 📍 Venue: Booth #308
 Don’t miss the exciting advancements coming your way!
#SKhynix #TSMC #TSMCOIP #HBM #Memory #Semiconductors</v>
      </c>
      <c r="C27" s="46"/>
      <c r="D27" s="46"/>
      <c r="E27" s="128"/>
      <c r="F27" s="237">
        <f>IFERROR(INDEX(contents!AA:AA,MATCH(A27,contents!W:W,0),1),"")</f>
        <v>45554</v>
      </c>
      <c r="G27" s="236" t="str">
        <f>IFERROR(INDEX(contents!B:B,MATCH(A27,contents!W:W,0),1),"")</f>
        <v>https://www.linkedin.com/feed/update/urn:li:activity:7242495405362421761</v>
      </c>
      <c r="H27" s="236" t="str">
        <f>IFERROR(VLOOKUP('contents 추가정보'!G27,contents!B:AB,27,FALSE),"")</f>
        <v/>
      </c>
    </row>
    <row r="28" spans="1:8">
      <c r="A28" s="4">
        <v>27</v>
      </c>
      <c r="B28" s="147" t="str">
        <f>IFERROR(INDEX(contents!A:A,MATCH(A28,contents!W:W,0),1),"")</f>
        <v>SK hynix is thrilled to participate in the AI Hardware &amp; Edge AI Summit 2024! At this summit, we’ll be showcasing cutting-edge AI memory technologies that are driving the future of the #AI and #ML ecosystem. This event focuses on the development of hardware to efficiently run AI models and the implementation of AI in edge devices.
📅 Dates: September 10-12, 2024
📍 Location: Signia by Hilton, San Jose, CA
✔️Booth: #27
Don’t miss the opportunity to explore innovative technologies, connect with industry experts, and discover new possibilities in AI memory.
#SKhynix #AIHWEdgeAISummit #EdgeAI #AIHardware #LLM #Hardware #EdgeDevice</v>
      </c>
      <c r="C28" s="46"/>
      <c r="D28" s="46"/>
      <c r="E28" s="128"/>
      <c r="F28" s="237">
        <f>IFERROR(INDEX(contents!AA:AA,MATCH(A28,contents!W:W,0),1),"")</f>
        <v>45539</v>
      </c>
      <c r="G28" s="236" t="str">
        <f>IFERROR(INDEX(contents!B:B,MATCH(A28,contents!W:W,0),1),"")</f>
        <v>https://www.linkedin.com/feed/update/urn:li:activity:7237060656846315521</v>
      </c>
      <c r="H28" s="236" t="str">
        <f>IFERROR(VLOOKUP('contents 추가정보'!G28,contents!B:AB,27,FALSE),"")</f>
        <v/>
      </c>
    </row>
    <row r="29" spans="1:8">
      <c r="A29" s="4">
        <v>28</v>
      </c>
      <c r="B29" s="147" t="str">
        <f>IFERROR(INDEX(contents!A:A,MATCH(A29,contents!W:W,0),1),"")</f>
        <v>Ready for a sneak peek at cutting-edge innovations? At TSMC Open Innovation Platform, SK hynix will showcase groundbreaking technologies that push the boundaries of what's possible. Share your thoughts by voting!
#SKhynix #TSMC #TSMCOIP #AI #Memory</v>
      </c>
      <c r="C29" s="46"/>
      <c r="D29" s="46"/>
      <c r="E29" s="128"/>
      <c r="F29" s="237">
        <f>IFERROR(INDEX(contents!AA:AA,MATCH(A29,contents!W:W,0),1),"")</f>
        <v>45555</v>
      </c>
      <c r="G29" s="236" t="str">
        <f>IFERROR(INDEX(contents!B:B,MATCH(A29,contents!W:W,0),1),"")</f>
        <v>https://www.linkedin.com/feed/update/urn:li:activity:7242857537388101633</v>
      </c>
      <c r="H29" s="236" t="str">
        <f>IFERROR(VLOOKUP('contents 추가정보'!G29,contents!B:AB,27,FALSE),"")</f>
        <v/>
      </c>
    </row>
    <row r="30" spans="1:8">
      <c r="A30" s="4">
        <v>29</v>
      </c>
      <c r="B30" s="147" t="str">
        <f>IFERROR(INDEX(contents!A:A,MATCH(A30,contents!W:W,0),1),"")</f>
        <v>Chuseok is a Korean holiday that originates from the old harvest festivals when people gave thanks for successful harvests. As we express gratitude and share the best gifts with our loved ones during Chuseok, SK hynix also extends our thanks and best wishes to our valued followers by offering a gift set of the highest-performing memory products. 🎁 
Enjoy this festive season with your loved ones, and may your special moments shine even brighter. 🌕
#SKhynix #Memory #Happy #Chuseok #Gifts</v>
      </c>
      <c r="C30" s="46"/>
      <c r="D30" s="46"/>
      <c r="E30" s="128"/>
      <c r="F30" s="237">
        <f>IFERROR(INDEX(contents!AA:AA,MATCH(A30,contents!W:W,0),1),"")</f>
        <v>45548</v>
      </c>
      <c r="G30" s="236" t="str">
        <f>IFERROR(INDEX(contents!B:B,MATCH(A30,contents!W:W,0),1),"")</f>
        <v>https://www.linkedin.com/feed/update/urn:li:activity:7241755268735254529</v>
      </c>
      <c r="H30" s="236" t="str">
        <f>IFERROR(VLOOKUP('contents 추가정보'!G30,contents!B:AB,27,FALSE),"")</f>
        <v/>
      </c>
    </row>
    <row r="31" spans="1:8">
      <c r="A31" s="4">
        <v>30</v>
      </c>
      <c r="B31" s="147" t="str">
        <f>IFERROR(INDEX(contents!A:A,MATCH(A31,contents!W:W,0),1),"")</f>
        <v>Semiconductor technology is becoming a key factor in shaping the future of #AI. Ever wondered how semiconductor advancements will drive the AI era? Share your thoughts by voting!
#SKhynix #AI #Semiconductors</v>
      </c>
      <c r="C31" s="46"/>
      <c r="D31" s="46"/>
      <c r="E31" s="128"/>
      <c r="F31" s="237">
        <f>IFERROR(INDEX(contents!AA:AA,MATCH(A31,contents!W:W,0),1),"")</f>
        <v>45541</v>
      </c>
      <c r="G31" s="236" t="str">
        <f>IFERROR(INDEX(contents!B:B,MATCH(A31,contents!W:W,0),1),"")</f>
        <v>https://www.linkedin.com/feed/update/urn:li:activity:7237784103356354564</v>
      </c>
      <c r="H31" s="236" t="str">
        <f>IFERROR(VLOOKUP('contents 추가정보'!G31,contents!B:AB,27,FALSE),"")</f>
        <v/>
      </c>
    </row>
    <row r="32" spans="1:8">
      <c r="A32" s="4">
        <v>31</v>
      </c>
      <c r="B32" s="147" t="str">
        <f>IFERROR(INDEX(contents!A:A,MATCH(A32,contents!W:W,0),1),"")</f>
        <v/>
      </c>
      <c r="C32" s="46"/>
      <c r="D32" s="46"/>
      <c r="E32" s="128"/>
      <c r="F32" s="237" t="str">
        <f>IFERROR(INDEX(contents!AA:AA,MATCH(A32,contents!W:W,0),1),"")</f>
        <v/>
      </c>
      <c r="G32" s="236" t="str">
        <f>IFERROR(INDEX(contents!B:B,MATCH(A32,contents!W:W,0),1),"")</f>
        <v/>
      </c>
      <c r="H32" s="236" t="str">
        <f>IFERROR(VLOOKUP('contents 추가정보'!G32,contents!B:AB,27,FALSE),"")</f>
        <v/>
      </c>
    </row>
    <row r="33" spans="1:8">
      <c r="A33" s="4">
        <v>32</v>
      </c>
      <c r="B33" s="147" t="str">
        <f>IFERROR(INDEX(contents!A:A,MATCH(A33,contents!W:W,0),1),"")</f>
        <v/>
      </c>
      <c r="C33" s="46"/>
      <c r="D33" s="46"/>
      <c r="E33" s="128"/>
      <c r="F33" s="237" t="str">
        <f>IFERROR(INDEX(contents!AA:AA,MATCH(A33,contents!W:W,0),1),"")</f>
        <v/>
      </c>
      <c r="G33" s="236" t="str">
        <f>IFERROR(INDEX(contents!B:B,MATCH(A33,contents!W:W,0),1),"")</f>
        <v/>
      </c>
      <c r="H33" s="236" t="str">
        <f>IFERROR(VLOOKUP('contents 추가정보'!G33,contents!B:AB,27,FALSE),"")</f>
        <v/>
      </c>
    </row>
    <row r="34" spans="1:8">
      <c r="A34" s="4">
        <v>33</v>
      </c>
      <c r="B34" s="147" t="str">
        <f>IFERROR(INDEX(contents!A:A,MATCH(A34,contents!W:W,0),1),"")</f>
        <v/>
      </c>
      <c r="C34" s="46"/>
      <c r="D34" s="46"/>
      <c r="E34" s="128"/>
      <c r="F34" s="237" t="str">
        <f>IFERROR(INDEX(contents!AA:AA,MATCH(A34,contents!W:W,0),1),"")</f>
        <v/>
      </c>
      <c r="G34" s="236" t="str">
        <f>IFERROR(INDEX(contents!B:B,MATCH(A34,contents!W:W,0),1),"")</f>
        <v/>
      </c>
      <c r="H34" s="236" t="str">
        <f>IFERROR(VLOOKUP('contents 추가정보'!G34,contents!B:AB,27,FALSE),"")</f>
        <v/>
      </c>
    </row>
    <row r="35" spans="1:8">
      <c r="A35" s="4">
        <v>34</v>
      </c>
      <c r="B35" s="147" t="str">
        <f>IFERROR(INDEX(contents!A:A,MATCH(A35,contents!W:W,0),1),"")</f>
        <v/>
      </c>
      <c r="C35" s="46"/>
      <c r="D35" s="46"/>
      <c r="E35" s="128"/>
      <c r="F35" s="237" t="str">
        <f>IFERROR(INDEX(contents!AA:AA,MATCH(A35,contents!W:W,0),1),"")</f>
        <v/>
      </c>
      <c r="G35" s="236" t="str">
        <f>IFERROR(INDEX(contents!B:B,MATCH(A35,contents!W:W,0),1),"")</f>
        <v/>
      </c>
      <c r="H35" s="236" t="str">
        <f>IFERROR(VLOOKUP('contents 추가정보'!G35,contents!B:AB,27,FALSE),"")</f>
        <v/>
      </c>
    </row>
    <row r="36" spans="1:8">
      <c r="A36" s="4">
        <v>35</v>
      </c>
      <c r="B36" s="147" t="str">
        <f>IFERROR(INDEX(contents!A:A,MATCH(A36,contents!W:W,0),1),"")</f>
        <v/>
      </c>
      <c r="C36" s="46"/>
      <c r="D36" s="46"/>
      <c r="E36" s="128"/>
      <c r="F36" s="237" t="str">
        <f>IFERROR(INDEX(contents!AA:AA,MATCH(A36,contents!W:W,0),1),"")</f>
        <v/>
      </c>
      <c r="G36" s="236" t="str">
        <f>IFERROR(INDEX(contents!B:B,MATCH(A36,contents!W:W,0),1),"")</f>
        <v/>
      </c>
      <c r="H36" s="236" t="str">
        <f>IFERROR(VLOOKUP('contents 추가정보'!G36,contents!B:AB,27,FALSE),"")</f>
        <v/>
      </c>
    </row>
    <row r="37" spans="1:8">
      <c r="A37" s="4">
        <v>36</v>
      </c>
      <c r="B37" s="147" t="str">
        <f>IFERROR(INDEX(contents!A:A,MATCH(A37,contents!W:W,0),1),"")</f>
        <v/>
      </c>
      <c r="C37" s="46"/>
      <c r="D37" s="46"/>
      <c r="E37" s="128"/>
      <c r="F37" s="237" t="str">
        <f>IFERROR(INDEX(contents!AA:AA,MATCH(A37,contents!W:W,0),1),"")</f>
        <v/>
      </c>
      <c r="G37" s="236" t="str">
        <f>IFERROR(INDEX(contents!B:B,MATCH(A37,contents!W:W,0),1),"")</f>
        <v/>
      </c>
      <c r="H37" s="236" t="str">
        <f>IFERROR(VLOOKUP('contents 추가정보'!G37,contents!B:AB,27,FALSE),"")</f>
        <v/>
      </c>
    </row>
    <row r="38" spans="1:8">
      <c r="A38" s="4">
        <v>37</v>
      </c>
      <c r="B38" s="147" t="str">
        <f>IFERROR(INDEX(contents!A:A,MATCH(A38,contents!W:W,0),1),"")</f>
        <v/>
      </c>
      <c r="C38" s="46"/>
      <c r="D38" s="46"/>
      <c r="E38" s="128"/>
      <c r="F38" s="237" t="str">
        <f>IFERROR(INDEX(contents!AA:AA,MATCH(A38,contents!W:W,0),1),"")</f>
        <v/>
      </c>
      <c r="G38" s="236" t="str">
        <f>IFERROR(INDEX(contents!B:B,MATCH(A38,contents!W:W,0),1),"")</f>
        <v/>
      </c>
      <c r="H38" s="236" t="str">
        <f>IFERROR(VLOOKUP('contents 추가정보'!G38,contents!B:AB,27,FALSE),"")</f>
        <v/>
      </c>
    </row>
    <row r="39" spans="1:8">
      <c r="A39" s="4">
        <v>38</v>
      </c>
      <c r="B39" s="147" t="str">
        <f>IFERROR(INDEX(contents!A:A,MATCH(A39,contents!W:W,0),1),"")</f>
        <v/>
      </c>
      <c r="C39" s="46"/>
      <c r="D39" s="46"/>
      <c r="E39" s="128"/>
      <c r="F39" s="237" t="str">
        <f>IFERROR(INDEX(contents!AA:AA,MATCH(A39,contents!W:W,0),1),"")</f>
        <v/>
      </c>
      <c r="G39" s="236" t="str">
        <f>IFERROR(INDEX(contents!B:B,MATCH(A39,contents!W:W,0),1),"")</f>
        <v/>
      </c>
      <c r="H39" s="236" t="str">
        <f>IFERROR(VLOOKUP('contents 추가정보'!G39,contents!B:AB,27,FALSE),"")</f>
        <v/>
      </c>
    </row>
    <row r="40" spans="1:8">
      <c r="A40" s="4">
        <v>39</v>
      </c>
      <c r="B40" s="147" t="str">
        <f>IFERROR(INDEX(contents!A:A,MATCH(A40,contents!W:W,0),1),"")</f>
        <v/>
      </c>
      <c r="C40" s="46"/>
      <c r="D40" s="46"/>
      <c r="E40" s="128"/>
      <c r="F40" s="237" t="str">
        <f>IFERROR(INDEX(contents!AA:AA,MATCH(A40,contents!W:W,0),1),"")</f>
        <v/>
      </c>
      <c r="G40" s="236" t="str">
        <f>IFERROR(INDEX(contents!B:B,MATCH(A40,contents!W:W,0),1),"")</f>
        <v/>
      </c>
      <c r="H40" s="236" t="str">
        <f>IFERROR(VLOOKUP('contents 추가정보'!G40,contents!B:AB,27,FALSE),"")</f>
        <v/>
      </c>
    </row>
    <row r="41" spans="1:8">
      <c r="A41" s="4">
        <v>40</v>
      </c>
      <c r="B41" s="147" t="str">
        <f>IFERROR(INDEX(contents!A:A,MATCH(A41,contents!W:W,0),1),"")</f>
        <v/>
      </c>
      <c r="C41" s="46"/>
      <c r="D41" s="46"/>
      <c r="E41" s="128"/>
      <c r="F41" s="237" t="str">
        <f>IFERROR(INDEX(contents!AA:AA,MATCH(A41,contents!W:W,0),1),"")</f>
        <v/>
      </c>
      <c r="G41" s="236" t="str">
        <f>IFERROR(INDEX(contents!B:B,MATCH(A41,contents!W:W,0),1),"")</f>
        <v/>
      </c>
      <c r="H41" s="236" t="str">
        <f>IFERROR(VLOOKUP('contents 추가정보'!G41,contents!B:AB,27,FALSE),"")</f>
        <v/>
      </c>
    </row>
    <row r="42" spans="1:8">
      <c r="A42" s="4">
        <v>41</v>
      </c>
      <c r="B42" s="147" t="str">
        <f>IFERROR(INDEX(contents!A:A,MATCH(A42,contents!W:W,0),1),"")</f>
        <v/>
      </c>
      <c r="C42" s="46"/>
      <c r="D42" s="46"/>
      <c r="E42" s="128"/>
      <c r="F42" s="237" t="str">
        <f>IFERROR(INDEX(contents!AA:AA,MATCH(A42,contents!W:W,0),1),"")</f>
        <v/>
      </c>
      <c r="G42" s="236" t="str">
        <f>IFERROR(INDEX(contents!B:B,MATCH(A42,contents!W:W,0),1),"")</f>
        <v/>
      </c>
      <c r="H42" s="236" t="str">
        <f>IFERROR(VLOOKUP('contents 추가정보'!G42,contents!B:AB,27,FALSE),"")</f>
        <v/>
      </c>
    </row>
    <row r="43" spans="1:8">
      <c r="A43" s="4">
        <v>42</v>
      </c>
      <c r="B43" s="147" t="str">
        <f>IFERROR(INDEX(contents!A:A,MATCH(A43,contents!W:W,0),1),"")</f>
        <v/>
      </c>
      <c r="C43" s="46"/>
      <c r="D43" s="46"/>
      <c r="E43" s="128"/>
      <c r="F43" s="237" t="str">
        <f>IFERROR(INDEX(contents!AA:AA,MATCH(A43,contents!W:W,0),1),"")</f>
        <v/>
      </c>
      <c r="G43" s="236" t="str">
        <f>IFERROR(INDEX(contents!B:B,MATCH(A43,contents!W:W,0),1),"")</f>
        <v/>
      </c>
      <c r="H43" s="236" t="str">
        <f>IFERROR(VLOOKUP('contents 추가정보'!G43,contents!B:AB,27,FALSE),"")</f>
        <v/>
      </c>
    </row>
    <row r="44" spans="1:8">
      <c r="A44" s="4">
        <v>43</v>
      </c>
      <c r="B44" s="147" t="str">
        <f>IFERROR(INDEX(contents!A:A,MATCH(A44,contents!W:W,0),1),"")</f>
        <v/>
      </c>
      <c r="C44" s="46"/>
      <c r="D44" s="46"/>
      <c r="E44" s="128"/>
      <c r="F44" s="237" t="str">
        <f>IFERROR(INDEX(contents!AA:AA,MATCH(A44,contents!W:W,0),1),"")</f>
        <v/>
      </c>
      <c r="G44" s="236" t="str">
        <f>IFERROR(INDEX(contents!B:B,MATCH(A44,contents!W:W,0),1),"")</f>
        <v/>
      </c>
      <c r="H44" s="236" t="str">
        <f>IFERROR(VLOOKUP('contents 추가정보'!G44,contents!B:AB,27,FALSE),"")</f>
        <v/>
      </c>
    </row>
    <row r="45" spans="1:8">
      <c r="A45" s="4">
        <v>44</v>
      </c>
      <c r="B45" s="147" t="str">
        <f>IFERROR(INDEX(contents!A:A,MATCH(A45,contents!W:W,0),1),"")</f>
        <v/>
      </c>
      <c r="C45" s="46"/>
      <c r="D45" s="46"/>
      <c r="E45" s="128"/>
      <c r="F45" s="237" t="str">
        <f>IFERROR(INDEX(contents!AA:AA,MATCH(A45,contents!W:W,0),1),"")</f>
        <v/>
      </c>
      <c r="G45" s="236" t="str">
        <f>IFERROR(INDEX(contents!B:B,MATCH(A45,contents!W:W,0),1),"")</f>
        <v/>
      </c>
      <c r="H45" s="236" t="str">
        <f>IFERROR(VLOOKUP('contents 추가정보'!G45,contents!B:AB,27,FALSE),"")</f>
        <v/>
      </c>
    </row>
    <row r="46" spans="1:8">
      <c r="A46" s="4">
        <v>45</v>
      </c>
      <c r="B46" s="147" t="str">
        <f>IFERROR(INDEX(contents!A:A,MATCH(A46,contents!W:W,0),1),"")</f>
        <v/>
      </c>
      <c r="C46" s="46"/>
      <c r="D46" s="46"/>
      <c r="E46" s="128"/>
      <c r="F46" s="237" t="str">
        <f>IFERROR(INDEX(contents!AA:AA,MATCH(A46,contents!W:W,0),1),"")</f>
        <v/>
      </c>
      <c r="G46" s="236" t="str">
        <f>IFERROR(INDEX(contents!B:B,MATCH(A46,contents!W:W,0),1),"")</f>
        <v/>
      </c>
      <c r="H46" s="236" t="str">
        <f>IFERROR(VLOOKUP('contents 추가정보'!G46,contents!B:AB,27,FALSE),"")</f>
        <v/>
      </c>
    </row>
    <row r="47" spans="1:8">
      <c r="A47" s="4">
        <v>46</v>
      </c>
      <c r="B47" s="147" t="str">
        <f>IFERROR(INDEX(contents!A:A,MATCH(A47,contents!W:W,0),1),"")</f>
        <v/>
      </c>
      <c r="C47" s="46"/>
      <c r="D47" s="46"/>
      <c r="E47" s="128"/>
      <c r="F47" s="237" t="str">
        <f>IFERROR(INDEX(contents!AA:AA,MATCH(A47,contents!W:W,0),1),"")</f>
        <v/>
      </c>
      <c r="G47" s="236" t="str">
        <f>IFERROR(INDEX(contents!B:B,MATCH(A47,contents!W:W,0),1),"")</f>
        <v/>
      </c>
      <c r="H47" s="236" t="str">
        <f>IFERROR(VLOOKUP('contents 추가정보'!G47,contents!B:AB,27,FALSE),"")</f>
        <v/>
      </c>
    </row>
    <row r="48" spans="1:8">
      <c r="A48" s="4">
        <v>47</v>
      </c>
      <c r="B48" s="147" t="str">
        <f>IFERROR(INDEX(contents!A:A,MATCH(A48,contents!W:W,0),1),"")</f>
        <v/>
      </c>
      <c r="C48" s="46"/>
      <c r="D48" s="46"/>
      <c r="E48" s="128"/>
      <c r="F48" s="237" t="str">
        <f>IFERROR(INDEX(contents!AA:AA,MATCH(A48,contents!W:W,0),1),"")</f>
        <v/>
      </c>
      <c r="G48" s="236" t="str">
        <f>IFERROR(INDEX(contents!B:B,MATCH(A48,contents!W:W,0),1),"")</f>
        <v/>
      </c>
      <c r="H48" s="236" t="str">
        <f>IFERROR(VLOOKUP('contents 추가정보'!G48,contents!B:AB,27,FALSE),"")</f>
        <v/>
      </c>
    </row>
    <row r="49" spans="1:8">
      <c r="A49" s="4">
        <v>48</v>
      </c>
      <c r="B49" s="147" t="str">
        <f>IFERROR(INDEX(contents!A:A,MATCH(A49,contents!W:W,0),1),"")</f>
        <v/>
      </c>
      <c r="C49" s="46"/>
      <c r="D49" s="46"/>
      <c r="E49" s="128"/>
      <c r="F49" s="237" t="str">
        <f>IFERROR(INDEX(contents!AA:AA,MATCH(A49,contents!W:W,0),1),"")</f>
        <v/>
      </c>
      <c r="G49" s="236" t="str">
        <f>IFERROR(INDEX(contents!B:B,MATCH(A49,contents!W:W,0),1),"")</f>
        <v/>
      </c>
      <c r="H49" s="236" t="str">
        <f>IFERROR(VLOOKUP('contents 추가정보'!G49,contents!B:AB,27,FALSE),"")</f>
        <v/>
      </c>
    </row>
    <row r="50" spans="1:8">
      <c r="A50" s="4">
        <v>49</v>
      </c>
      <c r="B50" s="147" t="str">
        <f>IFERROR(INDEX(contents!A:A,MATCH(A50,contents!W:W,0),1),"")</f>
        <v/>
      </c>
      <c r="C50" s="46"/>
      <c r="D50" s="46"/>
      <c r="E50" s="128"/>
      <c r="F50" s="237" t="str">
        <f>IFERROR(INDEX(contents!AA:AA,MATCH(A50,contents!W:W,0),1),"")</f>
        <v/>
      </c>
      <c r="G50" s="236" t="str">
        <f>IFERROR(INDEX(contents!B:B,MATCH(A50,contents!W:W,0),1),"")</f>
        <v/>
      </c>
      <c r="H50" s="236" t="str">
        <f>IFERROR(VLOOKUP('contents 추가정보'!G50,contents!B:AB,27,FALSE),"")</f>
        <v/>
      </c>
    </row>
    <row r="51" spans="1:8">
      <c r="A51" s="4">
        <v>50</v>
      </c>
      <c r="B51" s="147" t="str">
        <f>IFERROR(INDEX(contents!A:A,MATCH(A51,contents!W:W,0),1),"")</f>
        <v/>
      </c>
      <c r="C51" s="46"/>
      <c r="D51" s="46"/>
      <c r="E51" s="128"/>
      <c r="F51" s="237" t="str">
        <f>IFERROR(INDEX(contents!AA:AA,MATCH(A51,contents!W:W,0),1),"")</f>
        <v/>
      </c>
      <c r="G51" s="236" t="str">
        <f>IFERROR(INDEX(contents!B:B,MATCH(A51,contents!W:W,0),1),"")</f>
        <v/>
      </c>
      <c r="H51" s="236" t="str">
        <f>IFERROR(VLOOKUP('contents 추가정보'!G51,contents!B:AB,27,FALSE),"")</f>
        <v/>
      </c>
    </row>
    <row r="52" spans="1:8">
      <c r="A52" s="4">
        <v>51</v>
      </c>
      <c r="B52" s="147" t="str">
        <f>IFERROR(INDEX(contents!A:A,MATCH(A52,contents!W:W,0),1),"")</f>
        <v/>
      </c>
      <c r="C52" s="46"/>
      <c r="D52" s="46"/>
      <c r="E52" s="128"/>
      <c r="F52" s="237" t="str">
        <f>IFERROR(INDEX(contents!AA:AA,MATCH(A52,contents!W:W,0),1),"")</f>
        <v/>
      </c>
      <c r="G52" s="236" t="str">
        <f>IFERROR(INDEX(contents!B:B,MATCH(A52,contents!W:W,0),1),"")</f>
        <v/>
      </c>
      <c r="H52" s="236" t="str">
        <f>IFERROR(VLOOKUP('contents 추가정보'!G52,contents!B:AB,27,FALSE),"")</f>
        <v/>
      </c>
    </row>
    <row r="53" spans="1:8">
      <c r="A53" s="4">
        <v>52</v>
      </c>
      <c r="B53" s="147" t="str">
        <f>IFERROR(INDEX(contents!A:A,MATCH(A53,contents!W:W,0),1),"")</f>
        <v/>
      </c>
      <c r="C53" s="46"/>
      <c r="D53" s="46"/>
      <c r="E53" s="128"/>
      <c r="F53" s="237" t="str">
        <f>IFERROR(INDEX(contents!AA:AA,MATCH(A53,contents!W:W,0),1),"")</f>
        <v/>
      </c>
      <c r="G53" s="236" t="str">
        <f>IFERROR(INDEX(contents!B:B,MATCH(A53,contents!W:W,0),1),"")</f>
        <v/>
      </c>
      <c r="H53" s="236" t="str">
        <f>IFERROR(VLOOKUP('contents 추가정보'!G53,contents!B:AB,27,FALSE),"")</f>
        <v/>
      </c>
    </row>
    <row r="54" spans="1:8">
      <c r="A54" s="4">
        <v>53</v>
      </c>
      <c r="B54" s="147" t="str">
        <f>IFERROR(INDEX(contents!A:A,MATCH(A54,contents!W:W,0),1),"")</f>
        <v/>
      </c>
      <c r="C54" s="46"/>
      <c r="D54" s="46"/>
      <c r="E54" s="128"/>
      <c r="F54" s="237" t="str">
        <f>IFERROR(INDEX(contents!AA:AA,MATCH(A54,contents!W:W,0),1),"")</f>
        <v/>
      </c>
      <c r="G54" s="236" t="str">
        <f>IFERROR(INDEX(contents!B:B,MATCH(A54,contents!W:W,0),1),"")</f>
        <v/>
      </c>
      <c r="H54" s="236" t="str">
        <f>IFERROR(VLOOKUP('contents 추가정보'!G54,contents!B:AB,27,FALSE),"")</f>
        <v/>
      </c>
    </row>
    <row r="55" spans="1:8">
      <c r="A55" s="4">
        <v>54</v>
      </c>
      <c r="B55" s="147" t="str">
        <f>IFERROR(INDEX(contents!A:A,MATCH(A55,contents!W:W,0),1),"")</f>
        <v/>
      </c>
      <c r="C55" s="46"/>
      <c r="D55" s="46"/>
      <c r="E55" s="128"/>
      <c r="F55" s="237" t="str">
        <f>IFERROR(INDEX(contents!AA:AA,MATCH(A55,contents!W:W,0),1),"")</f>
        <v/>
      </c>
      <c r="G55" s="236" t="str">
        <f>IFERROR(INDEX(contents!B:B,MATCH(A55,contents!W:W,0),1),"")</f>
        <v/>
      </c>
      <c r="H55" s="236" t="str">
        <f>IFERROR(VLOOKUP('contents 추가정보'!G55,contents!B:AB,27,FALSE),"")</f>
        <v/>
      </c>
    </row>
    <row r="56" spans="1:8">
      <c r="A56" s="4">
        <v>55</v>
      </c>
      <c r="B56" s="147" t="str">
        <f>IFERROR(INDEX(contents!A:A,MATCH(A56,contents!W:W,0),1),"")</f>
        <v/>
      </c>
      <c r="C56" s="46"/>
      <c r="D56" s="46"/>
      <c r="E56" s="128"/>
      <c r="F56" s="237" t="str">
        <f>IFERROR(INDEX(contents!AA:AA,MATCH(A56,contents!W:W,0),1),"")</f>
        <v/>
      </c>
      <c r="G56" s="236" t="str">
        <f>IFERROR(INDEX(contents!B:B,MATCH(A56,contents!W:W,0),1),"")</f>
        <v/>
      </c>
      <c r="H56" s="236" t="str">
        <f>IFERROR(VLOOKUP('contents 추가정보'!G56,contents!B:AB,27,FALSE),"")</f>
        <v/>
      </c>
    </row>
    <row r="57" spans="1:8">
      <c r="A57" s="4">
        <v>56</v>
      </c>
      <c r="B57" s="147" t="str">
        <f>IFERROR(INDEX(contents!A:A,MATCH(A57,contents!W:W,0),1),"")</f>
        <v/>
      </c>
      <c r="C57" s="46"/>
      <c r="D57" s="46"/>
      <c r="E57" s="128"/>
      <c r="F57" s="237" t="str">
        <f>IFERROR(INDEX(contents!AA:AA,MATCH(A57,contents!W:W,0),1),"")</f>
        <v/>
      </c>
      <c r="G57" s="236" t="str">
        <f>IFERROR(INDEX(contents!B:B,MATCH(A57,contents!W:W,0),1),"")</f>
        <v/>
      </c>
      <c r="H57" s="236" t="str">
        <f>IFERROR(VLOOKUP('contents 추가정보'!G57,contents!B:AB,27,FALSE),"")</f>
        <v/>
      </c>
    </row>
    <row r="58" spans="1:8">
      <c r="A58" s="4">
        <v>57</v>
      </c>
      <c r="B58" s="147" t="str">
        <f>IFERROR(INDEX(contents!A:A,MATCH(A58,contents!W:W,0),1),"")</f>
        <v/>
      </c>
      <c r="C58" s="46"/>
      <c r="D58" s="46"/>
      <c r="E58" s="128"/>
      <c r="F58" s="237" t="str">
        <f>IFERROR(INDEX(contents!AA:AA,MATCH(A58,contents!W:W,0),1),"")</f>
        <v/>
      </c>
      <c r="G58" s="236" t="str">
        <f>IFERROR(INDEX(contents!B:B,MATCH(A58,contents!W:W,0),1),"")</f>
        <v/>
      </c>
      <c r="H58" s="236" t="str">
        <f>IFERROR(VLOOKUP('contents 추가정보'!G58,contents!B:AB,27,FALSE),"")</f>
        <v/>
      </c>
    </row>
    <row r="59" spans="1:8">
      <c r="A59" s="4">
        <v>58</v>
      </c>
      <c r="B59" s="147" t="str">
        <f>IFERROR(INDEX(contents!A:A,MATCH(A59,contents!W:W,0),1),"")</f>
        <v/>
      </c>
      <c r="C59" s="46"/>
      <c r="D59" s="46"/>
      <c r="E59" s="128"/>
      <c r="F59" s="237" t="str">
        <f>IFERROR(INDEX(contents!AA:AA,MATCH(A59,contents!W:W,0),1),"")</f>
        <v/>
      </c>
      <c r="G59" s="236" t="str">
        <f>IFERROR(INDEX(contents!B:B,MATCH(A59,contents!W:W,0),1),"")</f>
        <v/>
      </c>
      <c r="H59" s="236" t="str">
        <f>IFERROR(VLOOKUP('contents 추가정보'!G59,contents!B:AB,27,FALSE),"")</f>
        <v/>
      </c>
    </row>
    <row r="60" spans="1:8">
      <c r="A60" s="4">
        <v>59</v>
      </c>
      <c r="B60" s="147" t="str">
        <f>IFERROR(INDEX(contents!A:A,MATCH(A60,contents!W:W,0),1),"")</f>
        <v/>
      </c>
      <c r="C60" s="46"/>
      <c r="D60" s="46"/>
      <c r="E60" s="128"/>
      <c r="F60" s="237" t="str">
        <f>IFERROR(INDEX(contents!AA:AA,MATCH(A60,contents!W:W,0),1),"")</f>
        <v/>
      </c>
      <c r="G60" s="236" t="str">
        <f>IFERROR(INDEX(contents!B:B,MATCH(A60,contents!W:W,0),1),"")</f>
        <v/>
      </c>
      <c r="H60" s="236" t="str">
        <f>IFERROR(VLOOKUP('contents 추가정보'!G60,contents!B:AB,27,FALSE),"")</f>
        <v/>
      </c>
    </row>
    <row r="61" spans="1:8">
      <c r="A61" s="4">
        <v>60</v>
      </c>
      <c r="B61" s="147" t="str">
        <f>IFERROR(INDEX(contents!A:A,MATCH(A61,contents!W:W,0),1),"")</f>
        <v/>
      </c>
      <c r="C61" s="46"/>
      <c r="D61" s="46"/>
      <c r="E61" s="128"/>
      <c r="F61" s="237" t="str">
        <f>IFERROR(INDEX(contents!AA:AA,MATCH(A61,contents!W:W,0),1),"")</f>
        <v/>
      </c>
      <c r="G61" s="236" t="str">
        <f>IFERROR(INDEX(contents!B:B,MATCH(A61,contents!W:W,0),1),"")</f>
        <v/>
      </c>
      <c r="H61" s="236" t="str">
        <f>IFERROR(VLOOKUP('contents 추가정보'!G61,contents!B:AB,27,FALSE),"")</f>
        <v/>
      </c>
    </row>
    <row r="62" spans="1:8">
      <c r="A62" s="4">
        <v>61</v>
      </c>
      <c r="B62" s="147" t="str">
        <f>IFERROR(INDEX(contents!A:A,MATCH(A62,contents!W:W,0),1),"")</f>
        <v/>
      </c>
      <c r="C62" s="46"/>
      <c r="D62" s="46"/>
      <c r="E62" s="128"/>
      <c r="F62" s="237" t="str">
        <f>IFERROR(INDEX(contents!AA:AA,MATCH(A62,contents!W:W,0),1),"")</f>
        <v/>
      </c>
      <c r="G62" s="236" t="str">
        <f>IFERROR(INDEX(contents!B:B,MATCH(A62,contents!W:W,0),1),"")</f>
        <v/>
      </c>
      <c r="H62" s="236" t="str">
        <f>IFERROR(VLOOKUP('contents 추가정보'!G62,contents!B:AB,27,FALSE),"")</f>
        <v/>
      </c>
    </row>
    <row r="63" spans="1:8">
      <c r="A63" s="4">
        <v>62</v>
      </c>
      <c r="B63" s="147" t="str">
        <f>IFERROR(INDEX(contents!A:A,MATCH(A63,contents!W:W,0),1),"")</f>
        <v/>
      </c>
      <c r="C63" s="46"/>
      <c r="D63" s="46"/>
      <c r="E63" s="128"/>
      <c r="F63" s="237" t="str">
        <f>IFERROR(INDEX(contents!AA:AA,MATCH(A63,contents!W:W,0),1),"")</f>
        <v/>
      </c>
      <c r="G63" s="236" t="str">
        <f>IFERROR(INDEX(contents!B:B,MATCH(A63,contents!W:W,0),1),"")</f>
        <v/>
      </c>
      <c r="H63" s="236" t="str">
        <f>IFERROR(VLOOKUP('contents 추가정보'!G63,contents!B:AB,27,FALSE),"")</f>
        <v/>
      </c>
    </row>
    <row r="64" spans="1:8">
      <c r="A64" s="4">
        <v>63</v>
      </c>
      <c r="B64" s="147" t="str">
        <f>IFERROR(INDEX(contents!A:A,MATCH(A64,contents!W:W,0),1),"")</f>
        <v/>
      </c>
      <c r="C64" s="46"/>
      <c r="D64" s="46"/>
      <c r="E64" s="128"/>
      <c r="F64" s="237" t="str">
        <f>IFERROR(INDEX(contents!AA:AA,MATCH(A64,contents!W:W,0),1),"")</f>
        <v/>
      </c>
      <c r="G64" s="236" t="str">
        <f>IFERROR(INDEX(contents!B:B,MATCH(A64,contents!W:W,0),1),"")</f>
        <v/>
      </c>
      <c r="H64" s="236" t="str">
        <f>IFERROR(VLOOKUP('contents 추가정보'!G64,contents!B:AB,27,FALSE),"")</f>
        <v/>
      </c>
    </row>
    <row r="65" spans="1:8">
      <c r="A65" s="4">
        <v>64</v>
      </c>
      <c r="B65" s="147" t="str">
        <f>IFERROR(INDEX(contents!A:A,MATCH(A65,contents!W:W,0),1),"")</f>
        <v/>
      </c>
      <c r="C65" s="46"/>
      <c r="D65" s="46"/>
      <c r="E65" s="128"/>
      <c r="F65" s="237" t="str">
        <f>IFERROR(INDEX(contents!AA:AA,MATCH(A65,contents!W:W,0),1),"")</f>
        <v/>
      </c>
      <c r="G65" s="236" t="str">
        <f>IFERROR(INDEX(contents!B:B,MATCH(A65,contents!W:W,0),1),"")</f>
        <v/>
      </c>
      <c r="H65" s="236" t="str">
        <f>IFERROR(VLOOKUP('contents 추가정보'!G65,contents!B:AB,27,FALSE),"")</f>
        <v/>
      </c>
    </row>
    <row r="66" spans="1:8">
      <c r="A66" s="4">
        <v>65</v>
      </c>
      <c r="B66" s="147" t="str">
        <f>IFERROR(INDEX(contents!A:A,MATCH(A66,contents!W:W,0),1),"")</f>
        <v/>
      </c>
      <c r="C66" s="46"/>
      <c r="D66" s="46"/>
      <c r="E66" s="128"/>
      <c r="F66" s="237" t="str">
        <f>IFERROR(INDEX(contents!AA:AA,MATCH(A66,contents!W:W,0),1),"")</f>
        <v/>
      </c>
      <c r="G66" s="236" t="str">
        <f>IFERROR(INDEX(contents!B:B,MATCH(A66,contents!W:W,0),1),"")</f>
        <v/>
      </c>
      <c r="H66" s="236" t="str">
        <f>IFERROR(VLOOKUP('contents 추가정보'!G66,contents!B:AB,27,FALSE),"")</f>
        <v/>
      </c>
    </row>
    <row r="67" spans="1:8">
      <c r="A67" s="4">
        <v>66</v>
      </c>
      <c r="B67" s="147" t="str">
        <f>IFERROR(INDEX(contents!A:A,MATCH(A67,contents!W:W,0),1),"")</f>
        <v/>
      </c>
      <c r="C67" s="46"/>
      <c r="D67" s="46"/>
      <c r="E67" s="128"/>
      <c r="F67" s="237" t="str">
        <f>IFERROR(INDEX(contents!AA:AA,MATCH(A67,contents!W:W,0),1),"")</f>
        <v/>
      </c>
      <c r="G67" s="236" t="str">
        <f>IFERROR(INDEX(contents!B:B,MATCH(A67,contents!W:W,0),1),"")</f>
        <v/>
      </c>
      <c r="H67" s="236" t="str">
        <f>IFERROR(VLOOKUP('contents 추가정보'!G67,contents!B:AB,27,FALSE),"")</f>
        <v/>
      </c>
    </row>
    <row r="68" spans="1:8">
      <c r="A68" s="4">
        <v>67</v>
      </c>
      <c r="B68" s="147" t="str">
        <f>IFERROR(INDEX(contents!A:A,MATCH(A68,contents!W:W,0),1),"")</f>
        <v/>
      </c>
      <c r="C68" s="46"/>
      <c r="D68" s="46"/>
      <c r="E68" s="128"/>
      <c r="F68" s="237" t="str">
        <f>IFERROR(INDEX(contents!AA:AA,MATCH(A68,contents!W:W,0),1),"")</f>
        <v/>
      </c>
      <c r="G68" s="236" t="str">
        <f>IFERROR(INDEX(contents!B:B,MATCH(A68,contents!W:W,0),1),"")</f>
        <v/>
      </c>
      <c r="H68" s="236" t="str">
        <f>IFERROR(VLOOKUP('contents 추가정보'!G68,contents!B:AB,27,FALSE),"")</f>
        <v/>
      </c>
    </row>
    <row r="69" spans="1:8">
      <c r="A69" s="4">
        <v>68</v>
      </c>
      <c r="B69" s="147" t="str">
        <f>IFERROR(INDEX(contents!A:A,MATCH(A69,contents!W:W,0),1),"")</f>
        <v/>
      </c>
      <c r="C69" s="46"/>
      <c r="D69" s="46"/>
      <c r="E69" s="128"/>
      <c r="F69" s="237" t="str">
        <f>IFERROR(INDEX(contents!AA:AA,MATCH(A69,contents!W:W,0),1),"")</f>
        <v/>
      </c>
      <c r="G69" s="236" t="str">
        <f>IFERROR(INDEX(contents!B:B,MATCH(A69,contents!W:W,0),1),"")</f>
        <v/>
      </c>
      <c r="H69" s="236" t="str">
        <f>IFERROR(VLOOKUP('contents 추가정보'!G69,contents!B:AB,27,FALSE),"")</f>
        <v/>
      </c>
    </row>
    <row r="70" spans="1:8">
      <c r="A70" s="4">
        <v>69</v>
      </c>
      <c r="B70" s="147" t="str">
        <f>IFERROR(INDEX(contents!A:A,MATCH(A70,contents!W:W,0),1),"")</f>
        <v/>
      </c>
      <c r="C70" s="46"/>
      <c r="D70" s="46"/>
      <c r="E70" s="128"/>
      <c r="F70" s="237" t="str">
        <f>IFERROR(INDEX(contents!AA:AA,MATCH(A70,contents!W:W,0),1),"")</f>
        <v/>
      </c>
      <c r="G70" s="236" t="str">
        <f>IFERROR(INDEX(contents!B:B,MATCH(A70,contents!W:W,0),1),"")</f>
        <v/>
      </c>
      <c r="H70" s="236" t="str">
        <f>IFERROR(VLOOKUP('contents 추가정보'!G70,contents!B:AB,27,FALSE),"")</f>
        <v/>
      </c>
    </row>
    <row r="71" spans="1:8">
      <c r="A71" s="4">
        <v>70</v>
      </c>
      <c r="B71" s="147" t="str">
        <f>IFERROR(INDEX(contents!A:A,MATCH(A71,contents!W:W,0),1),"")</f>
        <v/>
      </c>
      <c r="C71" s="46"/>
      <c r="D71" s="46"/>
      <c r="E71" s="128"/>
      <c r="F71" s="237" t="str">
        <f>IFERROR(INDEX(contents!AA:AA,MATCH(A71,contents!W:W,0),1),"")</f>
        <v/>
      </c>
      <c r="G71" s="236" t="str">
        <f>IFERROR(INDEX(contents!B:B,MATCH(A71,contents!W:W,0),1),"")</f>
        <v/>
      </c>
      <c r="H71" s="236" t="str">
        <f>IFERROR(VLOOKUP('contents 추가정보'!G71,contents!B:AB,27,FALSE),"")</f>
        <v/>
      </c>
    </row>
    <row r="72" spans="1:8">
      <c r="A72" s="4">
        <v>71</v>
      </c>
      <c r="B72" s="147" t="str">
        <f>IFERROR(INDEX(contents!A:A,MATCH(A72,contents!W:W,0),1),"")</f>
        <v/>
      </c>
      <c r="C72" s="46"/>
      <c r="D72" s="46"/>
      <c r="E72" s="128"/>
      <c r="F72" s="237" t="str">
        <f>IFERROR(INDEX(contents!AA:AA,MATCH(A72,contents!W:W,0),1),"")</f>
        <v/>
      </c>
      <c r="G72" s="236" t="str">
        <f>IFERROR(INDEX(contents!B:B,MATCH(A72,contents!W:W,0),1),"")</f>
        <v/>
      </c>
      <c r="H72" s="236" t="str">
        <f>IFERROR(VLOOKUP('contents 추가정보'!G72,contents!B:AB,27,FALSE),"")</f>
        <v/>
      </c>
    </row>
    <row r="73" spans="1:8">
      <c r="A73" s="4">
        <v>72</v>
      </c>
      <c r="B73" s="147" t="str">
        <f>IFERROR(INDEX(contents!A:A,MATCH(A73,contents!W:W,0),1),"")</f>
        <v/>
      </c>
      <c r="C73" s="46"/>
      <c r="D73" s="46"/>
      <c r="E73" s="128"/>
      <c r="F73" s="237" t="str">
        <f>IFERROR(INDEX(contents!AA:AA,MATCH(A73,contents!W:W,0),1),"")</f>
        <v/>
      </c>
      <c r="G73" s="236" t="str">
        <f>IFERROR(INDEX(contents!B:B,MATCH(A73,contents!W:W,0),1),"")</f>
        <v/>
      </c>
      <c r="H73" s="236" t="str">
        <f>IFERROR(VLOOKUP('contents 추가정보'!G73,contents!B:AB,27,FALSE),"")</f>
        <v/>
      </c>
    </row>
    <row r="74" spans="1:8" ht="17.25" thickBot="1">
      <c r="A74" s="5">
        <v>73</v>
      </c>
      <c r="B74" s="201" t="str">
        <f>IFERROR(INDEX(contents!A:A,MATCH(A74,contents!W:W,0),1),"")</f>
        <v/>
      </c>
      <c r="C74" s="46"/>
      <c r="D74" s="107"/>
      <c r="E74" s="108"/>
      <c r="F74" s="237" t="str">
        <f>IFERROR(INDEX(contents!AA:AA,MATCH(A74,contents!W:W,0),1),"")</f>
        <v/>
      </c>
      <c r="G74" s="236" t="str">
        <f>IFERROR(INDEX(contents!B:B,MATCH(A74,contents!W:W,0),1),"")</f>
        <v/>
      </c>
      <c r="H74" s="236" t="str">
        <f>IFERROR(VLOOKUP('contents 추가정보'!G74,contents!B:AB,27,FALSE),"")</f>
        <v/>
      </c>
    </row>
  </sheetData>
  <autoFilter ref="A1:H74" xr:uid="{9747EC93-6955-4133-97B2-BE901FCEC21C}">
    <sortState xmlns:xlrd2="http://schemas.microsoft.com/office/spreadsheetml/2017/richdata2" ref="A2:H74">
      <sortCondition ref="A1:A74"/>
    </sortState>
  </autoFilter>
  <phoneticPr fontId="2" type="noConversion"/>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tabColor theme="9" tint="0.79998168889431442"/>
  </sheetPr>
  <dimension ref="B2:T66"/>
  <sheetViews>
    <sheetView zoomScaleNormal="100" workbookViewId="0">
      <selection activeCell="S47" sqref="S47"/>
    </sheetView>
  </sheetViews>
  <sheetFormatPr defaultRowHeight="16.5"/>
  <cols>
    <col min="1" max="1" width="3.125" customWidth="1"/>
    <col min="2" max="2" width="3" customWidth="1"/>
    <col min="3" max="3" width="8.125" customWidth="1"/>
    <col min="4" max="4" width="3" customWidth="1"/>
    <col min="5" max="5" width="6.625" customWidth="1"/>
    <col min="6" max="6" width="4" customWidth="1"/>
    <col min="7" max="7" width="67.5" bestFit="1" customWidth="1"/>
    <col min="8" max="8" width="8.5" customWidth="1"/>
    <col min="9" max="9" width="11.125" bestFit="1" customWidth="1"/>
    <col min="10" max="10" width="6.625" customWidth="1"/>
    <col min="11" max="11" width="7.125" customWidth="1"/>
    <col min="12" max="12" width="4.5" customWidth="1"/>
    <col min="13" max="13" width="7.5" customWidth="1"/>
    <col min="14" max="14" width="5.125" customWidth="1"/>
    <col min="15" max="15" width="11.125" bestFit="1" customWidth="1"/>
    <col min="19" max="19" width="10.125" bestFit="1" customWidth="1"/>
  </cols>
  <sheetData>
    <row r="2" spans="2:20">
      <c r="C2" s="36" t="str">
        <f>MONTH(followers!H1)&amp;"월 총 "&amp;MAX(contents!W:W)&amp;"건 게재: 프레인 기획 "&amp;COUNTIF(E:E,"기획")+COUNTIF(E:E,"POLL")&amp;"건 (콘텐츠·디자인·Poll), 미러링 "&amp;COUNTIF(E:E, "미러링")+COUNTIF(E:E,"뉴스룸")&amp;"건 (뉴스룸 "&amp;COUNTIF(E:E,"뉴스룸")&amp;"건, 유튜브 "&amp;COUNTIF(R:R,"O")&amp;"건, 외부 링크 "&amp;COUNTIF(E:E,"미러링")-COUNTIF(R:R,"O")&amp;" 건), 리포스트 "&amp;COUNTIF(E:E,"REPOST")&amp;"건"</f>
        <v>9월 총 30건 게재: 프레인 기획 0건 (콘텐츠·디자인·Poll), 미러링 0건 (뉴스룸 0건, 유튜브 0건, 외부 링크 0 건), 리포스트 0건</v>
      </c>
    </row>
    <row r="3" spans="2:20">
      <c r="C3" s="36" t="str">
        <f>"콘텐츠 아이템 카테고리 별 게재 건 수: Products "&amp;COUNTIF(H:H,"Products")&amp;"건, News "&amp;COUNTIF(H:H,"News")&amp;"건, Seasonal "&amp;COUNTIF(H:H,"Seasonal")&amp;"건, Interest "&amp;COUNTIF(H:H,"Interest")&amp;"건, Events "&amp;COUNTIF(H:H,"Events")&amp;"건"</f>
        <v>콘텐츠 아이템 카테고리 별 게재 건 수: Products 0건, News 0건, Seasonal 0건, Interest 0건, Events 0건</v>
      </c>
    </row>
    <row r="5" spans="2:20" ht="17.25" thickBot="1">
      <c r="I5" t="s">
        <v>29</v>
      </c>
      <c r="J5" t="s">
        <v>30</v>
      </c>
      <c r="K5" t="s">
        <v>950</v>
      </c>
      <c r="L5" t="s">
        <v>951</v>
      </c>
      <c r="M5" t="s">
        <v>33</v>
      </c>
      <c r="N5" t="s">
        <v>952</v>
      </c>
      <c r="P5" t="s">
        <v>953</v>
      </c>
    </row>
    <row r="6" spans="2:20" ht="20.25" thickTop="1">
      <c r="B6" s="24" t="s">
        <v>69</v>
      </c>
      <c r="C6" s="25" t="s">
        <v>78</v>
      </c>
      <c r="D6" s="24" t="s">
        <v>83</v>
      </c>
      <c r="E6" s="22" t="s">
        <v>70</v>
      </c>
      <c r="F6" s="38"/>
      <c r="G6" s="22" t="s">
        <v>71</v>
      </c>
      <c r="H6" s="22" t="s">
        <v>72</v>
      </c>
      <c r="I6" s="22" t="s">
        <v>29</v>
      </c>
      <c r="J6" s="22" t="s">
        <v>30</v>
      </c>
      <c r="K6" s="22" t="s">
        <v>73</v>
      </c>
      <c r="L6" s="26" t="s">
        <v>74</v>
      </c>
      <c r="M6" s="26" t="s">
        <v>33</v>
      </c>
      <c r="N6" s="26" t="s">
        <v>75</v>
      </c>
      <c r="O6" s="27" t="s">
        <v>76</v>
      </c>
      <c r="P6" s="23" t="s">
        <v>77</v>
      </c>
      <c r="R6" t="s">
        <v>87</v>
      </c>
    </row>
    <row r="7" spans="2:20">
      <c r="B7" s="226">
        <v>1</v>
      </c>
      <c r="C7" s="227" t="str">
        <f>IFERROR(TEXT(INDEX(contents!X:X,MATCH(B7,contents!W:W,0),0),"mm월 dd일"),"")</f>
        <v>09월 09일</v>
      </c>
      <c r="D7" s="228" t="str">
        <f>IFERROR(TEXT(INDEX(contents!X:X,MATCH(B7,contents!W:W,0),0),"aaa"),"")</f>
        <v>월</v>
      </c>
      <c r="E7" s="228" t="str" cm="1">
        <f t="array" ref="E7">IF(INDEX('contents 추가정보'!E:E,MATCH(B7,'contents 추가정보'!A:A,0),0)=0,"",INDEX('contents 추가정보'!E:E,MATCH(B7,'contents 추가정보'!A:A,0),0))</f>
        <v/>
      </c>
      <c r="F7" s="229" t="str">
        <f>IFERROR(IF(INDEX(contents!C:C,MATCH(B7,contents!W:W,0)+1)="Sponsored","●",""),"")</f>
        <v/>
      </c>
      <c r="G7" s="230" t="str" cm="1">
        <f t="array" ref="G7">IF(INDEX('contents 추가정보'!C:C,MATCH(B7,'contents 추가정보'!A:A,0),0)=0,"",INDEX('contents 추가정보'!C:C,MATCH(B7,'contents 추가정보'!A:A,0),0))</f>
        <v/>
      </c>
      <c r="H7" s="228" t="str" cm="1">
        <f t="array" ref="H7">IF(INDEX('contents 추가정보'!D:D, MATCH(B7, 'contents 추가정보'!A:A, 0), 0)= 0, "",
INDEX('contents 추가정보'!D:D, MATCH(B7, 'contents 추가정보'!A:A, 0), 0))</f>
        <v/>
      </c>
      <c r="I7" s="228">
        <f>IFERROR(
INDEX(contents!$A$2:$AC$80,
MATCH('contents 장표'!$B7, contents!$W$2:$W$80, 0),
MATCH('contents 장표'!I$5, contents!$A$2:$AC$2, 0)),
"")</f>
        <v>7389</v>
      </c>
      <c r="J7" s="228">
        <f>IFERROR(
INDEX(contents!$A$2:$AC$80,
MATCH('contents 장표'!$B7, contents!$W$2:$W$80, 0),
MATCH('contents 장표'!J$5, contents!$A$2:$AC$2, 0)),
"")</f>
        <v>2054</v>
      </c>
      <c r="K7" s="231">
        <f>IFERROR(
INDEX(contents!$A$2:$AC$80,
MATCH('contents 장표'!$B7, contents!$W$2:$W$80, 0),
MATCH('contents 장표'!K$5, contents!$A$2:$AC$2, 0)),
"")</f>
        <v>0.27798077464103699</v>
      </c>
      <c r="L7" s="228">
        <f>IFERROR(
INDEX(contents!$A$2:$AC$80,
MATCH('contents 장표'!$B7, contents!$W$2:$W$80, 0),
MATCH('contents 장표'!L$5, contents!$A$2:$AC$2, 0)),
"")</f>
        <v>50</v>
      </c>
      <c r="M7" s="228">
        <f>IFERROR(
INDEX(contents!$A$2:$AC$80,
MATCH('contents 장표'!$B7, contents!$W$2:$W$80, 0),
MATCH('contents 장표'!M$5, contents!$A$2:$AC$2, 0)),
"")</f>
        <v>0</v>
      </c>
      <c r="N7" s="228">
        <f>IFERROR(
INDEX(contents!$A$2:$AC$80,
MATCH('contents 장표'!$B7, contents!$W$2:$W$80, 0),
MATCH('contents 장표'!N$5, contents!$A$2:$AC$2, 0)),
"")</f>
        <v>4</v>
      </c>
      <c r="O7" s="232" t="str">
        <f t="shared" ref="O7:O50" si="0">IF(G7="","",SUM(J7,L7:N7))</f>
        <v/>
      </c>
      <c r="P7" s="272">
        <f>IFERROR(
INDEX(contents!$A$2:$AC$80,
MATCH('contents 장표'!$B7, contents!$W$2:$W$80, 0),
MATCH('contents 장표'!P$5, contents!$A$2:$AC$2, 0)),
"")</f>
        <v>0.28528894302341318</v>
      </c>
      <c r="R7" t="str">
        <f>IF(ISNUMBER(SEARCH("(Youtube)", G7)), "O", "X")</f>
        <v>X</v>
      </c>
    </row>
    <row r="8" spans="2:20" ht="18">
      <c r="B8" s="226">
        <v>2</v>
      </c>
      <c r="C8" s="227" t="str">
        <f>IFERROR(TEXT(INDEX(contents!X:X,MATCH(B8,contents!W:W,0),0),"mm월 dd일"),"")</f>
        <v>09월 20일</v>
      </c>
      <c r="D8" s="228" t="str">
        <f>IFERROR(TEXT(INDEX(contents!X:X,MATCH(B8,contents!W:W,0),0),"aaa"),"")</f>
        <v>금</v>
      </c>
      <c r="E8" s="228" t="str" cm="1">
        <f t="array" ref="E8">IF(INDEX('contents 추가정보'!E:E,MATCH(B8,'contents 추가정보'!A:A,0),0)=0,"",INDEX('contents 추가정보'!E:E,MATCH(B8,'contents 추가정보'!A:A,0),0))</f>
        <v/>
      </c>
      <c r="F8" s="229" t="str">
        <f>IFERROR(IF(INDEX(contents!C:C,MATCH(B8,contents!W:W,0)+1)="Sponsored","●",""),"")</f>
        <v>●</v>
      </c>
      <c r="G8" s="230" t="str" cm="1">
        <f t="array" ref="G8">IF(INDEX('contents 추가정보'!C:C,MATCH(B8,'contents 추가정보'!A:A,0),0)=0,"",INDEX('contents 추가정보'!C:C,MATCH(B8,'contents 추가정보'!A:A,0),0))</f>
        <v/>
      </c>
      <c r="H8" s="228" t="str" cm="1">
        <f t="array" ref="H8">IF(INDEX('contents 추가정보'!D:D, MATCH(B8, 'contents 추가정보'!A:A, 0), 0)= 0, "",
INDEX('contents 추가정보'!D:D, MATCH(B8, 'contents 추가정보'!A:A, 0), 0))</f>
        <v/>
      </c>
      <c r="I8" s="228">
        <f>IFERROR(
INDEX(contents!$A$2:$AC$80,
MATCH('contents 장표'!$B8, contents!$W$2:$W$80, 0),
MATCH('contents 장표'!I$5, contents!$A$2:$AC$2, 0)),
"")</f>
        <v>6774</v>
      </c>
      <c r="J8" s="228">
        <f>IFERROR(
INDEX(contents!$A$2:$AC$80,
MATCH('contents 장표'!$B8, contents!$W$2:$W$80, 0),
MATCH('contents 장표'!J$5, contents!$A$2:$AC$2, 0)),
"")</f>
        <v>1819</v>
      </c>
      <c r="K8" s="231">
        <f>IFERROR(
INDEX(contents!$A$2:$AC$80,
MATCH('contents 장표'!$B8, contents!$W$2:$W$80, 0),
MATCH('contents 장표'!K$5, contents!$A$2:$AC$2, 0)),
"")</f>
        <v>0.26852673292160034</v>
      </c>
      <c r="L8" s="228">
        <f>IFERROR(
INDEX(contents!$A$2:$AC$80,
MATCH('contents 장표'!$B8, contents!$W$2:$W$80, 0),
MATCH('contents 장표'!L$5, contents!$A$2:$AC$2, 0)),
"")</f>
        <v>49</v>
      </c>
      <c r="M8" s="228">
        <f>IFERROR(
INDEX(contents!$A$2:$AC$80,
MATCH('contents 장표'!$B8, contents!$W$2:$W$80, 0),
MATCH('contents 장표'!M$5, contents!$A$2:$AC$2, 0)),
"")</f>
        <v>0</v>
      </c>
      <c r="N8" s="228">
        <f>IFERROR(
INDEX(contents!$A$2:$AC$80,
MATCH('contents 장표'!$B8, contents!$W$2:$W$80, 0),
MATCH('contents 장표'!N$5, contents!$A$2:$AC$2, 0)),
"")</f>
        <v>5</v>
      </c>
      <c r="O8" s="232" t="str">
        <f t="shared" si="0"/>
        <v/>
      </c>
      <c r="P8" s="272">
        <f>IFERROR(
INDEX(contents!$A$2:$AC$80,
MATCH('contents 장표'!$B8, contents!$W$2:$W$80, 0),
MATCH('contents 장표'!P$5, contents!$A$2:$AC$2, 0)),
"")</f>
        <v>0.27649837614408029</v>
      </c>
      <c r="R8" t="str">
        <f t="shared" ref="R8:R50" si="1">IF(ISNUMBER(SEARCH("(Youtube)", G8)), "O", "X")</f>
        <v>X</v>
      </c>
    </row>
    <row r="9" spans="2:20">
      <c r="B9" s="226">
        <v>3</v>
      </c>
      <c r="C9" s="227" t="str">
        <f>IFERROR(TEXT(INDEX(contents!X:X,MATCH(B9,contents!W:W,0),0),"mm월 dd일"),"")</f>
        <v>09월 10일</v>
      </c>
      <c r="D9" s="228" t="str">
        <f>IFERROR(TEXT(INDEX(contents!X:X,MATCH(B9,contents!W:W,0),0),"aaa"),"")</f>
        <v>화</v>
      </c>
      <c r="E9" s="228" t="str" cm="1">
        <f t="array" ref="E9">IF(INDEX('contents 추가정보'!E:E,MATCH(B9,'contents 추가정보'!A:A,0),0)=0,"",INDEX('contents 추가정보'!E:E,MATCH(B9,'contents 추가정보'!A:A,0),0))</f>
        <v/>
      </c>
      <c r="F9" s="229" t="str">
        <f>IFERROR(IF(INDEX(contents!C:C,MATCH(B9,contents!W:W,0)+1)="Sponsored","●",""),"")</f>
        <v/>
      </c>
      <c r="G9" s="230" t="str" cm="1">
        <f t="array" ref="G9">IF(INDEX('contents 추가정보'!C:C,MATCH(B9,'contents 추가정보'!A:A,0),0)=0,"",INDEX('contents 추가정보'!C:C,MATCH(B9,'contents 추가정보'!A:A,0),0))</f>
        <v/>
      </c>
      <c r="H9" s="228" t="str" cm="1">
        <f t="array" ref="H9">IF(INDEX('contents 추가정보'!D:D, MATCH(B9, 'contents 추가정보'!A:A, 0), 0)= 0, "",
INDEX('contents 추가정보'!D:D, MATCH(B9, 'contents 추가정보'!A:A, 0), 0))</f>
        <v/>
      </c>
      <c r="I9" s="228">
        <f>IFERROR(
INDEX(contents!$A$2:$AC$80,
MATCH('contents 장표'!$B9, contents!$W$2:$W$80, 0),
MATCH('contents 장표'!I$5, contents!$A$2:$AC$2, 0)),
"")</f>
        <v>4278</v>
      </c>
      <c r="J9" s="228">
        <f>IFERROR(
INDEX(contents!$A$2:$AC$80,
MATCH('contents 장표'!$B9, contents!$W$2:$W$80, 0),
MATCH('contents 장표'!J$5, contents!$A$2:$AC$2, 0)),
"")</f>
        <v>1051</v>
      </c>
      <c r="K9" s="231">
        <f>IFERROR(
INDEX(contents!$A$2:$AC$80,
MATCH('contents 장표'!$B9, contents!$W$2:$W$80, 0),
MATCH('contents 장표'!K$5, contents!$A$2:$AC$2, 0)),
"")</f>
        <v>0.24567554891109467</v>
      </c>
      <c r="L9" s="228">
        <f>IFERROR(
INDEX(contents!$A$2:$AC$80,
MATCH('contents 장표'!$B9, contents!$W$2:$W$80, 0),
MATCH('contents 장표'!L$5, contents!$A$2:$AC$2, 0)),
"")</f>
        <v>25</v>
      </c>
      <c r="M9" s="228">
        <f>IFERROR(
INDEX(contents!$A$2:$AC$80,
MATCH('contents 장표'!$B9, contents!$W$2:$W$80, 0),
MATCH('contents 장표'!M$5, contents!$A$2:$AC$2, 0)),
"")</f>
        <v>0</v>
      </c>
      <c r="N9" s="228">
        <f>IFERROR(
INDEX(contents!$A$2:$AC$80,
MATCH('contents 장표'!$B9, contents!$W$2:$W$80, 0),
MATCH('contents 장표'!N$5, contents!$A$2:$AC$2, 0)),
"")</f>
        <v>2</v>
      </c>
      <c r="O9" s="232" t="str">
        <f t="shared" si="0"/>
        <v/>
      </c>
      <c r="P9" s="272">
        <f>IFERROR(
INDEX(contents!$A$2:$AC$80,
MATCH('contents 장표'!$B9, contents!$W$2:$W$80, 0),
MATCH('contents 장표'!P$5, contents!$A$2:$AC$2, 0)),
"")</f>
        <v>0.25198690977092097</v>
      </c>
      <c r="R9" t="str">
        <f t="shared" si="1"/>
        <v>X</v>
      </c>
    </row>
    <row r="10" spans="2:20">
      <c r="B10" s="226">
        <v>4</v>
      </c>
      <c r="C10" s="227" t="str">
        <f>IFERROR(TEXT(INDEX(contents!X:X,MATCH(B10,contents!W:W,0),0),"mm월 dd일"),"")</f>
        <v>09월 27일</v>
      </c>
      <c r="D10" s="228" t="str">
        <f>IFERROR(TEXT(INDEX(contents!X:X,MATCH(B10,contents!W:W,0),0),"aaa"),"")</f>
        <v>금</v>
      </c>
      <c r="E10" s="228" t="str" cm="1">
        <f t="array" ref="E10">IF(INDEX('contents 추가정보'!E:E,MATCH(B10,'contents 추가정보'!A:A,0),0)=0,"",INDEX('contents 추가정보'!E:E,MATCH(B10,'contents 추가정보'!A:A,0),0))</f>
        <v/>
      </c>
      <c r="F10" s="229" t="str">
        <f>IFERROR(IF(INDEX(contents!C:C,MATCH(B10,contents!W:W,0)+1)="Sponsored","●",""),"")</f>
        <v>●</v>
      </c>
      <c r="G10" s="230" t="str" cm="1">
        <f t="array" ref="G10">IF(INDEX('contents 추가정보'!C:C,MATCH(B10,'contents 추가정보'!A:A,0),0)=0,"",INDEX('contents 추가정보'!C:C,MATCH(B10,'contents 추가정보'!A:A,0),0))</f>
        <v/>
      </c>
      <c r="H10" s="228" t="str" cm="1">
        <f t="array" ref="H10">IF(INDEX('contents 추가정보'!D:D, MATCH(B10, 'contents 추가정보'!A:A, 0), 0)= 0, "",
INDEX('contents 추가정보'!D:D, MATCH(B10, 'contents 추가정보'!A:A, 0), 0))</f>
        <v/>
      </c>
      <c r="I10" s="228">
        <f>IFERROR(
INDEX(contents!$A$2:$AC$80,
MATCH('contents 장표'!$B10, contents!$W$2:$W$80, 0),
MATCH('contents 장표'!I$5, contents!$A$2:$AC$2, 0)),
"")</f>
        <v>3382</v>
      </c>
      <c r="J10" s="228">
        <f>IFERROR(
INDEX(contents!$A$2:$AC$80,
MATCH('contents 장표'!$B10, contents!$W$2:$W$80, 0),
MATCH('contents 장표'!J$5, contents!$A$2:$AC$2, 0)),
"")</f>
        <v>791</v>
      </c>
      <c r="K10" s="231">
        <f>IFERROR(
INDEX(contents!$A$2:$AC$80,
MATCH('contents 장표'!$B10, contents!$W$2:$W$80, 0),
MATCH('contents 장표'!K$5, contents!$A$2:$AC$2, 0)),
"")</f>
        <v>0.2338852733373642</v>
      </c>
      <c r="L10" s="228">
        <f>IFERROR(
INDEX(contents!$A$2:$AC$80,
MATCH('contents 장표'!$B10, contents!$W$2:$W$80, 0),
MATCH('contents 장표'!L$5, contents!$A$2:$AC$2, 0)),
"")</f>
        <v>26</v>
      </c>
      <c r="M10" s="228">
        <f>IFERROR(
INDEX(contents!$A$2:$AC$80,
MATCH('contents 장표'!$B10, contents!$W$2:$W$80, 0),
MATCH('contents 장표'!M$5, contents!$A$2:$AC$2, 0)),
"")</f>
        <v>2</v>
      </c>
      <c r="N10" s="228">
        <f>IFERROR(
INDEX(contents!$A$2:$AC$80,
MATCH('contents 장표'!$B10, contents!$W$2:$W$80, 0),
MATCH('contents 장표'!N$5, contents!$A$2:$AC$2, 0)),
"")</f>
        <v>2</v>
      </c>
      <c r="O10" s="232" t="str">
        <f t="shared" si="0"/>
        <v/>
      </c>
      <c r="P10" s="272">
        <f>IFERROR(
INDEX(contents!$A$2:$AC$80,
MATCH('contents 장표'!$B10, contents!$W$2:$W$80, 0),
MATCH('contents 장표'!P$5, contents!$A$2:$AC$2, 0)),
"")</f>
        <v>0.24275576581904199</v>
      </c>
      <c r="R10" t="str">
        <f t="shared" si="1"/>
        <v>X</v>
      </c>
    </row>
    <row r="11" spans="2:20">
      <c r="B11" s="226">
        <v>5</v>
      </c>
      <c r="C11" s="227" t="str">
        <f>IFERROR(TEXT(INDEX(contents!X:X,MATCH(B11,contents!W:W,0),0),"mm월 dd일"),"")</f>
        <v>09월 26일</v>
      </c>
      <c r="D11" s="228" t="str">
        <f>IFERROR(TEXT(INDEX(contents!X:X,MATCH(B11,contents!W:W,0),0),"aaa"),"")</f>
        <v>목</v>
      </c>
      <c r="E11" s="228" t="str" cm="1">
        <f t="array" ref="E11">IF(INDEX('contents 추가정보'!E:E,MATCH(B11,'contents 추가정보'!A:A,0),0)=0,"",INDEX('contents 추가정보'!E:E,MATCH(B11,'contents 추가정보'!A:A,0),0))</f>
        <v/>
      </c>
      <c r="F11" s="229" t="str">
        <f>IFERROR(IF(INDEX(contents!C:C,MATCH(B11,contents!W:W,0)+1)="Sponsored","●",""),"")</f>
        <v/>
      </c>
      <c r="G11" s="230" t="str" cm="1">
        <f t="array" ref="G11">IF(INDEX('contents 추가정보'!C:C,MATCH(B11,'contents 추가정보'!A:A,0),0)=0,"",INDEX('contents 추가정보'!C:C,MATCH(B11,'contents 추가정보'!A:A,0),0))</f>
        <v/>
      </c>
      <c r="H11" s="228" t="str" cm="1">
        <f t="array" ref="H11">IF(INDEX('contents 추가정보'!D:D, MATCH(B11, 'contents 추가정보'!A:A, 0), 0)= 0, "",
INDEX('contents 추가정보'!D:D, MATCH(B11, 'contents 추가정보'!A:A, 0), 0))</f>
        <v/>
      </c>
      <c r="I11" s="228">
        <f>IFERROR(
INDEX(contents!$A$2:$AC$80,
MATCH('contents 장표'!$B11, contents!$W$2:$W$80, 0),
MATCH('contents 장표'!I$5, contents!$A$2:$AC$2, 0)),
"")</f>
        <v>5059</v>
      </c>
      <c r="J11" s="228">
        <f>IFERROR(
INDEX(contents!$A$2:$AC$80,
MATCH('contents 장표'!$B11, contents!$W$2:$W$80, 0),
MATCH('contents 장표'!J$5, contents!$A$2:$AC$2, 0)),
"")</f>
        <v>1154</v>
      </c>
      <c r="K11" s="231">
        <f>IFERROR(
INDEX(contents!$A$2:$AC$80,
MATCH('contents 장표'!$B11, contents!$W$2:$W$80, 0),
MATCH('contents 장표'!K$5, contents!$A$2:$AC$2, 0)),
"")</f>
        <v>0.22810831665992737</v>
      </c>
      <c r="L11" s="228">
        <f>IFERROR(
INDEX(contents!$A$2:$AC$80,
MATCH('contents 장표'!$B11, contents!$W$2:$W$80, 0),
MATCH('contents 장표'!L$5, contents!$A$2:$AC$2, 0)),
"")</f>
        <v>54</v>
      </c>
      <c r="M11" s="228">
        <f>IFERROR(
INDEX(contents!$A$2:$AC$80,
MATCH('contents 장표'!$B11, contents!$W$2:$W$80, 0),
MATCH('contents 장표'!M$5, contents!$A$2:$AC$2, 0)),
"")</f>
        <v>1</v>
      </c>
      <c r="N11" s="228">
        <f>IFERROR(
INDEX(contents!$A$2:$AC$80,
MATCH('contents 장표'!$B11, contents!$W$2:$W$80, 0),
MATCH('contents 장표'!N$5, contents!$A$2:$AC$2, 0)),
"")</f>
        <v>1</v>
      </c>
      <c r="O11" s="232" t="str">
        <f t="shared" si="0"/>
        <v/>
      </c>
      <c r="P11" s="272">
        <f>IFERROR(
INDEX(contents!$A$2:$AC$80,
MATCH('contents 장표'!$B11, contents!$W$2:$W$80, 0),
MATCH('contents 장표'!P$5, contents!$A$2:$AC$2, 0)),
"")</f>
        <v>0.2391777031033801</v>
      </c>
      <c r="R11" t="str">
        <f t="shared" si="1"/>
        <v>X</v>
      </c>
    </row>
    <row r="12" spans="2:20">
      <c r="B12" s="226">
        <v>6</v>
      </c>
      <c r="C12" s="227" t="str">
        <f>IFERROR(TEXT(INDEX(contents!X:X,MATCH(B12,contents!W:W,0),0),"mm월 dd일"),"")</f>
        <v>09월 11일</v>
      </c>
      <c r="D12" s="228" t="str">
        <f>IFERROR(TEXT(INDEX(contents!X:X,MATCH(B12,contents!W:W,0),0),"aaa"),"")</f>
        <v>수</v>
      </c>
      <c r="E12" s="228" t="str" cm="1">
        <f t="array" ref="E12">IF(INDEX('contents 추가정보'!E:E,MATCH(B12,'contents 추가정보'!A:A,0),0)=0,"",INDEX('contents 추가정보'!E:E,MATCH(B12,'contents 추가정보'!A:A,0),0))</f>
        <v/>
      </c>
      <c r="F12" s="229" t="str">
        <f>IFERROR(IF(INDEX(contents!C:C,MATCH(B12,contents!W:W,0)+1)="Sponsored","●",""),"")</f>
        <v/>
      </c>
      <c r="G12" s="230" t="str" cm="1">
        <f t="array" ref="G12">IF(INDEX('contents 추가정보'!C:C,MATCH(B12,'contents 추가정보'!A:A,0),0)=0,"",INDEX('contents 추가정보'!C:C,MATCH(B12,'contents 추가정보'!A:A,0),0))</f>
        <v/>
      </c>
      <c r="H12" s="228" t="str" cm="1">
        <f t="array" ref="H12">IF(INDEX('contents 추가정보'!D:D, MATCH(B12, 'contents 추가정보'!A:A, 0), 0)= 0, "",
INDEX('contents 추가정보'!D:D, MATCH(B12, 'contents 추가정보'!A:A, 0), 0))</f>
        <v/>
      </c>
      <c r="I12" s="228">
        <f>IFERROR(
INDEX(contents!$A$2:$AC$80,
MATCH('contents 장표'!$B12, contents!$W$2:$W$80, 0),
MATCH('contents 장표'!I$5, contents!$A$2:$AC$2, 0)),
"")</f>
        <v>6397</v>
      </c>
      <c r="J12" s="228">
        <f>IFERROR(
INDEX(contents!$A$2:$AC$80,
MATCH('contents 장표'!$B12, contents!$W$2:$W$80, 0),
MATCH('contents 장표'!J$5, contents!$A$2:$AC$2, 0)),
"")</f>
        <v>1431</v>
      </c>
      <c r="K12" s="231">
        <f>IFERROR(
INDEX(contents!$A$2:$AC$80,
MATCH('contents 장표'!$B12, contents!$W$2:$W$80, 0),
MATCH('contents 장표'!K$5, contents!$A$2:$AC$2, 0)),
"")</f>
        <v>0.22369861602783203</v>
      </c>
      <c r="L12" s="228">
        <f>IFERROR(
INDEX(contents!$A$2:$AC$80,
MATCH('contents 장표'!$B12, contents!$W$2:$W$80, 0),
MATCH('contents 장표'!L$5, contents!$A$2:$AC$2, 0)),
"")</f>
        <v>87</v>
      </c>
      <c r="M12" s="228">
        <f>IFERROR(
INDEX(contents!$A$2:$AC$80,
MATCH('contents 장표'!$B12, contents!$W$2:$W$80, 0),
MATCH('contents 장표'!M$5, contents!$A$2:$AC$2, 0)),
"")</f>
        <v>0</v>
      </c>
      <c r="N12" s="228">
        <f>IFERROR(
INDEX(contents!$A$2:$AC$80,
MATCH('contents 장표'!$B12, contents!$W$2:$W$80, 0),
MATCH('contents 장표'!N$5, contents!$A$2:$AC$2, 0)),
"")</f>
        <v>4</v>
      </c>
      <c r="O12" s="232" t="str">
        <f t="shared" si="0"/>
        <v/>
      </c>
      <c r="P12" s="272">
        <f>IFERROR(
INDEX(contents!$A$2:$AC$80,
MATCH('contents 장표'!$B12, contents!$W$2:$W$80, 0),
MATCH('contents 장표'!P$5, contents!$A$2:$AC$2, 0)),
"")</f>
        <v>0.23792402688760356</v>
      </c>
      <c r="R12" t="str">
        <f t="shared" si="1"/>
        <v>X</v>
      </c>
      <c r="T12" s="37"/>
    </row>
    <row r="13" spans="2:20">
      <c r="B13" s="226">
        <v>7</v>
      </c>
      <c r="C13" s="227" t="str">
        <f>IFERROR(TEXT(INDEX(contents!X:X,MATCH(B13,contents!W:W,0),0),"mm월 dd일"),"")</f>
        <v>09월 04일</v>
      </c>
      <c r="D13" s="228" t="str">
        <f>IFERROR(TEXT(INDEX(contents!X:X,MATCH(B13,contents!W:W,0),0),"aaa"),"")</f>
        <v>수</v>
      </c>
      <c r="E13" s="228" t="str" cm="1">
        <f t="array" ref="E13">IF(INDEX('contents 추가정보'!E:E,MATCH(B13,'contents 추가정보'!A:A,0),0)=0,"",INDEX('contents 추가정보'!E:E,MATCH(B13,'contents 추가정보'!A:A,0),0))</f>
        <v/>
      </c>
      <c r="F13" s="229" t="str">
        <f>IFERROR(IF(INDEX(contents!C:C,MATCH(B13,contents!W:W,0)+1)="Sponsored","●",""),"")</f>
        <v/>
      </c>
      <c r="G13" s="230" t="str" cm="1">
        <f t="array" ref="G13">IF(INDEX('contents 추가정보'!C:C,MATCH(B13,'contents 추가정보'!A:A,0),0)=0,"",INDEX('contents 추가정보'!C:C,MATCH(B13,'contents 추가정보'!A:A,0),0))</f>
        <v/>
      </c>
      <c r="H13" s="228" t="str" cm="1">
        <f t="array" ref="H13">IF(INDEX('contents 추가정보'!D:D, MATCH(B13, 'contents 추가정보'!A:A, 0), 0)= 0, "",
INDEX('contents 추가정보'!D:D, MATCH(B13, 'contents 추가정보'!A:A, 0), 0))</f>
        <v/>
      </c>
      <c r="I13" s="228">
        <f>IFERROR(
INDEX(contents!$A$2:$AC$80,
MATCH('contents 장표'!$B13, contents!$W$2:$W$80, 0),
MATCH('contents 장표'!I$5, contents!$A$2:$AC$2, 0)),
"")</f>
        <v>19708</v>
      </c>
      <c r="J13" s="228">
        <f>IFERROR(
INDEX(contents!$A$2:$AC$80,
MATCH('contents 장표'!$B13, contents!$W$2:$W$80, 0),
MATCH('contents 장표'!J$5, contents!$A$2:$AC$2, 0)),
"")</f>
        <v>4047</v>
      </c>
      <c r="K13" s="231">
        <f>IFERROR(
INDEX(contents!$A$2:$AC$80,
MATCH('contents 장표'!$B13, contents!$W$2:$W$80, 0),
MATCH('contents 장표'!K$5, contents!$A$2:$AC$2, 0)),
"")</f>
        <v>0.20534808933734894</v>
      </c>
      <c r="L13" s="228">
        <f>IFERROR(
INDEX(contents!$A$2:$AC$80,
MATCH('contents 장표'!$B13, contents!$W$2:$W$80, 0),
MATCH('contents 장표'!L$5, contents!$A$2:$AC$2, 0)),
"")</f>
        <v>288</v>
      </c>
      <c r="M13" s="228">
        <f>IFERROR(
INDEX(contents!$A$2:$AC$80,
MATCH('contents 장표'!$B13, contents!$W$2:$W$80, 0),
MATCH('contents 장표'!M$5, contents!$A$2:$AC$2, 0)),
"")</f>
        <v>3</v>
      </c>
      <c r="N13" s="228">
        <f>IFERROR(
INDEX(contents!$A$2:$AC$80,
MATCH('contents 장표'!$B13, contents!$W$2:$W$80, 0),
MATCH('contents 장표'!N$5, contents!$A$2:$AC$2, 0)),
"")</f>
        <v>13</v>
      </c>
      <c r="O13" s="232" t="str">
        <f t="shared" si="0"/>
        <v/>
      </c>
      <c r="P13" s="272">
        <f>IFERROR(
INDEX(contents!$A$2:$AC$80,
MATCH('contents 장표'!$B13, contents!$W$2:$W$80, 0),
MATCH('contents 장표'!P$5, contents!$A$2:$AC$2, 0)),
"")</f>
        <v>0.22077329003450374</v>
      </c>
      <c r="R13" t="str">
        <f t="shared" si="1"/>
        <v>X</v>
      </c>
    </row>
    <row r="14" spans="2:20">
      <c r="B14" s="226">
        <v>8</v>
      </c>
      <c r="C14" s="227" t="str">
        <f>IFERROR(TEXT(INDEX(contents!X:X,MATCH(B14,contents!W:W,0),0),"mm월 dd일"),"")</f>
        <v>09월 26일</v>
      </c>
      <c r="D14" s="228" t="str">
        <f>IFERROR(TEXT(INDEX(contents!X:X,MATCH(B14,contents!W:W,0),0),"aaa"),"")</f>
        <v>목</v>
      </c>
      <c r="E14" s="228" t="str" cm="1">
        <f t="array" ref="E14">IF(INDEX('contents 추가정보'!E:E,MATCH(B14,'contents 추가정보'!A:A,0),0)=0,"",INDEX('contents 추가정보'!E:E,MATCH(B14,'contents 추가정보'!A:A,0),0))</f>
        <v/>
      </c>
      <c r="F14" s="229" t="str">
        <f>IFERROR(IF(INDEX(contents!C:C,MATCH(B14,contents!W:W,0)+1)="Sponsored","●",""),"")</f>
        <v/>
      </c>
      <c r="G14" s="230" t="str" cm="1">
        <f t="array" ref="G14">IF(INDEX('contents 추가정보'!C:C,MATCH(B14,'contents 추가정보'!A:A,0),0)=0,"",INDEX('contents 추가정보'!C:C,MATCH(B14,'contents 추가정보'!A:A,0),0))</f>
        <v/>
      </c>
      <c r="H14" s="228" t="str" cm="1">
        <f t="array" ref="H14">IF(INDEX('contents 추가정보'!D:D, MATCH(B14, 'contents 추가정보'!A:A, 0), 0)= 0, "",
INDEX('contents 추가정보'!D:D, MATCH(B14, 'contents 추가정보'!A:A, 0), 0))</f>
        <v/>
      </c>
      <c r="I14" s="228">
        <f>IFERROR(
INDEX(contents!$A$2:$AC$80,
MATCH('contents 장표'!$B14, contents!$W$2:$W$80, 0),
MATCH('contents 장표'!I$5, contents!$A$2:$AC$2, 0)),
"")</f>
        <v>4807</v>
      </c>
      <c r="J14" s="228">
        <f>IFERROR(
INDEX(contents!$A$2:$AC$80,
MATCH('contents 장표'!$B14, contents!$W$2:$W$80, 0),
MATCH('contents 장표'!J$5, contents!$A$2:$AC$2, 0)),
"")</f>
        <v>862</v>
      </c>
      <c r="K14" s="231">
        <f>IFERROR(
INDEX(contents!$A$2:$AC$80,
MATCH('contents 장표'!$B14, contents!$W$2:$W$80, 0),
MATCH('contents 장표'!K$5, contents!$A$2:$AC$2, 0)),
"")</f>
        <v>0.17932182550430298</v>
      </c>
      <c r="L14" s="228">
        <f>IFERROR(
INDEX(contents!$A$2:$AC$80,
MATCH('contents 장표'!$B14, contents!$W$2:$W$80, 0),
MATCH('contents 장표'!L$5, contents!$A$2:$AC$2, 0)),
"")</f>
        <v>58</v>
      </c>
      <c r="M14" s="228">
        <f>IFERROR(
INDEX(contents!$A$2:$AC$80,
MATCH('contents 장표'!$B14, contents!$W$2:$W$80, 0),
MATCH('contents 장표'!M$5, contents!$A$2:$AC$2, 0)),
"")</f>
        <v>0</v>
      </c>
      <c r="N14" s="228">
        <f>IFERROR(
INDEX(contents!$A$2:$AC$80,
MATCH('contents 장표'!$B14, contents!$W$2:$W$80, 0),
MATCH('contents 장표'!N$5, contents!$A$2:$AC$2, 0)),
"")</f>
        <v>2</v>
      </c>
      <c r="O14" s="232" t="str">
        <f t="shared" si="0"/>
        <v/>
      </c>
      <c r="P14" s="272">
        <f>IFERROR(
INDEX(contents!$A$2:$AC$80,
MATCH('contents 장표'!$B14, contents!$W$2:$W$80, 0),
MATCH('contents 장표'!P$5, contents!$A$2:$AC$2, 0)),
"")</f>
        <v>0.19180361972123985</v>
      </c>
      <c r="R14" t="str">
        <f t="shared" si="1"/>
        <v>X</v>
      </c>
    </row>
    <row r="15" spans="2:20">
      <c r="B15" s="226">
        <v>9</v>
      </c>
      <c r="C15" s="227" t="str">
        <f>IFERROR(TEXT(INDEX(contents!X:X,MATCH(B15,contents!W:W,0),0),"mm월 dd일"),"")</f>
        <v>09월 26일</v>
      </c>
      <c r="D15" s="228" t="str">
        <f>IFERROR(TEXT(INDEX(contents!X:X,MATCH(B15,contents!W:W,0),0),"aaa"),"")</f>
        <v>목</v>
      </c>
      <c r="E15" s="228" t="str" cm="1">
        <f t="array" ref="E15">IF(INDEX('contents 추가정보'!E:E,MATCH(B15,'contents 추가정보'!A:A,0),0)=0,"",INDEX('contents 추가정보'!E:E,MATCH(B15,'contents 추가정보'!A:A,0),0))</f>
        <v/>
      </c>
      <c r="F15" s="229" t="str">
        <f>IFERROR(IF(INDEX(contents!C:C,MATCH(B15,contents!W:W,0)+1)="Sponsored","●",""),"")</f>
        <v/>
      </c>
      <c r="G15" s="230" t="str" cm="1">
        <f t="array" ref="G15">IF(INDEX('contents 추가정보'!C:C,MATCH(B15,'contents 추가정보'!A:A,0),0)=0,"",INDEX('contents 추가정보'!C:C,MATCH(B15,'contents 추가정보'!A:A,0),0))</f>
        <v/>
      </c>
      <c r="H15" s="228" t="str" cm="1">
        <f t="array" ref="H15">IF(INDEX('contents 추가정보'!D:D, MATCH(B15, 'contents 추가정보'!A:A, 0), 0)= 0, "",
INDEX('contents 추가정보'!D:D, MATCH(B15, 'contents 추가정보'!A:A, 0), 0))</f>
        <v/>
      </c>
      <c r="I15" s="228">
        <f>IFERROR(
INDEX(contents!$A$2:$AC$80,
MATCH('contents 장표'!$B15, contents!$W$2:$W$80, 0),
MATCH('contents 장표'!I$5, contents!$A$2:$AC$2, 0)),
"")</f>
        <v>2453</v>
      </c>
      <c r="J15" s="228">
        <f>IFERROR(
INDEX(contents!$A$2:$AC$80,
MATCH('contents 장표'!$B15, contents!$W$2:$W$80, 0),
MATCH('contents 장표'!J$5, contents!$A$2:$AC$2, 0)),
"")</f>
        <v>358</v>
      </c>
      <c r="K15" s="231">
        <f>IFERROR(
INDEX(contents!$A$2:$AC$80,
MATCH('contents 장표'!$B15, contents!$W$2:$W$80, 0),
MATCH('contents 장표'!K$5, contents!$A$2:$AC$2, 0)),
"")</f>
        <v>0.14594374597072601</v>
      </c>
      <c r="L15" s="228">
        <f>IFERROR(
INDEX(contents!$A$2:$AC$80,
MATCH('contents 장표'!$B15, contents!$W$2:$W$80, 0),
MATCH('contents 장표'!L$5, contents!$A$2:$AC$2, 0)),
"")</f>
        <v>33</v>
      </c>
      <c r="M15" s="228">
        <f>IFERROR(
INDEX(contents!$A$2:$AC$80,
MATCH('contents 장표'!$B15, contents!$W$2:$W$80, 0),
MATCH('contents 장표'!M$5, contents!$A$2:$AC$2, 0)),
"")</f>
        <v>0</v>
      </c>
      <c r="N15" s="228">
        <f>IFERROR(
INDEX(contents!$A$2:$AC$80,
MATCH('contents 장표'!$B15, contents!$W$2:$W$80, 0),
MATCH('contents 장표'!N$5, contents!$A$2:$AC$2, 0)),
"")</f>
        <v>2</v>
      </c>
      <c r="O15" s="232" t="str">
        <f t="shared" si="0"/>
        <v/>
      </c>
      <c r="P15" s="272">
        <f>IFERROR(
INDEX(contents!$A$2:$AC$80,
MATCH('contents 장표'!$B15, contents!$W$2:$W$80, 0),
MATCH('contents 장표'!P$5, contents!$A$2:$AC$2, 0)),
"")</f>
        <v>0.16021198532409295</v>
      </c>
      <c r="R15" t="str">
        <f t="shared" si="1"/>
        <v>X</v>
      </c>
    </row>
    <row r="16" spans="2:20">
      <c r="B16" s="226">
        <v>10</v>
      </c>
      <c r="C16" s="227" t="str">
        <f>IFERROR(TEXT(INDEX(contents!X:X,MATCH(B16,contents!W:W,0),0),"mm월 dd일"),"")</f>
        <v>09월 12일</v>
      </c>
      <c r="D16" s="228" t="str">
        <f>IFERROR(TEXT(INDEX(contents!X:X,MATCH(B16,contents!W:W,0),0),"aaa"),"")</f>
        <v>목</v>
      </c>
      <c r="E16" s="228" t="str" cm="1">
        <f t="array" ref="E16">IF(INDEX('contents 추가정보'!E:E,MATCH(B16,'contents 추가정보'!A:A,0),0)=0,"",INDEX('contents 추가정보'!E:E,MATCH(B16,'contents 추가정보'!A:A,0),0))</f>
        <v/>
      </c>
      <c r="F16" s="229" t="str">
        <f>IFERROR(IF(INDEX(contents!C:C,MATCH(B16,contents!W:W,0)+1)="Sponsored","●",""),"")</f>
        <v/>
      </c>
      <c r="G16" s="230" t="str" cm="1">
        <f t="array" ref="G16">IF(INDEX('contents 추가정보'!C:C,MATCH(B16,'contents 추가정보'!A:A,0),0)=0,"",INDEX('contents 추가정보'!C:C,MATCH(B16,'contents 추가정보'!A:A,0),0))</f>
        <v/>
      </c>
      <c r="H16" s="228" t="str" cm="1">
        <f t="array" ref="H16">IF(INDEX('contents 추가정보'!D:D, MATCH(B16, 'contents 추가정보'!A:A, 0), 0)= 0, "",
INDEX('contents 추가정보'!D:D, MATCH(B16, 'contents 추가정보'!A:A, 0), 0))</f>
        <v/>
      </c>
      <c r="I16" s="228">
        <f>IFERROR(
INDEX(contents!$A$2:$AC$80,
MATCH('contents 장표'!$B16, contents!$W$2:$W$80, 0),
MATCH('contents 장표'!I$5, contents!$A$2:$AC$2, 0)),
"")</f>
        <v>6084</v>
      </c>
      <c r="J16" s="228">
        <f>IFERROR(
INDEX(contents!$A$2:$AC$80,
MATCH('contents 장표'!$B16, contents!$W$2:$W$80, 0),
MATCH('contents 장표'!J$5, contents!$A$2:$AC$2, 0)),
"")</f>
        <v>852</v>
      </c>
      <c r="K16" s="231">
        <f>IFERROR(
INDEX(contents!$A$2:$AC$80,
MATCH('contents 장표'!$B16, contents!$W$2:$W$80, 0),
MATCH('contents 장표'!K$5, contents!$A$2:$AC$2, 0)),
"")</f>
        <v>0.14003944396972656</v>
      </c>
      <c r="L16" s="228">
        <f>IFERROR(
INDEX(contents!$A$2:$AC$80,
MATCH('contents 장표'!$B16, contents!$W$2:$W$80, 0),
MATCH('contents 장표'!L$5, contents!$A$2:$AC$2, 0)),
"")</f>
        <v>46</v>
      </c>
      <c r="M16" s="228">
        <f>IFERROR(
INDEX(contents!$A$2:$AC$80,
MATCH('contents 장표'!$B16, contents!$W$2:$W$80, 0),
MATCH('contents 장표'!M$5, contents!$A$2:$AC$2, 0)),
"")</f>
        <v>0</v>
      </c>
      <c r="N16" s="228">
        <f>IFERROR(
INDEX(contents!$A$2:$AC$80,
MATCH('contents 장표'!$B16, contents!$W$2:$W$80, 0),
MATCH('contents 장표'!N$5, contents!$A$2:$AC$2, 0)),
"")</f>
        <v>3</v>
      </c>
      <c r="O16" s="232" t="str">
        <f t="shared" si="0"/>
        <v/>
      </c>
      <c r="P16" s="272">
        <f>IFERROR(
INDEX(contents!$A$2:$AC$80,
MATCH('contents 장표'!$B16, contents!$W$2:$W$80, 0),
MATCH('contents 장표'!P$5, contents!$A$2:$AC$2, 0)),
"")</f>
        <v>0.14809335963182116</v>
      </c>
      <c r="R16" t="str">
        <f t="shared" si="1"/>
        <v>X</v>
      </c>
    </row>
    <row r="17" spans="2:18">
      <c r="B17" s="226">
        <v>11</v>
      </c>
      <c r="C17" s="227" t="str">
        <f>IFERROR(TEXT(INDEX(contents!X:X,MATCH(B17,contents!W:W,0),0),"mm월 dd일"),"")</f>
        <v>09월 03일</v>
      </c>
      <c r="D17" s="228" t="str">
        <f>IFERROR(TEXT(INDEX(contents!X:X,MATCH(B17,contents!W:W,0),0),"aaa"),"")</f>
        <v>화</v>
      </c>
      <c r="E17" s="228" t="str" cm="1">
        <f t="array" ref="E17">IF(INDEX('contents 추가정보'!E:E,MATCH(B17,'contents 추가정보'!A:A,0),0)=0,"",INDEX('contents 추가정보'!E:E,MATCH(B17,'contents 추가정보'!A:A,0),0))</f>
        <v/>
      </c>
      <c r="F17" s="229" t="str">
        <f>IFERROR(IF(INDEX(contents!C:C,MATCH(B17,contents!W:W,0)+1)="Sponsored","●",""),"")</f>
        <v/>
      </c>
      <c r="G17" s="230" t="str" cm="1">
        <f t="array" ref="G17">IF(INDEX('contents 추가정보'!C:C,MATCH(B17,'contents 추가정보'!A:A,0),0)=0,"",INDEX('contents 추가정보'!C:C,MATCH(B17,'contents 추가정보'!A:A,0),0))</f>
        <v/>
      </c>
      <c r="H17" s="228" t="str" cm="1">
        <f t="array" ref="H17">IF(INDEX('contents 추가정보'!D:D, MATCH(B17, 'contents 추가정보'!A:A, 0), 0)= 0, "",
INDEX('contents 추가정보'!D:D, MATCH(B17, 'contents 추가정보'!A:A, 0), 0))</f>
        <v/>
      </c>
      <c r="I17" s="228">
        <f>IFERROR(
INDEX(contents!$A$2:$AC$80,
MATCH('contents 장표'!$B17, contents!$W$2:$W$80, 0),
MATCH('contents 장표'!I$5, contents!$A$2:$AC$2, 0)),
"")</f>
        <v>3527</v>
      </c>
      <c r="J17" s="228">
        <f>IFERROR(
INDEX(contents!$A$2:$AC$80,
MATCH('contents 장표'!$B17, contents!$W$2:$W$80, 0),
MATCH('contents 장표'!J$5, contents!$A$2:$AC$2, 0)),
"")</f>
        <v>470</v>
      </c>
      <c r="K17" s="231">
        <f>IFERROR(
INDEX(contents!$A$2:$AC$80,
MATCH('contents 장표'!$B17, contents!$W$2:$W$80, 0),
MATCH('contents 장표'!K$5, contents!$A$2:$AC$2, 0)),
"")</f>
        <v>0.13325773179531097</v>
      </c>
      <c r="L17" s="228">
        <f>IFERROR(
INDEX(contents!$A$2:$AC$80,
MATCH('contents 장표'!$B17, contents!$W$2:$W$80, 0),
MATCH('contents 장표'!L$5, contents!$A$2:$AC$2, 0)),
"")</f>
        <v>23</v>
      </c>
      <c r="M17" s="228">
        <f>IFERROR(
INDEX(contents!$A$2:$AC$80,
MATCH('contents 장표'!$B17, contents!$W$2:$W$80, 0),
MATCH('contents 장표'!M$5, contents!$A$2:$AC$2, 0)),
"")</f>
        <v>0</v>
      </c>
      <c r="N17" s="228">
        <f>IFERROR(
INDEX(contents!$A$2:$AC$80,
MATCH('contents 장표'!$B17, contents!$W$2:$W$80, 0),
MATCH('contents 장표'!N$5, contents!$A$2:$AC$2, 0)),
"")</f>
        <v>1</v>
      </c>
      <c r="O17" s="232" t="str">
        <f t="shared" si="0"/>
        <v/>
      </c>
      <c r="P17" s="272">
        <f>IFERROR(
INDEX(contents!$A$2:$AC$80,
MATCH('contents 장표'!$B17, contents!$W$2:$W$80, 0),
MATCH('contents 장표'!P$5, contents!$A$2:$AC$2, 0)),
"")</f>
        <v>0.14006237595690388</v>
      </c>
      <c r="R17" t="str">
        <f t="shared" si="1"/>
        <v>X</v>
      </c>
    </row>
    <row r="18" spans="2:18">
      <c r="B18" s="226">
        <v>12</v>
      </c>
      <c r="C18" s="227" t="str">
        <f>IFERROR(TEXT(INDEX(contents!X:X,MATCH(B18,contents!W:W,0),0),"mm월 dd일"),"")</f>
        <v>09월 13일</v>
      </c>
      <c r="D18" s="228" t="str">
        <f>IFERROR(TEXT(INDEX(contents!X:X,MATCH(B18,contents!W:W,0),0),"aaa"),"")</f>
        <v>금</v>
      </c>
      <c r="E18" s="228" t="str" cm="1">
        <f t="array" ref="E18">IF(INDEX('contents 추가정보'!E:E,MATCH(B18,'contents 추가정보'!A:A,0),0)=0,"",INDEX('contents 추가정보'!E:E,MATCH(B18,'contents 추가정보'!A:A,0),0))</f>
        <v/>
      </c>
      <c r="F18" s="229" t="str">
        <f>IFERROR(IF(INDEX(contents!C:C,MATCH(B18,contents!W:W,0)+1)="Sponsored","●",""),"")</f>
        <v/>
      </c>
      <c r="G18" s="230" t="str" cm="1">
        <f t="array" ref="G18">IF(INDEX('contents 추가정보'!C:C,MATCH(B18,'contents 추가정보'!A:A,0),0)=0,"",INDEX('contents 추가정보'!C:C,MATCH(B18,'contents 추가정보'!A:A,0),0))</f>
        <v/>
      </c>
      <c r="H18" s="228" t="str" cm="1">
        <f t="array" ref="H18">IF(INDEX('contents 추가정보'!D:D, MATCH(B18, 'contents 추가정보'!A:A, 0), 0)= 0, "",
INDEX('contents 추가정보'!D:D, MATCH(B18, 'contents 추가정보'!A:A, 0), 0))</f>
        <v/>
      </c>
      <c r="I18" s="228">
        <f>IFERROR(
INDEX(contents!$A$2:$AC$80,
MATCH('contents 장표'!$B18, contents!$W$2:$W$80, 0),
MATCH('contents 장표'!I$5, contents!$A$2:$AC$2, 0)),
"")</f>
        <v>9014</v>
      </c>
      <c r="J18" s="228">
        <f>IFERROR(
INDEX(contents!$A$2:$AC$80,
MATCH('contents 장표'!$B18, contents!$W$2:$W$80, 0),
MATCH('contents 장표'!J$5, contents!$A$2:$AC$2, 0)),
"")</f>
        <v>1099</v>
      </c>
      <c r="K18" s="231">
        <f>IFERROR(
INDEX(contents!$A$2:$AC$80,
MATCH('contents 장표'!$B18, contents!$W$2:$W$80, 0),
MATCH('contents 장표'!K$5, contents!$A$2:$AC$2, 0)),
"")</f>
        <v>0.12192145735025406</v>
      </c>
      <c r="L18" s="228">
        <f>IFERROR(
INDEX(contents!$A$2:$AC$80,
MATCH('contents 장표'!$B18, contents!$W$2:$W$80, 0),
MATCH('contents 장표'!L$5, contents!$A$2:$AC$2, 0)),
"")</f>
        <v>120</v>
      </c>
      <c r="M18" s="228">
        <f>IFERROR(
INDEX(contents!$A$2:$AC$80,
MATCH('contents 장표'!$B18, contents!$W$2:$W$80, 0),
MATCH('contents 장표'!M$5, contents!$A$2:$AC$2, 0)),
"")</f>
        <v>0</v>
      </c>
      <c r="N18" s="228">
        <f>IFERROR(
INDEX(contents!$A$2:$AC$80,
MATCH('contents 장표'!$B18, contents!$W$2:$W$80, 0),
MATCH('contents 장표'!N$5, contents!$A$2:$AC$2, 0)),
"")</f>
        <v>1</v>
      </c>
      <c r="O18" s="232" t="str">
        <f t="shared" si="0"/>
        <v/>
      </c>
      <c r="P18" s="272">
        <f>IFERROR(
INDEX(contents!$A$2:$AC$80,
MATCH('contents 장표'!$B18, contents!$W$2:$W$80, 0),
MATCH('contents 장표'!P$5, contents!$A$2:$AC$2, 0)),
"")</f>
        <v>0.1353450188595518</v>
      </c>
      <c r="R18" t="str">
        <f t="shared" si="1"/>
        <v>X</v>
      </c>
    </row>
    <row r="19" spans="2:18">
      <c r="B19" s="226">
        <v>13</v>
      </c>
      <c r="C19" s="227" t="str">
        <f>IFERROR(TEXT(INDEX(contents!X:X,MATCH(B19,contents!W:W,0),0),"mm월 dd일"),"")</f>
        <v>09월 26일</v>
      </c>
      <c r="D19" s="228" t="str">
        <f>IFERROR(TEXT(INDEX(contents!X:X,MATCH(B19,contents!W:W,0),0),"aaa"),"")</f>
        <v>목</v>
      </c>
      <c r="E19" s="228" t="str" cm="1">
        <f t="array" ref="E19">IF(INDEX('contents 추가정보'!E:E,MATCH(B19,'contents 추가정보'!A:A,0),0)=0,"",INDEX('contents 추가정보'!E:E,MATCH(B19,'contents 추가정보'!A:A,0),0))</f>
        <v/>
      </c>
      <c r="F19" s="229" t="str">
        <f>IFERROR(IF(INDEX(contents!C:C,MATCH(B19,contents!W:W,0)+1)="Sponsored","●",""),"")</f>
        <v>●</v>
      </c>
      <c r="G19" s="230" t="str" cm="1">
        <f t="array" ref="G19">IF(INDEX('contents 추가정보'!C:C,MATCH(B19,'contents 추가정보'!A:A,0),0)=0,"",INDEX('contents 추가정보'!C:C,MATCH(B19,'contents 추가정보'!A:A,0),0))</f>
        <v/>
      </c>
      <c r="H19" s="228" t="str" cm="1">
        <f t="array" ref="H19">IF(INDEX('contents 추가정보'!D:D, MATCH(B19, 'contents 추가정보'!A:A, 0), 0)= 0, "",
INDEX('contents 추가정보'!D:D, MATCH(B19, 'contents 추가정보'!A:A, 0), 0))</f>
        <v/>
      </c>
      <c r="I19" s="228">
        <f>IFERROR(
INDEX(contents!$A$2:$AC$80,
MATCH('contents 장표'!$B19, contents!$W$2:$W$80, 0),
MATCH('contents 장표'!I$5, contents!$A$2:$AC$2, 0)),
"")</f>
        <v>1880</v>
      </c>
      <c r="J19" s="228">
        <f>IFERROR(
INDEX(contents!$A$2:$AC$80,
MATCH('contents 장표'!$B19, contents!$W$2:$W$80, 0),
MATCH('contents 장표'!J$5, contents!$A$2:$AC$2, 0)),
"")</f>
        <v>57</v>
      </c>
      <c r="K19" s="231">
        <f>IFERROR(
INDEX(contents!$A$2:$AC$80,
MATCH('contents 장표'!$B19, contents!$W$2:$W$80, 0),
MATCH('contents 장표'!K$5, contents!$A$2:$AC$2, 0)),
"")</f>
        <v>3.0319148674607277E-2</v>
      </c>
      <c r="L19" s="228">
        <f>IFERROR(
INDEX(contents!$A$2:$AC$80,
MATCH('contents 장표'!$B19, contents!$W$2:$W$80, 0),
MATCH('contents 장표'!L$5, contents!$A$2:$AC$2, 0)),
"")</f>
        <v>70</v>
      </c>
      <c r="M19" s="228">
        <f>IFERROR(
INDEX(contents!$A$2:$AC$80,
MATCH('contents 장표'!$B19, contents!$W$2:$W$80, 0),
MATCH('contents 장표'!M$5, contents!$A$2:$AC$2, 0)),
"")</f>
        <v>0</v>
      </c>
      <c r="N19" s="228">
        <f>IFERROR(
INDEX(contents!$A$2:$AC$80,
MATCH('contents 장표'!$B19, contents!$W$2:$W$80, 0),
MATCH('contents 장표'!N$5, contents!$A$2:$AC$2, 0)),
"")</f>
        <v>3</v>
      </c>
      <c r="O19" s="232" t="str">
        <f t="shared" si="0"/>
        <v/>
      </c>
      <c r="P19" s="272">
        <f>IFERROR(
INDEX(contents!$A$2:$AC$80,
MATCH('contents 장표'!$B19, contents!$W$2:$W$80, 0),
MATCH('contents 장표'!P$5, contents!$A$2:$AC$2, 0)),
"")</f>
        <v>6.9148936170212769E-2</v>
      </c>
      <c r="R19" t="str">
        <f t="shared" si="1"/>
        <v>X</v>
      </c>
    </row>
    <row r="20" spans="2:18">
      <c r="B20" s="226">
        <v>14</v>
      </c>
      <c r="C20" s="227" t="str">
        <f>IFERROR(TEXT(INDEX(contents!X:X,MATCH(B20,contents!W:W,0),0),"mm월 dd일"),"")</f>
        <v>09월 03일</v>
      </c>
      <c r="D20" s="228" t="str">
        <f>IFERROR(TEXT(INDEX(contents!X:X,MATCH(B20,contents!W:W,0),0),"aaa"),"")</f>
        <v>화</v>
      </c>
      <c r="E20" s="228" t="str" cm="1">
        <f t="array" ref="E20">IF(INDEX('contents 추가정보'!E:E,MATCH(B20,'contents 추가정보'!A:A,0),0)=0,"",INDEX('contents 추가정보'!E:E,MATCH(B20,'contents 추가정보'!A:A,0),0))</f>
        <v/>
      </c>
      <c r="F20" s="229" t="str">
        <f>IFERROR(IF(INDEX(contents!C:C,MATCH(B20,contents!W:W,0)+1)="Sponsored","●",""),"")</f>
        <v/>
      </c>
      <c r="G20" s="230" t="str" cm="1">
        <f t="array" ref="G20">IF(INDEX('contents 추가정보'!C:C,MATCH(B20,'contents 추가정보'!A:A,0),0)=0,"",INDEX('contents 추가정보'!C:C,MATCH(B20,'contents 추가정보'!A:A,0),0))</f>
        <v/>
      </c>
      <c r="H20" s="228" t="str" cm="1">
        <f t="array" ref="H20">IF(INDEX('contents 추가정보'!D:D, MATCH(B20, 'contents 추가정보'!A:A, 0), 0)= 0, "",
INDEX('contents 추가정보'!D:D, MATCH(B20, 'contents 추가정보'!A:A, 0), 0))</f>
        <v/>
      </c>
      <c r="I20" s="228">
        <f>IFERROR(
INDEX(contents!$A$2:$AC$80,
MATCH('contents 장표'!$B20, contents!$W$2:$W$80, 0),
MATCH('contents 장표'!I$5, contents!$A$2:$AC$2, 0)),
"")</f>
        <v>4934</v>
      </c>
      <c r="J20" s="228">
        <f>IFERROR(
INDEX(contents!$A$2:$AC$80,
MATCH('contents 장표'!$B20, contents!$W$2:$W$80, 0),
MATCH('contents 장표'!J$5, contents!$A$2:$AC$2, 0)),
"")</f>
        <v>254</v>
      </c>
      <c r="K20" s="231">
        <f>IFERROR(
INDEX(contents!$A$2:$AC$80,
MATCH('contents 장표'!$B20, contents!$W$2:$W$80, 0),
MATCH('contents 장표'!K$5, contents!$A$2:$AC$2, 0)),
"")</f>
        <v>5.1479529589414597E-2</v>
      </c>
      <c r="L20" s="228">
        <f>IFERROR(
INDEX(contents!$A$2:$AC$80,
MATCH('contents 장표'!$B20, contents!$W$2:$W$80, 0),
MATCH('contents 장표'!L$5, contents!$A$2:$AC$2, 0)),
"")</f>
        <v>47</v>
      </c>
      <c r="M20" s="228">
        <f>IFERROR(
INDEX(contents!$A$2:$AC$80,
MATCH('contents 장표'!$B20, contents!$W$2:$W$80, 0),
MATCH('contents 장표'!M$5, contents!$A$2:$AC$2, 0)),
"")</f>
        <v>0</v>
      </c>
      <c r="N20" s="228">
        <f>IFERROR(
INDEX(contents!$A$2:$AC$80,
MATCH('contents 장표'!$B20, contents!$W$2:$W$80, 0),
MATCH('contents 장표'!N$5, contents!$A$2:$AC$2, 0)),
"")</f>
        <v>1</v>
      </c>
      <c r="O20" s="232" t="str">
        <f t="shared" si="0"/>
        <v/>
      </c>
      <c r="P20" s="272">
        <f>IFERROR(
INDEX(contents!$A$2:$AC$80,
MATCH('contents 장표'!$B20, contents!$W$2:$W$80, 0),
MATCH('contents 장표'!P$5, contents!$A$2:$AC$2, 0)),
"")</f>
        <v>6.1207944872314554E-2</v>
      </c>
      <c r="R20" t="str">
        <f t="shared" si="1"/>
        <v>X</v>
      </c>
    </row>
    <row r="21" spans="2:18">
      <c r="B21" s="226">
        <v>15</v>
      </c>
      <c r="C21" s="227" t="str">
        <f>IFERROR(TEXT(INDEX(contents!X:X,MATCH(B21,contents!W:W,0),0),"mm월 dd일"),"")</f>
        <v>09월 27일</v>
      </c>
      <c r="D21" s="228" t="str">
        <f>IFERROR(TEXT(INDEX(contents!X:X,MATCH(B21,contents!W:W,0),0),"aaa"),"")</f>
        <v>금</v>
      </c>
      <c r="E21" s="228" t="str" cm="1">
        <f t="array" ref="E21">IF(INDEX('contents 추가정보'!E:E,MATCH(B21,'contents 추가정보'!A:A,0),0)=0,"",INDEX('contents 추가정보'!E:E,MATCH(B21,'contents 추가정보'!A:A,0),0))</f>
        <v/>
      </c>
      <c r="F21" s="229" t="str">
        <f>IFERROR(IF(INDEX(contents!C:C,MATCH(B21,contents!W:W,0)+1)="Sponsored","●",""),"")</f>
        <v/>
      </c>
      <c r="G21" s="230" t="str" cm="1">
        <f t="array" ref="G21">IF(INDEX('contents 추가정보'!C:C,MATCH(B21,'contents 추가정보'!A:A,0),0)=0,"",INDEX('contents 추가정보'!C:C,MATCH(B21,'contents 추가정보'!A:A,0),0))</f>
        <v/>
      </c>
      <c r="H21" s="228" t="str" cm="1">
        <f t="array" ref="H21">IF(INDEX('contents 추가정보'!D:D, MATCH(B21, 'contents 추가정보'!A:A, 0), 0)= 0, "",
INDEX('contents 추가정보'!D:D, MATCH(B21, 'contents 추가정보'!A:A, 0), 0))</f>
        <v/>
      </c>
      <c r="I21" s="228">
        <f>IFERROR(
INDEX(contents!$A$2:$AC$80,
MATCH('contents 장표'!$B21, contents!$W$2:$W$80, 0),
MATCH('contents 장표'!I$5, contents!$A$2:$AC$2, 0)),
"")</f>
        <v>3881</v>
      </c>
      <c r="J21" s="228">
        <f>IFERROR(
INDEX(contents!$A$2:$AC$80,
MATCH('contents 장표'!$B21, contents!$W$2:$W$80, 0),
MATCH('contents 장표'!J$5, contents!$A$2:$AC$2, 0)),
"")</f>
        <v>167</v>
      </c>
      <c r="K21" s="231">
        <f>IFERROR(
INDEX(contents!$A$2:$AC$80,
MATCH('contents 장표'!$B21, contents!$W$2:$W$80, 0),
MATCH('contents 장표'!K$5, contents!$A$2:$AC$2, 0)),
"")</f>
        <v>4.3030146509408951E-2</v>
      </c>
      <c r="L21" s="228">
        <f>IFERROR(
INDEX(contents!$A$2:$AC$80,
MATCH('contents 장표'!$B21, contents!$W$2:$W$80, 0),
MATCH('contents 장표'!L$5, contents!$A$2:$AC$2, 0)),
"")</f>
        <v>61</v>
      </c>
      <c r="M21" s="228">
        <f>IFERROR(
INDEX(contents!$A$2:$AC$80,
MATCH('contents 장표'!$B21, contents!$W$2:$W$80, 0),
MATCH('contents 장표'!M$5, contents!$A$2:$AC$2, 0)),
"")</f>
        <v>0</v>
      </c>
      <c r="N21" s="228">
        <f>IFERROR(
INDEX(contents!$A$2:$AC$80,
MATCH('contents 장표'!$B21, contents!$W$2:$W$80, 0),
MATCH('contents 장표'!N$5, contents!$A$2:$AC$2, 0)),
"")</f>
        <v>1</v>
      </c>
      <c r="O21" s="232" t="str">
        <f t="shared" si="0"/>
        <v/>
      </c>
      <c r="P21" s="272">
        <f>IFERROR(
INDEX(contents!$A$2:$AC$80,
MATCH('contents 장표'!$B21, contents!$W$2:$W$80, 0),
MATCH('contents 장표'!P$5, contents!$A$2:$AC$2, 0)),
"")</f>
        <v>5.9005410976552437E-2</v>
      </c>
      <c r="R21" t="str">
        <f t="shared" si="1"/>
        <v>X</v>
      </c>
    </row>
    <row r="22" spans="2:18">
      <c r="B22" s="226">
        <v>16</v>
      </c>
      <c r="C22" s="227" t="str">
        <f>IFERROR(TEXT(INDEX(contents!X:X,MATCH(B22,contents!W:W,0),0),"mm월 dd일"),"")</f>
        <v>09월 02일</v>
      </c>
      <c r="D22" s="228" t="str">
        <f>IFERROR(TEXT(INDEX(contents!X:X,MATCH(B22,contents!W:W,0),0),"aaa"),"")</f>
        <v>월</v>
      </c>
      <c r="E22" s="228" t="str" cm="1">
        <f t="array" ref="E22">IF(INDEX('contents 추가정보'!E:E,MATCH(B22,'contents 추가정보'!A:A,0),0)=0,"",INDEX('contents 추가정보'!E:E,MATCH(B22,'contents 추가정보'!A:A,0),0))</f>
        <v/>
      </c>
      <c r="F22" s="229" t="str">
        <f>IFERROR(IF(INDEX(contents!C:C,MATCH(B22,contents!W:W,0)+1)="Sponsored","●",""),"")</f>
        <v/>
      </c>
      <c r="G22" s="230" t="str" cm="1">
        <f t="array" ref="G22">IF(INDEX('contents 추가정보'!C:C,MATCH(B22,'contents 추가정보'!A:A,0),0)=0,"",INDEX('contents 추가정보'!C:C,MATCH(B22,'contents 추가정보'!A:A,0),0))</f>
        <v/>
      </c>
      <c r="H22" s="228" t="str" cm="1">
        <f t="array" ref="H22">IF(INDEX('contents 추가정보'!D:D, MATCH(B22, 'contents 추가정보'!A:A, 0), 0)= 0, "",
INDEX('contents 추가정보'!D:D, MATCH(B22, 'contents 추가정보'!A:A, 0), 0))</f>
        <v/>
      </c>
      <c r="I22" s="228">
        <f>IFERROR(
INDEX(contents!$A$2:$AC$80,
MATCH('contents 장표'!$B22, contents!$W$2:$W$80, 0),
MATCH('contents 장표'!I$5, contents!$A$2:$AC$2, 0)),
"")</f>
        <v>2703</v>
      </c>
      <c r="J22" s="228">
        <f>IFERROR(
INDEX(contents!$A$2:$AC$80,
MATCH('contents 장표'!$B22, contents!$W$2:$W$80, 0),
MATCH('contents 장표'!J$5, contents!$A$2:$AC$2, 0)),
"")</f>
        <v>133</v>
      </c>
      <c r="K22" s="231">
        <f>IFERROR(
INDEX(contents!$A$2:$AC$80,
MATCH('contents 장표'!$B22, contents!$W$2:$W$80, 0),
MATCH('contents 장표'!K$5, contents!$A$2:$AC$2, 0)),
"")</f>
        <v>4.9204587936401367E-2</v>
      </c>
      <c r="L22" s="228">
        <f>IFERROR(
INDEX(contents!$A$2:$AC$80,
MATCH('contents 장표'!$B22, contents!$W$2:$W$80, 0),
MATCH('contents 장표'!L$5, contents!$A$2:$AC$2, 0)),
"")</f>
        <v>24</v>
      </c>
      <c r="M22" s="228">
        <f>IFERROR(
INDEX(contents!$A$2:$AC$80,
MATCH('contents 장표'!$B22, contents!$W$2:$W$80, 0),
MATCH('contents 장표'!M$5, contents!$A$2:$AC$2, 0)),
"")</f>
        <v>0</v>
      </c>
      <c r="N22" s="228">
        <f>IFERROR(
INDEX(contents!$A$2:$AC$80,
MATCH('contents 장표'!$B22, contents!$W$2:$W$80, 0),
MATCH('contents 장표'!N$5, contents!$A$2:$AC$2, 0)),
"")</f>
        <v>0</v>
      </c>
      <c r="O22" s="232" t="str">
        <f t="shared" si="0"/>
        <v/>
      </c>
      <c r="P22" s="272">
        <f>IFERROR(
INDEX(contents!$A$2:$AC$80,
MATCH('contents 장표'!$B22, contents!$W$2:$W$80, 0),
MATCH('contents 장표'!P$5, contents!$A$2:$AC$2, 0)),
"")</f>
        <v>5.8083610802811693E-2</v>
      </c>
      <c r="R22" t="str">
        <f t="shared" si="1"/>
        <v>X</v>
      </c>
    </row>
    <row r="23" spans="2:18">
      <c r="B23" s="226">
        <v>17</v>
      </c>
      <c r="C23" s="227" t="str">
        <f>IFERROR(TEXT(INDEX(contents!X:X,MATCH(B23,contents!W:W,0),0),"mm월 dd일"),"")</f>
        <v>09월 03일</v>
      </c>
      <c r="D23" s="228" t="str">
        <f>IFERROR(TEXT(INDEX(contents!X:X,MATCH(B23,contents!W:W,0),0),"aaa"),"")</f>
        <v>화</v>
      </c>
      <c r="E23" s="228" t="str" cm="1">
        <f t="array" ref="E23">IF(INDEX('contents 추가정보'!E:E,MATCH(B23,'contents 추가정보'!A:A,0),0)=0,"",INDEX('contents 추가정보'!E:E,MATCH(B23,'contents 추가정보'!A:A,0),0))</f>
        <v/>
      </c>
      <c r="F23" s="229" t="str">
        <f>IFERROR(IF(INDEX(contents!C:C,MATCH(B23,contents!W:W,0)+1)="Sponsored","●",""),"")</f>
        <v/>
      </c>
      <c r="G23" s="230" t="str" cm="1">
        <f t="array" ref="G23">IF(INDEX('contents 추가정보'!C:C,MATCH(B23,'contents 추가정보'!A:A,0),0)=0,"",INDEX('contents 추가정보'!C:C,MATCH(B23,'contents 추가정보'!A:A,0),0))</f>
        <v/>
      </c>
      <c r="H23" s="228" t="str" cm="1">
        <f t="array" ref="H23">IF(INDEX('contents 추가정보'!D:D, MATCH(B23, 'contents 추가정보'!A:A, 0), 0)= 0, "",
INDEX('contents 추가정보'!D:D, MATCH(B23, 'contents 추가정보'!A:A, 0), 0))</f>
        <v/>
      </c>
      <c r="I23" s="228">
        <f>IFERROR(
INDEX(contents!$A$2:$AC$80,
MATCH('contents 장표'!$B23, contents!$W$2:$W$80, 0),
MATCH('contents 장표'!I$5, contents!$A$2:$AC$2, 0)),
"")</f>
        <v>4782</v>
      </c>
      <c r="J23" s="228">
        <f>IFERROR(
INDEX(contents!$A$2:$AC$80,
MATCH('contents 장표'!$B23, contents!$W$2:$W$80, 0),
MATCH('contents 장표'!J$5, contents!$A$2:$AC$2, 0)),
"")</f>
        <v>202</v>
      </c>
      <c r="K23" s="231">
        <f>IFERROR(
INDEX(contents!$A$2:$AC$80,
MATCH('contents 장표'!$B23, contents!$W$2:$W$80, 0),
MATCH('contents 장표'!K$5, contents!$A$2:$AC$2, 0)),
"")</f>
        <v>4.2241740971803665E-2</v>
      </c>
      <c r="L23" s="228">
        <f>IFERROR(
INDEX(contents!$A$2:$AC$80,
MATCH('contents 장표'!$B23, contents!$W$2:$W$80, 0),
MATCH('contents 장표'!L$5, contents!$A$2:$AC$2, 0)),
"")</f>
        <v>57</v>
      </c>
      <c r="M23" s="228">
        <f>IFERROR(
INDEX(contents!$A$2:$AC$80,
MATCH('contents 장표'!$B23, contents!$W$2:$W$80, 0),
MATCH('contents 장표'!M$5, contents!$A$2:$AC$2, 0)),
"")</f>
        <v>0</v>
      </c>
      <c r="N23" s="228">
        <f>IFERROR(
INDEX(contents!$A$2:$AC$80,
MATCH('contents 장표'!$B23, contents!$W$2:$W$80, 0),
MATCH('contents 장표'!N$5, contents!$A$2:$AC$2, 0)),
"")</f>
        <v>4</v>
      </c>
      <c r="O23" s="232" t="str">
        <f t="shared" si="0"/>
        <v/>
      </c>
      <c r="P23" s="272">
        <f>IFERROR(
INDEX(contents!$A$2:$AC$80,
MATCH('contents 장표'!$B23, contents!$W$2:$W$80, 0),
MATCH('contents 장표'!P$5, contents!$A$2:$AC$2, 0)),
"")</f>
        <v>5.4997908824759516E-2</v>
      </c>
      <c r="R23" t="str">
        <f t="shared" si="1"/>
        <v>X</v>
      </c>
    </row>
    <row r="24" spans="2:18">
      <c r="B24" s="226">
        <v>18</v>
      </c>
      <c r="C24" s="227" t="str">
        <f>IFERROR(TEXT(INDEX(contents!X:X,MATCH(B24,contents!W:W,0),0),"mm월 dd일"),"")</f>
        <v>09월 24일</v>
      </c>
      <c r="D24" s="228" t="str">
        <f>IFERROR(TEXT(INDEX(contents!X:X,MATCH(B24,contents!W:W,0),0),"aaa"),"")</f>
        <v>화</v>
      </c>
      <c r="E24" s="228" t="str" cm="1">
        <f t="array" ref="E24">IF(INDEX('contents 추가정보'!E:E,MATCH(B24,'contents 추가정보'!A:A,0),0)=0,"",INDEX('contents 추가정보'!E:E,MATCH(B24,'contents 추가정보'!A:A,0),0))</f>
        <v/>
      </c>
      <c r="F24" s="229" t="str">
        <f>IFERROR(IF(INDEX(contents!C:C,MATCH(B24,contents!W:W,0)+1)="Sponsored","●",""),"")</f>
        <v/>
      </c>
      <c r="G24" s="230" t="str" cm="1">
        <f t="array" ref="G24">IF(INDEX('contents 추가정보'!C:C,MATCH(B24,'contents 추가정보'!A:A,0),0)=0,"",INDEX('contents 추가정보'!C:C,MATCH(B24,'contents 추가정보'!A:A,0),0))</f>
        <v/>
      </c>
      <c r="H24" s="228" t="str" cm="1">
        <f t="array" ref="H24">IF(INDEX('contents 추가정보'!D:D, MATCH(B24, 'contents 추가정보'!A:A, 0), 0)= 0, "",
INDEX('contents 추가정보'!D:D, MATCH(B24, 'contents 추가정보'!A:A, 0), 0))</f>
        <v/>
      </c>
      <c r="I24" s="228">
        <f>IFERROR(
INDEX(contents!$A$2:$AC$80,
MATCH('contents 장표'!$B24, contents!$W$2:$W$80, 0),
MATCH('contents 장표'!I$5, contents!$A$2:$AC$2, 0)),
"")</f>
        <v>3721</v>
      </c>
      <c r="J24" s="228">
        <f>IFERROR(
INDEX(contents!$A$2:$AC$80,
MATCH('contents 장표'!$B24, contents!$W$2:$W$80, 0),
MATCH('contents 장표'!J$5, contents!$A$2:$AC$2, 0)),
"")</f>
        <v>156</v>
      </c>
      <c r="K24" s="231">
        <f>IFERROR(
INDEX(contents!$A$2:$AC$80,
MATCH('contents 장표'!$B24, contents!$W$2:$W$80, 0),
MATCH('contents 장표'!K$5, contents!$A$2:$AC$2, 0)),
"")</f>
        <v>4.1924212127923965E-2</v>
      </c>
      <c r="L24" s="228">
        <f>IFERROR(
INDEX(contents!$A$2:$AC$80,
MATCH('contents 장표'!$B24, contents!$W$2:$W$80, 0),
MATCH('contents 장표'!L$5, contents!$A$2:$AC$2, 0)),
"")</f>
        <v>40</v>
      </c>
      <c r="M24" s="228">
        <f>IFERROR(
INDEX(contents!$A$2:$AC$80,
MATCH('contents 장표'!$B24, contents!$W$2:$W$80, 0),
MATCH('contents 장표'!M$5, contents!$A$2:$AC$2, 0)),
"")</f>
        <v>0</v>
      </c>
      <c r="N24" s="228">
        <f>IFERROR(
INDEX(contents!$A$2:$AC$80,
MATCH('contents 장표'!$B24, contents!$W$2:$W$80, 0),
MATCH('contents 장표'!N$5, contents!$A$2:$AC$2, 0)),
"")</f>
        <v>1</v>
      </c>
      <c r="O24" s="232" t="str">
        <f t="shared" si="0"/>
        <v/>
      </c>
      <c r="P24" s="272">
        <f>IFERROR(
INDEX(contents!$A$2:$AC$80,
MATCH('contents 장표'!$B24, contents!$W$2:$W$80, 0),
MATCH('contents 장표'!P$5, contents!$A$2:$AC$2, 0)),
"")</f>
        <v>5.2942757323300185E-2</v>
      </c>
      <c r="R24" t="str">
        <f t="shared" si="1"/>
        <v>X</v>
      </c>
    </row>
    <row r="25" spans="2:18">
      <c r="B25" s="226">
        <v>19</v>
      </c>
      <c r="C25" s="227" t="str">
        <f>IFERROR(TEXT(INDEX(contents!X:X,MATCH(B25,contents!W:W,0),0),"mm월 dd일"),"")</f>
        <v>09월 25일</v>
      </c>
      <c r="D25" s="228" t="str">
        <f>IFERROR(TEXT(INDEX(contents!X:X,MATCH(B25,contents!W:W,0),0),"aaa"),"")</f>
        <v>수</v>
      </c>
      <c r="E25" s="228" t="str" cm="1">
        <f t="array" ref="E25">IF(INDEX('contents 추가정보'!E:E,MATCH(B25,'contents 추가정보'!A:A,0),0)=0,"",INDEX('contents 추가정보'!E:E,MATCH(B25,'contents 추가정보'!A:A,0),0))</f>
        <v/>
      </c>
      <c r="F25" s="229" t="str">
        <f>IFERROR(IF(INDEX(contents!C:C,MATCH(B25,contents!W:W,0)+1)="Sponsored","●",""),"")</f>
        <v/>
      </c>
      <c r="G25" s="230" t="str" cm="1">
        <f t="array" ref="G25">IF(INDEX('contents 추가정보'!C:C,MATCH(B25,'contents 추가정보'!A:A,0),0)=0,"",INDEX('contents 추가정보'!C:C,MATCH(B25,'contents 추가정보'!A:A,0),0))</f>
        <v/>
      </c>
      <c r="H25" s="228" t="str" cm="1">
        <f t="array" ref="H25">IF(INDEX('contents 추가정보'!D:D, MATCH(B25, 'contents 추가정보'!A:A, 0), 0)= 0, "",
INDEX('contents 추가정보'!D:D, MATCH(B25, 'contents 추가정보'!A:A, 0), 0))</f>
        <v/>
      </c>
      <c r="I25" s="228">
        <f>IFERROR(
INDEX(contents!$A$2:$AC$80,
MATCH('contents 장표'!$B25, contents!$W$2:$W$80, 0),
MATCH('contents 장표'!I$5, contents!$A$2:$AC$2, 0)),
"")</f>
        <v>2058</v>
      </c>
      <c r="J25" s="228">
        <f>IFERROR(
INDEX(contents!$A$2:$AC$80,
MATCH('contents 장표'!$B25, contents!$W$2:$W$80, 0),
MATCH('contents 장표'!J$5, contents!$A$2:$AC$2, 0)),
"")</f>
        <v>70</v>
      </c>
      <c r="K25" s="231">
        <f>IFERROR(
INDEX(contents!$A$2:$AC$80,
MATCH('contents 장표'!$B25, contents!$W$2:$W$80, 0),
MATCH('contents 장표'!K$5, contents!$A$2:$AC$2, 0)),
"")</f>
        <v>3.4013606607913971E-2</v>
      </c>
      <c r="L25" s="228">
        <f>IFERROR(
INDEX(contents!$A$2:$AC$80,
MATCH('contents 장표'!$B25, contents!$W$2:$W$80, 0),
MATCH('contents 장표'!L$5, contents!$A$2:$AC$2, 0)),
"")</f>
        <v>28</v>
      </c>
      <c r="M25" s="228">
        <f>IFERROR(
INDEX(contents!$A$2:$AC$80,
MATCH('contents 장표'!$B25, contents!$W$2:$W$80, 0),
MATCH('contents 장표'!M$5, contents!$A$2:$AC$2, 0)),
"")</f>
        <v>4</v>
      </c>
      <c r="N25" s="228">
        <f>IFERROR(
INDEX(contents!$A$2:$AC$80,
MATCH('contents 장표'!$B25, contents!$W$2:$W$80, 0),
MATCH('contents 장표'!N$5, contents!$A$2:$AC$2, 0)),
"")</f>
        <v>1</v>
      </c>
      <c r="O25" s="232" t="str">
        <f t="shared" si="0"/>
        <v/>
      </c>
      <c r="P25" s="272">
        <f>IFERROR(
INDEX(contents!$A$2:$AC$80,
MATCH('contents 장표'!$B25, contents!$W$2:$W$80, 0),
MATCH('contents 장표'!P$5, contents!$A$2:$AC$2, 0)),
"")</f>
        <v>5.0048590864917399E-2</v>
      </c>
      <c r="R25" t="str">
        <f t="shared" si="1"/>
        <v>X</v>
      </c>
    </row>
    <row r="26" spans="2:18">
      <c r="B26" s="226">
        <v>20</v>
      </c>
      <c r="C26" s="227" t="str">
        <f>IFERROR(TEXT(INDEX(contents!X:X,MATCH(B26,contents!W:W,0),0),"mm월 dd일"),"")</f>
        <v>09월 06일</v>
      </c>
      <c r="D26" s="228" t="str">
        <f>IFERROR(TEXT(INDEX(contents!X:X,MATCH(B26,contents!W:W,0),0),"aaa"),"")</f>
        <v>금</v>
      </c>
      <c r="E26" s="228" t="str" cm="1">
        <f t="array" ref="E26">IF(INDEX('contents 추가정보'!E:E,MATCH(B26,'contents 추가정보'!A:A,0),0)=0,"",INDEX('contents 추가정보'!E:E,MATCH(B26,'contents 추가정보'!A:A,0),0))</f>
        <v/>
      </c>
      <c r="F26" s="229" t="str">
        <f>IFERROR(IF(INDEX(contents!C:C,MATCH(B26,contents!W:W,0)+1)="Sponsored","●",""),"")</f>
        <v/>
      </c>
      <c r="G26" s="230" t="str" cm="1">
        <f t="array" ref="G26">IF(INDEX('contents 추가정보'!C:C,MATCH(B26,'contents 추가정보'!A:A,0),0)=0,"",INDEX('contents 추가정보'!C:C,MATCH(B26,'contents 추가정보'!A:A,0),0))</f>
        <v/>
      </c>
      <c r="H26" s="228" t="str" cm="1">
        <f t="array" ref="H26">IF(INDEX('contents 추가정보'!D:D, MATCH(B26, 'contents 추가정보'!A:A, 0), 0)= 0, "",
INDEX('contents 추가정보'!D:D, MATCH(B26, 'contents 추가정보'!A:A, 0), 0))</f>
        <v/>
      </c>
      <c r="I26" s="228">
        <f>IFERROR(
INDEX(contents!$A$2:$AC$80,
MATCH('contents 장표'!$B26, contents!$W$2:$W$80, 0),
MATCH('contents 장표'!I$5, contents!$A$2:$AC$2, 0)),
"")</f>
        <v>4670</v>
      </c>
      <c r="J26" s="228">
        <f>IFERROR(
INDEX(contents!$A$2:$AC$80,
MATCH('contents 장표'!$B26, contents!$W$2:$W$80, 0),
MATCH('contents 장표'!J$5, contents!$A$2:$AC$2, 0)),
"")</f>
        <v>157</v>
      </c>
      <c r="K26" s="231">
        <f>IFERROR(
INDEX(contents!$A$2:$AC$80,
MATCH('contents 장표'!$B26, contents!$W$2:$W$80, 0),
MATCH('contents 장표'!K$5, contents!$A$2:$AC$2, 0)),
"")</f>
        <v>3.3618845045566559E-2</v>
      </c>
      <c r="L26" s="228">
        <f>IFERROR(
INDEX(contents!$A$2:$AC$80,
MATCH('contents 장표'!$B26, contents!$W$2:$W$80, 0),
MATCH('contents 장표'!L$5, contents!$A$2:$AC$2, 0)),
"")</f>
        <v>65</v>
      </c>
      <c r="M26" s="228">
        <f>IFERROR(
INDEX(contents!$A$2:$AC$80,
MATCH('contents 장표'!$B26, contents!$W$2:$W$80, 0),
MATCH('contents 장표'!M$5, contents!$A$2:$AC$2, 0)),
"")</f>
        <v>0</v>
      </c>
      <c r="N26" s="228">
        <f>IFERROR(
INDEX(contents!$A$2:$AC$80,
MATCH('contents 장표'!$B26, contents!$W$2:$W$80, 0),
MATCH('contents 장표'!N$5, contents!$A$2:$AC$2, 0)),
"")</f>
        <v>3</v>
      </c>
      <c r="O26" s="232" t="str">
        <f t="shared" si="0"/>
        <v/>
      </c>
      <c r="P26" s="272">
        <f>IFERROR(
INDEX(contents!$A$2:$AC$80,
MATCH('contents 장표'!$B26, contents!$W$2:$W$80, 0),
MATCH('contents 장표'!P$5, contents!$A$2:$AC$2, 0)),
"")</f>
        <v>4.8179871520342615E-2</v>
      </c>
      <c r="R26" t="str">
        <f t="shared" si="1"/>
        <v>X</v>
      </c>
    </row>
    <row r="27" spans="2:18">
      <c r="B27" s="226">
        <v>21</v>
      </c>
      <c r="C27" s="227" t="str">
        <f>IFERROR(TEXT(INDEX(contents!X:X,MATCH(B27,contents!W:W,0),0),"mm월 dd일"),"")</f>
        <v>09월 03일</v>
      </c>
      <c r="D27" s="228" t="str">
        <f>IFERROR(TEXT(INDEX(contents!X:X,MATCH(B27,contents!W:W,0),0),"aaa"),"")</f>
        <v>화</v>
      </c>
      <c r="E27" s="228" t="str" cm="1">
        <f t="array" ref="E27">IF(INDEX('contents 추가정보'!E:E,MATCH(B27,'contents 추가정보'!A:A,0),0)=0,"",INDEX('contents 추가정보'!E:E,MATCH(B27,'contents 추가정보'!A:A,0),0))</f>
        <v/>
      </c>
      <c r="F27" s="229" t="str">
        <f>IFERROR(IF(INDEX(contents!C:C,MATCH(B27,contents!W:W,0)+1)="Sponsored","●",""),"")</f>
        <v/>
      </c>
      <c r="G27" s="230" t="str" cm="1">
        <f t="array" ref="G27">IF(INDEX('contents 추가정보'!C:C,MATCH(B27,'contents 추가정보'!A:A,0),0)=0,"",INDEX('contents 추가정보'!C:C,MATCH(B27,'contents 추가정보'!A:A,0),0))</f>
        <v/>
      </c>
      <c r="H27" s="228" t="str" cm="1">
        <f t="array" ref="H27">IF(INDEX('contents 추가정보'!D:D, MATCH(B27, 'contents 추가정보'!A:A, 0), 0)= 0, "",
INDEX('contents 추가정보'!D:D, MATCH(B27, 'contents 추가정보'!A:A, 0), 0))</f>
        <v/>
      </c>
      <c r="I27" s="228">
        <f>IFERROR(
INDEX(contents!$A$2:$AC$80,
MATCH('contents 장표'!$B27, contents!$W$2:$W$80, 0),
MATCH('contents 장표'!I$5, contents!$A$2:$AC$2, 0)),
"")</f>
        <v>7597</v>
      </c>
      <c r="J27" s="228">
        <f>IFERROR(
INDEX(contents!$A$2:$AC$80,
MATCH('contents 장표'!$B27, contents!$W$2:$W$80, 0),
MATCH('contents 장표'!J$5, contents!$A$2:$AC$2, 0)),
"")</f>
        <v>277</v>
      </c>
      <c r="K27" s="231">
        <f>IFERROR(
INDEX(contents!$A$2:$AC$80,
MATCH('contents 장표'!$B27, contents!$W$2:$W$80, 0),
MATCH('contents 장표'!K$5, contents!$A$2:$AC$2, 0)),
"")</f>
        <v>3.6461763083934784E-2</v>
      </c>
      <c r="L27" s="228">
        <f>IFERROR(
INDEX(contents!$A$2:$AC$80,
MATCH('contents 장표'!$B27, contents!$W$2:$W$80, 0),
MATCH('contents 장표'!L$5, contents!$A$2:$AC$2, 0)),
"")</f>
        <v>63</v>
      </c>
      <c r="M27" s="228">
        <f>IFERROR(
INDEX(contents!$A$2:$AC$80,
MATCH('contents 장표'!$B27, contents!$W$2:$W$80, 0),
MATCH('contents 장표'!M$5, contents!$A$2:$AC$2, 0)),
"")</f>
        <v>1</v>
      </c>
      <c r="N27" s="228">
        <f>IFERROR(
INDEX(contents!$A$2:$AC$80,
MATCH('contents 장표'!$B27, contents!$W$2:$W$80, 0),
MATCH('contents 장표'!N$5, contents!$A$2:$AC$2, 0)),
"")</f>
        <v>1</v>
      </c>
      <c r="O27" s="232" t="str">
        <f t="shared" si="0"/>
        <v/>
      </c>
      <c r="P27" s="272">
        <f>IFERROR(
INDEX(contents!$A$2:$AC$80,
MATCH('contents 장표'!$B27, contents!$W$2:$W$80, 0),
MATCH('contents 장표'!P$5, contents!$A$2:$AC$2, 0)),
"")</f>
        <v>4.5017770172436487E-2</v>
      </c>
      <c r="R27" t="str">
        <f t="shared" si="1"/>
        <v>X</v>
      </c>
    </row>
    <row r="28" spans="2:18">
      <c r="B28" s="233">
        <v>22</v>
      </c>
      <c r="C28" s="227" t="str">
        <f>IFERROR(TEXT(INDEX(contents!X:X,MATCH(B28,contents!W:W,0),0),"mm월 dd일"),"")</f>
        <v>09월 13일</v>
      </c>
      <c r="D28" s="228" t="str">
        <f>IFERROR(TEXT(INDEX(contents!X:X,MATCH(B28,contents!W:W,0),0),"aaa"),"")</f>
        <v>금</v>
      </c>
      <c r="E28" s="228" t="str" cm="1">
        <f t="array" ref="E28">IF(INDEX('contents 추가정보'!E:E,MATCH(B28,'contents 추가정보'!A:A,0),0)=0,"",INDEX('contents 추가정보'!E:E,MATCH(B28,'contents 추가정보'!A:A,0),0))</f>
        <v/>
      </c>
      <c r="F28" s="229" t="str">
        <f>IFERROR(IF(INDEX(contents!C:C,MATCH(B28,contents!W:W,0)+1)="Sponsored","●",""),"")</f>
        <v/>
      </c>
      <c r="G28" s="230" t="str" cm="1">
        <f t="array" ref="G28">IF(INDEX('contents 추가정보'!C:C,MATCH(B28,'contents 추가정보'!A:A,0),0)=0,"",INDEX('contents 추가정보'!C:C,MATCH(B28,'contents 추가정보'!A:A,0),0))</f>
        <v/>
      </c>
      <c r="H28" s="228" t="str" cm="1">
        <f t="array" ref="H28">IF(INDEX('contents 추가정보'!D:D, MATCH(B28, 'contents 추가정보'!A:A, 0), 0)= 0, "",
INDEX('contents 추가정보'!D:D, MATCH(B28, 'contents 추가정보'!A:A, 0), 0))</f>
        <v/>
      </c>
      <c r="I28" s="228">
        <f>IFERROR(
INDEX(contents!$A$2:$AC$80,
MATCH('contents 장표'!$B28, contents!$W$2:$W$80, 0),
MATCH('contents 장표'!I$5, contents!$A$2:$AC$2, 0)),
"")</f>
        <v>4652</v>
      </c>
      <c r="J28" s="228">
        <f>IFERROR(
INDEX(contents!$A$2:$AC$80,
MATCH('contents 장표'!$B28, contents!$W$2:$W$80, 0),
MATCH('contents 장표'!J$5, contents!$A$2:$AC$2, 0)),
"")</f>
        <v>145</v>
      </c>
      <c r="K28" s="231">
        <f>IFERROR(
INDEX(contents!$A$2:$AC$80,
MATCH('contents 장표'!$B28, contents!$W$2:$W$80, 0),
MATCH('contents 장표'!K$5, contents!$A$2:$AC$2, 0)),
"")</f>
        <v>3.1169390305876732E-2</v>
      </c>
      <c r="L28" s="228">
        <f>IFERROR(
INDEX(contents!$A$2:$AC$80,
MATCH('contents 장표'!$B28, contents!$W$2:$W$80, 0),
MATCH('contents 장표'!L$5, contents!$A$2:$AC$2, 0)),
"")</f>
        <v>58</v>
      </c>
      <c r="M28" s="228">
        <f>IFERROR(
INDEX(contents!$A$2:$AC$80,
MATCH('contents 장표'!$B28, contents!$W$2:$W$80, 0),
MATCH('contents 장표'!M$5, contents!$A$2:$AC$2, 0)),
"")</f>
        <v>0</v>
      </c>
      <c r="N28" s="228">
        <f>IFERROR(
INDEX(contents!$A$2:$AC$80,
MATCH('contents 장표'!$B28, contents!$W$2:$W$80, 0),
MATCH('contents 장표'!N$5, contents!$A$2:$AC$2, 0)),
"")</f>
        <v>4</v>
      </c>
      <c r="O28" s="232" t="str">
        <f t="shared" si="0"/>
        <v/>
      </c>
      <c r="P28" s="272">
        <f>IFERROR(
INDEX(contents!$A$2:$AC$80,
MATCH('contents 장표'!$B28, contents!$W$2:$W$80, 0),
MATCH('contents 장표'!P$5, contents!$A$2:$AC$2, 0)),
"")</f>
        <v>4.4496990541702496E-2</v>
      </c>
      <c r="R28" t="str">
        <f t="shared" si="1"/>
        <v>X</v>
      </c>
    </row>
    <row r="29" spans="2:18">
      <c r="B29" s="226">
        <v>23</v>
      </c>
      <c r="C29" s="227" t="str">
        <f>IFERROR(TEXT(INDEX(contents!X:X,MATCH(B29,contents!W:W,0),0),"mm월 dd일"),"")</f>
        <v>09월 13일</v>
      </c>
      <c r="D29" s="228" t="str">
        <f>IFERROR(TEXT(INDEX(contents!X:X,MATCH(B29,contents!W:W,0),0),"aaa"),"")</f>
        <v>금</v>
      </c>
      <c r="E29" s="228" t="str" cm="1">
        <f t="array" ref="E29">IF(INDEX('contents 추가정보'!E:E,MATCH(B29,'contents 추가정보'!A:A,0),0)=0,"",INDEX('contents 추가정보'!E:E,MATCH(B29,'contents 추가정보'!A:A,0),0))</f>
        <v/>
      </c>
      <c r="F29" s="229" t="str">
        <f>IFERROR(IF(INDEX(contents!C:C,MATCH(B29,contents!W:W,0)+1)="Sponsored","●",""),"")</f>
        <v/>
      </c>
      <c r="G29" s="230" t="str" cm="1">
        <f t="array" ref="G29">IF(INDEX('contents 추가정보'!C:C,MATCH(B29,'contents 추가정보'!A:A,0),0)=0,"",INDEX('contents 추가정보'!C:C,MATCH(B29,'contents 추가정보'!A:A,0),0))</f>
        <v/>
      </c>
      <c r="H29" s="228" t="str" cm="1">
        <f t="array" ref="H29">IF(INDEX('contents 추가정보'!D:D, MATCH(B29, 'contents 추가정보'!A:A, 0), 0)= 0, "",
INDEX('contents 추가정보'!D:D, MATCH(B29, 'contents 추가정보'!A:A, 0), 0))</f>
        <v/>
      </c>
      <c r="I29" s="228">
        <f>IFERROR(
INDEX(contents!$A$2:$AC$80,
MATCH('contents 장표'!$B29, contents!$W$2:$W$80, 0),
MATCH('contents 장표'!I$5, contents!$A$2:$AC$2, 0)),
"")</f>
        <v>4602</v>
      </c>
      <c r="J29" s="228">
        <f>IFERROR(
INDEX(contents!$A$2:$AC$80,
MATCH('contents 장표'!$B29, contents!$W$2:$W$80, 0),
MATCH('contents 장표'!J$5, contents!$A$2:$AC$2, 0)),
"")</f>
        <v>128</v>
      </c>
      <c r="K29" s="231">
        <f>IFERROR(
INDEX(contents!$A$2:$AC$80,
MATCH('contents 장표'!$B29, contents!$W$2:$W$80, 0),
MATCH('contents 장표'!K$5, contents!$A$2:$AC$2, 0)),
"")</f>
        <v>2.7813993394374847E-2</v>
      </c>
      <c r="L29" s="228">
        <f>IFERROR(
INDEX(contents!$A$2:$AC$80,
MATCH('contents 장표'!$B29, contents!$W$2:$W$80, 0),
MATCH('contents 장표'!L$5, contents!$A$2:$AC$2, 0)),
"")</f>
        <v>46</v>
      </c>
      <c r="M29" s="228">
        <f>IFERROR(
INDEX(contents!$A$2:$AC$80,
MATCH('contents 장표'!$B29, contents!$W$2:$W$80, 0),
MATCH('contents 장표'!M$5, contents!$A$2:$AC$2, 0)),
"")</f>
        <v>0</v>
      </c>
      <c r="N29" s="228">
        <f>IFERROR(
INDEX(contents!$A$2:$AC$80,
MATCH('contents 장표'!$B29, contents!$W$2:$W$80, 0),
MATCH('contents 장표'!N$5, contents!$A$2:$AC$2, 0)),
"")</f>
        <v>2</v>
      </c>
      <c r="O29" s="232" t="str">
        <f t="shared" si="0"/>
        <v/>
      </c>
      <c r="P29" s="272">
        <f>IFERROR(
INDEX(contents!$A$2:$AC$80,
MATCH('contents 장표'!$B29, contents!$W$2:$W$80, 0),
MATCH('contents 장표'!P$5, contents!$A$2:$AC$2, 0)),
"")</f>
        <v>3.824424163407214E-2</v>
      </c>
      <c r="R29" t="str">
        <f t="shared" si="1"/>
        <v>X</v>
      </c>
    </row>
    <row r="30" spans="2:18">
      <c r="B30" s="233">
        <v>24</v>
      </c>
      <c r="C30" s="227" t="str">
        <f>IFERROR(TEXT(INDEX(contents!X:X,MATCH(B30,contents!W:W,0),0),"mm월 dd일"),"")</f>
        <v>09월 05일</v>
      </c>
      <c r="D30" s="228" t="str">
        <f>IFERROR(TEXT(INDEX(contents!X:X,MATCH(B30,contents!W:W,0),0),"aaa"),"")</f>
        <v>목</v>
      </c>
      <c r="E30" s="228" t="str" cm="1">
        <f t="array" ref="E30">IF(INDEX('contents 추가정보'!E:E,MATCH(B30,'contents 추가정보'!A:A,0),0)=0,"",INDEX('contents 추가정보'!E:E,MATCH(B30,'contents 추가정보'!A:A,0),0))</f>
        <v/>
      </c>
      <c r="F30" s="229" t="str">
        <f>IFERROR(IF(INDEX(contents!C:C,MATCH(B30,contents!W:W,0)+1)="Sponsored","●",""),"")</f>
        <v/>
      </c>
      <c r="G30" s="230" t="str" cm="1">
        <f t="array" ref="G30">IF(INDEX('contents 추가정보'!C:C,MATCH(B30,'contents 추가정보'!A:A,0),0)=0,"",INDEX('contents 추가정보'!C:C,MATCH(B30,'contents 추가정보'!A:A,0),0))</f>
        <v/>
      </c>
      <c r="H30" s="228" t="str" cm="1">
        <f t="array" ref="H30">IF(INDEX('contents 추가정보'!D:D, MATCH(B30, 'contents 추가정보'!A:A, 0), 0)= 0, "",
INDEX('contents 추가정보'!D:D, MATCH(B30, 'contents 추가정보'!A:A, 0), 0))</f>
        <v/>
      </c>
      <c r="I30" s="228">
        <f>IFERROR(
INDEX(contents!$A$2:$AC$80,
MATCH('contents 장표'!$B30, contents!$W$2:$W$80, 0),
MATCH('contents 장표'!I$5, contents!$A$2:$AC$2, 0)),
"")</f>
        <v>4497</v>
      </c>
      <c r="J30" s="228">
        <f>IFERROR(
INDEX(contents!$A$2:$AC$80,
MATCH('contents 장표'!$B30, contents!$W$2:$W$80, 0),
MATCH('contents 장표'!J$5, contents!$A$2:$AC$2, 0)),
"")</f>
        <v>95</v>
      </c>
      <c r="K30" s="231">
        <f>IFERROR(
INDEX(contents!$A$2:$AC$80,
MATCH('contents 장표'!$B30, contents!$W$2:$W$80, 0),
MATCH('contents 장표'!K$5, contents!$A$2:$AC$2, 0)),
"")</f>
        <v>2.1125193685293198E-2</v>
      </c>
      <c r="L30" s="228">
        <f>IFERROR(
INDEX(contents!$A$2:$AC$80,
MATCH('contents 장표'!$B30, contents!$W$2:$W$80, 0),
MATCH('contents 장표'!L$5, contents!$A$2:$AC$2, 0)),
"")</f>
        <v>54</v>
      </c>
      <c r="M30" s="228">
        <f>IFERROR(
INDEX(contents!$A$2:$AC$80,
MATCH('contents 장표'!$B30, contents!$W$2:$W$80, 0),
MATCH('contents 장표'!M$5, contents!$A$2:$AC$2, 0)),
"")</f>
        <v>0</v>
      </c>
      <c r="N30" s="228">
        <f>IFERROR(
INDEX(contents!$A$2:$AC$80,
MATCH('contents 장표'!$B30, contents!$W$2:$W$80, 0),
MATCH('contents 장표'!N$5, contents!$A$2:$AC$2, 0)),
"")</f>
        <v>3</v>
      </c>
      <c r="O30" s="232" t="str">
        <f t="shared" si="0"/>
        <v/>
      </c>
      <c r="P30" s="272">
        <f>IFERROR(
INDEX(contents!$A$2:$AC$80,
MATCH('contents 장표'!$B30, contents!$W$2:$W$80, 0),
MATCH('contents 장표'!P$5, contents!$A$2:$AC$2, 0)),
"")</f>
        <v>3.3800311318656885E-2</v>
      </c>
      <c r="R30" t="str">
        <f t="shared" si="1"/>
        <v>X</v>
      </c>
    </row>
    <row r="31" spans="2:18">
      <c r="B31" s="226">
        <v>25</v>
      </c>
      <c r="C31" s="227" t="str">
        <f>IFERROR(TEXT(INDEX(contents!X:X,MATCH(B31,contents!W:W,0),0),"mm월 dd일"),"")</f>
        <v>09월 24일</v>
      </c>
      <c r="D31" s="228" t="str">
        <f>IFERROR(TEXT(INDEX(contents!X:X,MATCH(B31,contents!W:W,0),0),"aaa"),"")</f>
        <v>화</v>
      </c>
      <c r="E31" s="228" t="str" cm="1">
        <f t="array" ref="E31">IF(INDEX('contents 추가정보'!E:E,MATCH(B31,'contents 추가정보'!A:A,0),0)=0,"",INDEX('contents 추가정보'!E:E,MATCH(B31,'contents 추가정보'!A:A,0),0))</f>
        <v/>
      </c>
      <c r="F31" s="229" t="str">
        <f>IFERROR(IF(INDEX(contents!C:C,MATCH(B31,contents!W:W,0)+1)="Sponsored","●",""),"")</f>
        <v/>
      </c>
      <c r="G31" s="230" t="str" cm="1">
        <f t="array" ref="G31">IF(INDEX('contents 추가정보'!C:C,MATCH(B31,'contents 추가정보'!A:A,0),0)=0,"",INDEX('contents 추가정보'!C:C,MATCH(B31,'contents 추가정보'!A:A,0),0))</f>
        <v/>
      </c>
      <c r="H31" s="228" t="str" cm="1">
        <f t="array" ref="H31">IF(INDEX('contents 추가정보'!D:D, MATCH(B31, 'contents 추가정보'!A:A, 0), 0)= 0, "",
INDEX('contents 추가정보'!D:D, MATCH(B31, 'contents 추가정보'!A:A, 0), 0))</f>
        <v/>
      </c>
      <c r="I31" s="228">
        <f>IFERROR(
INDEX(contents!$A$2:$AC$80,
MATCH('contents 장표'!$B31, contents!$W$2:$W$80, 0),
MATCH('contents 장표'!I$5, contents!$A$2:$AC$2, 0)),
"")</f>
        <v>5819</v>
      </c>
      <c r="J31" s="228">
        <f>IFERROR(
INDEX(contents!$A$2:$AC$80,
MATCH('contents 장표'!$B31, contents!$W$2:$W$80, 0),
MATCH('contents 장표'!J$5, contents!$A$2:$AC$2, 0)),
"")</f>
        <v>152</v>
      </c>
      <c r="K31" s="231">
        <f>IFERROR(
INDEX(contents!$A$2:$AC$80,
MATCH('contents 장표'!$B31, contents!$W$2:$W$80, 0),
MATCH('contents 장표'!K$5, contents!$A$2:$AC$2, 0)),
"")</f>
        <v>2.6121325790882111E-2</v>
      </c>
      <c r="L31" s="228">
        <f>IFERROR(
INDEX(contents!$A$2:$AC$80,
MATCH('contents 장표'!$B31, contents!$W$2:$W$80, 0),
MATCH('contents 장표'!L$5, contents!$A$2:$AC$2, 0)),
"")</f>
        <v>43</v>
      </c>
      <c r="M31" s="228">
        <f>IFERROR(
INDEX(contents!$A$2:$AC$80,
MATCH('contents 장표'!$B31, contents!$W$2:$W$80, 0),
MATCH('contents 장표'!M$5, contents!$A$2:$AC$2, 0)),
"")</f>
        <v>0</v>
      </c>
      <c r="N31" s="228">
        <f>IFERROR(
INDEX(contents!$A$2:$AC$80,
MATCH('contents 장표'!$B31, contents!$W$2:$W$80, 0),
MATCH('contents 장표'!N$5, contents!$A$2:$AC$2, 0)),
"")</f>
        <v>1</v>
      </c>
      <c r="O31" s="232" t="str">
        <f t="shared" si="0"/>
        <v/>
      </c>
      <c r="P31" s="272">
        <f>IFERROR(
INDEX(contents!$A$2:$AC$80,
MATCH('contents 장표'!$B31, contents!$W$2:$W$80, 0),
MATCH('contents 장표'!P$5, contents!$A$2:$AC$2, 0)),
"")</f>
        <v>3.3682763361402301E-2</v>
      </c>
      <c r="R31" t="str">
        <f t="shared" si="1"/>
        <v>X</v>
      </c>
    </row>
    <row r="32" spans="2:18">
      <c r="B32" s="233">
        <v>26</v>
      </c>
      <c r="C32" s="227" t="str">
        <f>IFERROR(TEXT(INDEX(contents!X:X,MATCH(B32,contents!W:W,0),0),"mm월 dd일"),"")</f>
        <v>09월 19일</v>
      </c>
      <c r="D32" s="228" t="str">
        <f>IFERROR(TEXT(INDEX(contents!X:X,MATCH(B32,contents!W:W,0),0),"aaa"),"")</f>
        <v>목</v>
      </c>
      <c r="E32" s="228" t="str" cm="1">
        <f t="array" ref="E32">IF(INDEX('contents 추가정보'!E:E,MATCH(B32,'contents 추가정보'!A:A,0),0)=0,"",INDEX('contents 추가정보'!E:E,MATCH(B32,'contents 추가정보'!A:A,0),0))</f>
        <v/>
      </c>
      <c r="F32" s="229" t="str">
        <f>IFERROR(IF(INDEX(contents!C:C,MATCH(B32,contents!W:W,0)+1)="Sponsored","●",""),"")</f>
        <v/>
      </c>
      <c r="G32" s="230" t="str" cm="1">
        <f t="array" ref="G32">IF(INDEX('contents 추가정보'!C:C,MATCH(B32,'contents 추가정보'!A:A,0),0)=0,"",INDEX('contents 추가정보'!C:C,MATCH(B32,'contents 추가정보'!A:A,0),0))</f>
        <v/>
      </c>
      <c r="H32" s="228" t="str" cm="1">
        <f t="array" ref="H32">IF(INDEX('contents 추가정보'!D:D, MATCH(B32, 'contents 추가정보'!A:A, 0), 0)= 0, "",
INDEX('contents 추가정보'!D:D, MATCH(B32, 'contents 추가정보'!A:A, 0), 0))</f>
        <v/>
      </c>
      <c r="I32" s="228">
        <f>IFERROR(
INDEX(contents!$A$2:$AC$80,
MATCH('contents 장표'!$B32, contents!$W$2:$W$80, 0),
MATCH('contents 장표'!I$5, contents!$A$2:$AC$2, 0)),
"")</f>
        <v>3725</v>
      </c>
      <c r="J32" s="228">
        <f>IFERROR(
INDEX(contents!$A$2:$AC$80,
MATCH('contents 장표'!$B32, contents!$W$2:$W$80, 0),
MATCH('contents 장표'!J$5, contents!$A$2:$AC$2, 0)),
"")</f>
        <v>81</v>
      </c>
      <c r="K32" s="231">
        <f>IFERROR(
INDEX(contents!$A$2:$AC$80,
MATCH('contents 장표'!$B32, contents!$W$2:$W$80, 0),
MATCH('contents 장표'!K$5, contents!$A$2:$AC$2, 0)),
"")</f>
        <v>2.1744966506958008E-2</v>
      </c>
      <c r="L32" s="228">
        <f>IFERROR(
INDEX(contents!$A$2:$AC$80,
MATCH('contents 장표'!$B32, contents!$W$2:$W$80, 0),
MATCH('contents 장표'!L$5, contents!$A$2:$AC$2, 0)),
"")</f>
        <v>37</v>
      </c>
      <c r="M32" s="228">
        <f>IFERROR(
INDEX(contents!$A$2:$AC$80,
MATCH('contents 장표'!$B32, contents!$W$2:$W$80, 0),
MATCH('contents 장표'!M$5, contents!$A$2:$AC$2, 0)),
"")</f>
        <v>0</v>
      </c>
      <c r="N32" s="228">
        <f>IFERROR(
INDEX(contents!$A$2:$AC$80,
MATCH('contents 장표'!$B32, contents!$W$2:$W$80, 0),
MATCH('contents 장표'!N$5, contents!$A$2:$AC$2, 0)),
"")</f>
        <v>1</v>
      </c>
      <c r="O32" s="232" t="str">
        <f t="shared" si="0"/>
        <v/>
      </c>
      <c r="P32" s="272">
        <f>IFERROR(
INDEX(contents!$A$2:$AC$80,
MATCH('contents 장표'!$B32, contents!$W$2:$W$80, 0),
MATCH('contents 장표'!P$5, contents!$A$2:$AC$2, 0)),
"")</f>
        <v>3.1946308724832215E-2</v>
      </c>
      <c r="R32" t="str">
        <f t="shared" si="1"/>
        <v>X</v>
      </c>
    </row>
    <row r="33" spans="2:18">
      <c r="B33" s="226">
        <v>27</v>
      </c>
      <c r="C33" s="234" t="str">
        <f>IFERROR(TEXT(INDEX(contents!X:X,MATCH(B33,contents!W:W,0),0),"mm월 dd일"),"")</f>
        <v>09월 04일</v>
      </c>
      <c r="D33" s="228" t="str">
        <f>IFERROR(TEXT(INDEX(contents!X:X,MATCH(B33,contents!W:W,0),0),"aaa"),"")</f>
        <v>수</v>
      </c>
      <c r="E33" s="228" t="str" cm="1">
        <f t="array" ref="E33">IF(INDEX('contents 추가정보'!E:E,MATCH(B33,'contents 추가정보'!A:A,0),0)=0,"",INDEX('contents 추가정보'!E:E,MATCH(B33,'contents 추가정보'!A:A,0),0))</f>
        <v/>
      </c>
      <c r="F33" s="229" t="str">
        <f>IFERROR(IF(INDEX(contents!C:C,MATCH(B33,contents!W:W,0)+1)="Sponsored","●",""),"")</f>
        <v/>
      </c>
      <c r="G33" s="230" t="str" cm="1">
        <f t="array" ref="G33">IF(INDEX('contents 추가정보'!C:C,MATCH(B33,'contents 추가정보'!A:A,0),0)=0,"",INDEX('contents 추가정보'!C:C,MATCH(B33,'contents 추가정보'!A:A,0),0))</f>
        <v/>
      </c>
      <c r="H33" s="228" t="str" cm="1">
        <f t="array" ref="H33">IF(INDEX('contents 추가정보'!D:D, MATCH(B33, 'contents 추가정보'!A:A, 0), 0)= 0, "",
INDEX('contents 추가정보'!D:D, MATCH(B33, 'contents 추가정보'!A:A, 0), 0))</f>
        <v/>
      </c>
      <c r="I33" s="228">
        <f>IFERROR(
INDEX(contents!$A$2:$AC$80,
MATCH('contents 장표'!$B33, contents!$W$2:$W$80, 0),
MATCH('contents 장표'!I$5, contents!$A$2:$AC$2, 0)),
"")</f>
        <v>2443</v>
      </c>
      <c r="J33" s="228">
        <f>IFERROR(
INDEX(contents!$A$2:$AC$80,
MATCH('contents 장표'!$B33, contents!$W$2:$W$80, 0),
MATCH('contents 장표'!J$5, contents!$A$2:$AC$2, 0)),
"")</f>
        <v>41</v>
      </c>
      <c r="K33" s="231">
        <f>IFERROR(
INDEX(contents!$A$2:$AC$80,
MATCH('contents 장표'!$B33, contents!$W$2:$W$80, 0),
MATCH('contents 장표'!K$5, contents!$A$2:$AC$2, 0)),
"")</f>
        <v>1.6782645136117935E-2</v>
      </c>
      <c r="L33" s="228">
        <f>IFERROR(
INDEX(contents!$A$2:$AC$80,
MATCH('contents 장표'!$B33, contents!$W$2:$W$80, 0),
MATCH('contents 장표'!L$5, contents!$A$2:$AC$2, 0)),
"")</f>
        <v>34</v>
      </c>
      <c r="M33" s="228">
        <f>IFERROR(
INDEX(contents!$A$2:$AC$80,
MATCH('contents 장표'!$B33, contents!$W$2:$W$80, 0),
MATCH('contents 장표'!M$5, contents!$A$2:$AC$2, 0)),
"")</f>
        <v>1</v>
      </c>
      <c r="N33" s="228">
        <f>IFERROR(
INDEX(contents!$A$2:$AC$80,
MATCH('contents 장표'!$B33, contents!$W$2:$W$80, 0),
MATCH('contents 장표'!N$5, contents!$A$2:$AC$2, 0)),
"")</f>
        <v>1</v>
      </c>
      <c r="O33" s="232" t="str">
        <f t="shared" si="0"/>
        <v/>
      </c>
      <c r="P33" s="272">
        <f>IFERROR(
INDEX(contents!$A$2:$AC$80,
MATCH('contents 장표'!$B33, contents!$W$2:$W$80, 0),
MATCH('contents 장표'!P$5, contents!$A$2:$AC$2, 0)),
"")</f>
        <v>3.151862464183381E-2</v>
      </c>
      <c r="R33" t="str">
        <f t="shared" si="1"/>
        <v>X</v>
      </c>
    </row>
    <row r="34" spans="2:18">
      <c r="B34" s="233">
        <v>28</v>
      </c>
      <c r="C34" s="235" t="str">
        <f>IFERROR(TEXT(INDEX(contents!X:X,MATCH(B34,contents!W:W,0),0),"mm월 dd일"),"")</f>
        <v>09월 20일</v>
      </c>
      <c r="D34" s="228" t="str">
        <f>IFERROR(TEXT(INDEX(contents!X:X,MATCH(B34,contents!W:W,0),0),"aaa"),"")</f>
        <v>금</v>
      </c>
      <c r="E34" s="228" t="str" cm="1">
        <f t="array" ref="E34">IF(INDEX('contents 추가정보'!E:E,MATCH(B34,'contents 추가정보'!A:A,0),0)=0,"",INDEX('contents 추가정보'!E:E,MATCH(B34,'contents 추가정보'!A:A,0),0))</f>
        <v/>
      </c>
      <c r="F34" s="229" t="str">
        <f>IFERROR(IF(INDEX(contents!C:C,MATCH(B34,contents!W:W,0)+1)="Sponsored","●",""),"")</f>
        <v/>
      </c>
      <c r="G34" s="230" t="str" cm="1">
        <f t="array" ref="G34">IF(INDEX('contents 추가정보'!C:C,MATCH(B34,'contents 추가정보'!A:A,0),0)=0,"",INDEX('contents 추가정보'!C:C,MATCH(B34,'contents 추가정보'!A:A,0),0))</f>
        <v/>
      </c>
      <c r="H34" s="228" t="str" cm="1">
        <f t="array" ref="H34">IF(INDEX('contents 추가정보'!D:D, MATCH(B34, 'contents 추가정보'!A:A, 0), 0)= 0, "",
INDEX('contents 추가정보'!D:D, MATCH(B34, 'contents 추가정보'!A:A, 0), 0))</f>
        <v/>
      </c>
      <c r="I34" s="228">
        <f>IFERROR(
INDEX(contents!$A$2:$AC$80,
MATCH('contents 장표'!$B34, contents!$W$2:$W$80, 0),
MATCH('contents 장표'!I$5, contents!$A$2:$AC$2, 0)),
"")</f>
        <v>18335</v>
      </c>
      <c r="J34" s="228">
        <f>IFERROR(
INDEX(contents!$A$2:$AC$80,
MATCH('contents 장표'!$B34, contents!$W$2:$W$80, 0),
MATCH('contents 장표'!J$5, contents!$A$2:$AC$2, 0)),
"")</f>
        <v>510</v>
      </c>
      <c r="K34" s="231">
        <f>IFERROR(
INDEX(contents!$A$2:$AC$80,
MATCH('contents 장표'!$B34, contents!$W$2:$W$80, 0),
MATCH('contents 장표'!K$5, contents!$A$2:$AC$2, 0)),
"")</f>
        <v>2.7815653011202812E-2</v>
      </c>
      <c r="L34" s="228">
        <f>IFERROR(
INDEX(contents!$A$2:$AC$80,
MATCH('contents 장표'!$B34, contents!$W$2:$W$80, 0),
MATCH('contents 장표'!L$5, contents!$A$2:$AC$2, 0)),
"")</f>
        <v>27</v>
      </c>
      <c r="M34" s="228">
        <f>IFERROR(
INDEX(contents!$A$2:$AC$80,
MATCH('contents 장표'!$B34, contents!$W$2:$W$80, 0),
MATCH('contents 장표'!M$5, contents!$A$2:$AC$2, 0)),
"")</f>
        <v>2</v>
      </c>
      <c r="N34" s="228">
        <f>IFERROR(
INDEX(contents!$A$2:$AC$80,
MATCH('contents 장표'!$B34, contents!$W$2:$W$80, 0),
MATCH('contents 장표'!N$5, contents!$A$2:$AC$2, 0)),
"")</f>
        <v>0</v>
      </c>
      <c r="O34" s="232" t="str">
        <f t="shared" si="0"/>
        <v/>
      </c>
      <c r="P34" s="272">
        <f>IFERROR(
INDEX(contents!$A$2:$AC$80,
MATCH('contents 장표'!$B34, contents!$W$2:$W$80, 0),
MATCH('contents 장표'!P$5, contents!$A$2:$AC$2, 0)),
"")</f>
        <v>2.9397327515680392E-2</v>
      </c>
      <c r="R34" t="str">
        <f t="shared" si="1"/>
        <v>X</v>
      </c>
    </row>
    <row r="35" spans="2:18">
      <c r="B35" s="226">
        <v>29</v>
      </c>
      <c r="C35" s="235" t="str">
        <f>IFERROR(TEXT(INDEX(contents!X:X,MATCH(B35,contents!W:W,0),0),"mm월 dd일"),"")</f>
        <v>09월 13일</v>
      </c>
      <c r="D35" s="228" t="str">
        <f>IFERROR(TEXT(INDEX(contents!X:X,MATCH(B35,contents!W:W,0),0),"aaa"),"")</f>
        <v>금</v>
      </c>
      <c r="E35" s="228" t="str" cm="1">
        <f t="array" ref="E35">IF(INDEX('contents 추가정보'!E:E,MATCH(B35,'contents 추가정보'!A:A,0),0)=0,"",INDEX('contents 추가정보'!E:E,MATCH(B35,'contents 추가정보'!A:A,0),0))</f>
        <v/>
      </c>
      <c r="F35" s="229" t="str">
        <f>IFERROR(IF(INDEX(contents!C:C,MATCH(B35,contents!W:W,0)+1)="Sponsored","●",""),"")</f>
        <v/>
      </c>
      <c r="G35" s="230" t="str" cm="1">
        <f t="array" ref="G35">IF(INDEX('contents 추가정보'!C:C,MATCH(B35,'contents 추가정보'!A:A,0),0)=0,"",INDEX('contents 추가정보'!C:C,MATCH(B35,'contents 추가정보'!A:A,0),0))</f>
        <v/>
      </c>
      <c r="H35" s="228" t="str" cm="1">
        <f t="array" ref="H35">IF(INDEX('contents 추가정보'!D:D, MATCH(B35, 'contents 추가정보'!A:A, 0), 0)= 0, "",
INDEX('contents 추가정보'!D:D, MATCH(B35, 'contents 추가정보'!A:A, 0), 0))</f>
        <v/>
      </c>
      <c r="I35" s="228">
        <f>IFERROR(
INDEX(contents!$A$2:$AC$80,
MATCH('contents 장표'!$B35, contents!$W$2:$W$80, 0),
MATCH('contents 장표'!I$5, contents!$A$2:$AC$2, 0)),
"")</f>
        <v>4005</v>
      </c>
      <c r="J35" s="228">
        <f>IFERROR(
INDEX(contents!$A$2:$AC$80,
MATCH('contents 장표'!$B35, contents!$W$2:$W$80, 0),
MATCH('contents 장표'!J$5, contents!$A$2:$AC$2, 0)),
"")</f>
        <v>65</v>
      </c>
      <c r="K35" s="231">
        <f>IFERROR(
INDEX(contents!$A$2:$AC$80,
MATCH('contents 장표'!$B35, contents!$W$2:$W$80, 0),
MATCH('contents 장표'!K$5, contents!$A$2:$AC$2, 0)),
"")</f>
        <v>1.6229713335633278E-2</v>
      </c>
      <c r="L35" s="228">
        <f>IFERROR(
INDEX(contents!$A$2:$AC$80,
MATCH('contents 장표'!$B35, contents!$W$2:$W$80, 0),
MATCH('contents 장표'!L$5, contents!$A$2:$AC$2, 0)),
"")</f>
        <v>48</v>
      </c>
      <c r="M35" s="228">
        <f>IFERROR(
INDEX(contents!$A$2:$AC$80,
MATCH('contents 장표'!$B35, contents!$W$2:$W$80, 0),
MATCH('contents 장표'!M$5, contents!$A$2:$AC$2, 0)),
"")</f>
        <v>0</v>
      </c>
      <c r="N35" s="228">
        <f>IFERROR(
INDEX(contents!$A$2:$AC$80,
MATCH('contents 장표'!$B35, contents!$W$2:$W$80, 0),
MATCH('contents 장표'!N$5, contents!$A$2:$AC$2, 0)),
"")</f>
        <v>1</v>
      </c>
      <c r="O35" s="232" t="str">
        <f t="shared" si="0"/>
        <v/>
      </c>
      <c r="P35" s="272">
        <f>IFERROR(
INDEX(contents!$A$2:$AC$80,
MATCH('contents 장표'!$B35, contents!$W$2:$W$80, 0),
MATCH('contents 장표'!P$5, contents!$A$2:$AC$2, 0)),
"")</f>
        <v>2.8464419475655429E-2</v>
      </c>
      <c r="R35" t="str">
        <f t="shared" si="1"/>
        <v>X</v>
      </c>
    </row>
    <row r="36" spans="2:18">
      <c r="B36" s="233">
        <v>30</v>
      </c>
      <c r="C36" s="235" t="str">
        <f>IFERROR(TEXT(INDEX(contents!X:X,MATCH(B36,contents!W:W,0),0),"mm월 dd일"),"")</f>
        <v>09월 06일</v>
      </c>
      <c r="D36" s="228" t="str">
        <f>IFERROR(TEXT(INDEX(contents!X:X,MATCH(B36,contents!W:W,0),0),"aaa"),"")</f>
        <v>금</v>
      </c>
      <c r="E36" s="228" t="str" cm="1">
        <f t="array" ref="E36">IF(INDEX('contents 추가정보'!E:E,MATCH(B36,'contents 추가정보'!A:A,0),0)=0,"",INDEX('contents 추가정보'!E:E,MATCH(B36,'contents 추가정보'!A:A,0),0))</f>
        <v/>
      </c>
      <c r="F36" s="229" t="str">
        <f>IFERROR(IF(INDEX(contents!C:C,MATCH(B36,contents!W:W,0)+1)="Sponsored","●",""),"")</f>
        <v/>
      </c>
      <c r="G36" s="230" t="str" cm="1">
        <f t="array" ref="G36">IF(INDEX('contents 추가정보'!C:C,MATCH(B36,'contents 추가정보'!A:A,0),0)=0,"",INDEX('contents 추가정보'!C:C,MATCH(B36,'contents 추가정보'!A:A,0),0))</f>
        <v/>
      </c>
      <c r="H36" s="228" t="str" cm="1">
        <f t="array" ref="H36">IF(INDEX('contents 추가정보'!D:D, MATCH(B36, 'contents 추가정보'!A:A, 0), 0)= 0, "",
INDEX('contents 추가정보'!D:D, MATCH(B36, 'contents 추가정보'!A:A, 0), 0))</f>
        <v/>
      </c>
      <c r="I36" s="228">
        <f>IFERROR(
INDEX(contents!$A$2:$AC$80,
MATCH('contents 장표'!$B36, contents!$W$2:$W$80, 0),
MATCH('contents 장표'!I$5, contents!$A$2:$AC$2, 0)),
"")</f>
        <v>17073</v>
      </c>
      <c r="J36" s="228">
        <f>IFERROR(
INDEX(contents!$A$2:$AC$80,
MATCH('contents 장표'!$B36, contents!$W$2:$W$80, 0),
MATCH('contents 장표'!J$5, contents!$A$2:$AC$2, 0)),
"")</f>
        <v>446</v>
      </c>
      <c r="K36" s="231">
        <f>IFERROR(
INDEX(contents!$A$2:$AC$80,
MATCH('contents 장표'!$B36, contents!$W$2:$W$80, 0),
MATCH('contents 장표'!K$5, contents!$A$2:$AC$2, 0)),
"")</f>
        <v>2.6123117655515671E-2</v>
      </c>
      <c r="L36" s="228">
        <f>IFERROR(
INDEX(contents!$A$2:$AC$80,
MATCH('contents 장표'!$B36, contents!$W$2:$W$80, 0),
MATCH('contents 장표'!L$5, contents!$A$2:$AC$2, 0)),
"")</f>
        <v>26</v>
      </c>
      <c r="M36" s="228">
        <f>IFERROR(
INDEX(contents!$A$2:$AC$80,
MATCH('contents 장표'!$B36, contents!$W$2:$W$80, 0),
MATCH('contents 장표'!M$5, contents!$A$2:$AC$2, 0)),
"")</f>
        <v>0</v>
      </c>
      <c r="N36" s="228">
        <f>IFERROR(
INDEX(contents!$A$2:$AC$80,
MATCH('contents 장표'!$B36, contents!$W$2:$W$80, 0),
MATCH('contents 장표'!N$5, contents!$A$2:$AC$2, 0)),
"")</f>
        <v>0</v>
      </c>
      <c r="O36" s="232" t="str">
        <f t="shared" si="0"/>
        <v/>
      </c>
      <c r="P36" s="272">
        <f>IFERROR(
INDEX(contents!$A$2:$AC$80,
MATCH('contents 장표'!$B36, contents!$W$2:$W$80, 0),
MATCH('contents 장표'!P$5, contents!$A$2:$AC$2, 0)),
"")</f>
        <v>2.7645990745621744E-2</v>
      </c>
      <c r="R36" t="str">
        <f t="shared" si="1"/>
        <v>X</v>
      </c>
    </row>
    <row r="37" spans="2:18">
      <c r="B37" s="226">
        <v>31</v>
      </c>
      <c r="C37" s="235" t="str">
        <f>IFERROR(TEXT(INDEX(contents!X:X,MATCH(B37,contents!W:W,0),0),"mm월 dd일"),"")</f>
        <v/>
      </c>
      <c r="D37" s="228" t="str">
        <f>IFERROR(TEXT(INDEX(contents!X:X,MATCH(B37,contents!W:W,0),0),"aaa"),"")</f>
        <v/>
      </c>
      <c r="E37" s="228" t="str" cm="1">
        <f t="array" ref="E37">IF(INDEX('contents 추가정보'!E:E,MATCH(B37,'contents 추가정보'!A:A,0),0)=0,"",INDEX('contents 추가정보'!E:E,MATCH(B37,'contents 추가정보'!A:A,0),0))</f>
        <v/>
      </c>
      <c r="F37" s="229" t="str">
        <f>IFERROR(IF(INDEX(contents!C:C,MATCH(B37,contents!W:W,0)+1)="Sponsored","●",""),"")</f>
        <v/>
      </c>
      <c r="G37" s="230" t="str" cm="1">
        <f t="array" ref="G37">IF(INDEX('contents 추가정보'!C:C,MATCH(B37,'contents 추가정보'!A:A,0),0)=0,"",INDEX('contents 추가정보'!C:C,MATCH(B37,'contents 추가정보'!A:A,0),0))</f>
        <v/>
      </c>
      <c r="H37" s="228" t="str" cm="1">
        <f t="array" ref="H37">IF(INDEX('contents 추가정보'!D:D, MATCH(B37, 'contents 추가정보'!A:A, 0), 0)= 0, "",
INDEX('contents 추가정보'!D:D, MATCH(B37, 'contents 추가정보'!A:A, 0), 0))</f>
        <v/>
      </c>
      <c r="I37" s="228" t="str">
        <f>IFERROR(
INDEX(contents!$A$2:$AC$80,
MATCH('contents 장표'!$B37, contents!$W$2:$W$80, 0),
MATCH('contents 장표'!I$5, contents!$A$2:$AC$2, 0)),
"")</f>
        <v/>
      </c>
      <c r="J37" s="228" t="str">
        <f>IFERROR(
INDEX(contents!$A$2:$AC$80,
MATCH('contents 장표'!$B37, contents!$W$2:$W$80, 0),
MATCH('contents 장표'!J$5, contents!$A$2:$AC$2, 0)),
"")</f>
        <v/>
      </c>
      <c r="K37" s="231" t="str">
        <f>IFERROR(
INDEX(contents!$A$2:$AC$80,
MATCH('contents 장표'!$B37, contents!$W$2:$W$80, 0),
MATCH('contents 장표'!K$5, contents!$A$2:$AC$2, 0)),
"")</f>
        <v/>
      </c>
      <c r="L37" s="228" t="str">
        <f>IFERROR(
INDEX(contents!$A$2:$AC$80,
MATCH('contents 장표'!$B37, contents!$W$2:$W$80, 0),
MATCH('contents 장표'!L$5, contents!$A$2:$AC$2, 0)),
"")</f>
        <v/>
      </c>
      <c r="M37" s="228" t="str">
        <f>IFERROR(
INDEX(contents!$A$2:$AC$80,
MATCH('contents 장표'!$B37, contents!$W$2:$W$80, 0),
MATCH('contents 장표'!M$5, contents!$A$2:$AC$2, 0)),
"")</f>
        <v/>
      </c>
      <c r="N37" s="228" t="str">
        <f>IFERROR(
INDEX(contents!$A$2:$AC$80,
MATCH('contents 장표'!$B37, contents!$W$2:$W$80, 0),
MATCH('contents 장표'!N$5, contents!$A$2:$AC$2, 0)),
"")</f>
        <v/>
      </c>
      <c r="O37" s="232" t="str">
        <f t="shared" si="0"/>
        <v/>
      </c>
      <c r="P37" s="272" t="str">
        <f>IFERROR(
INDEX(contents!$A$2:$AC$80,
MATCH('contents 장표'!$B37, contents!$W$2:$W$80, 0),
MATCH('contents 장표'!P$5, contents!$A$2:$AC$2, 0)),
"")</f>
        <v/>
      </c>
      <c r="R37" t="str">
        <f t="shared" si="1"/>
        <v>X</v>
      </c>
    </row>
    <row r="38" spans="2:18">
      <c r="B38" s="233">
        <v>32</v>
      </c>
      <c r="C38" s="235" t="str">
        <f>IFERROR(TEXT(INDEX(contents!X:X,MATCH(B38,contents!W:W,0),0),"mm월 dd일"),"")</f>
        <v/>
      </c>
      <c r="D38" s="228" t="str">
        <f>IFERROR(TEXT(INDEX(contents!X:X,MATCH(B38,contents!W:W,0),0),"aaa"),"")</f>
        <v/>
      </c>
      <c r="E38" s="228" t="str" cm="1">
        <f t="array" ref="E38">IF(INDEX('contents 추가정보'!E:E,MATCH(B38,'contents 추가정보'!A:A,0),0)=0,"",INDEX('contents 추가정보'!E:E,MATCH(B38,'contents 추가정보'!A:A,0),0))</f>
        <v/>
      </c>
      <c r="F38" s="229" t="str">
        <f>IFERROR(IF(INDEX(contents!C:C,MATCH(B38,contents!W:W,0)+1)="Sponsored","●",""),"")</f>
        <v/>
      </c>
      <c r="G38" s="230" t="str" cm="1">
        <f t="array" ref="G38">IF(INDEX('contents 추가정보'!C:C,MATCH(B38,'contents 추가정보'!A:A,0),0)=0,"",INDEX('contents 추가정보'!C:C,MATCH(B38,'contents 추가정보'!A:A,0),0))</f>
        <v/>
      </c>
      <c r="H38" s="228" t="str" cm="1">
        <f t="array" ref="H38">IF(INDEX('contents 추가정보'!D:D, MATCH(B38, 'contents 추가정보'!A:A, 0), 0)= 0, "",
INDEX('contents 추가정보'!D:D, MATCH(B38, 'contents 추가정보'!A:A, 0), 0))</f>
        <v/>
      </c>
      <c r="I38" s="228" t="str">
        <f>IFERROR(
INDEX(contents!$A$2:$AC$80,
MATCH('contents 장표'!$B38, contents!$W$2:$W$80, 0),
MATCH('contents 장표'!I$5, contents!$A$2:$AC$2, 0)),
"")</f>
        <v/>
      </c>
      <c r="J38" s="228" t="str">
        <f>IFERROR(
INDEX(contents!$A$2:$AC$80,
MATCH('contents 장표'!$B38, contents!$W$2:$W$80, 0),
MATCH('contents 장표'!J$5, contents!$A$2:$AC$2, 0)),
"")</f>
        <v/>
      </c>
      <c r="K38" s="231" t="str">
        <f>IFERROR(
INDEX(contents!$A$2:$AC$80,
MATCH('contents 장표'!$B38, contents!$W$2:$W$80, 0),
MATCH('contents 장표'!K$5, contents!$A$2:$AC$2, 0)),
"")</f>
        <v/>
      </c>
      <c r="L38" s="228" t="str">
        <f>IFERROR(
INDEX(contents!$A$2:$AC$80,
MATCH('contents 장표'!$B38, contents!$W$2:$W$80, 0),
MATCH('contents 장표'!L$5, contents!$A$2:$AC$2, 0)),
"")</f>
        <v/>
      </c>
      <c r="M38" s="228" t="str">
        <f>IFERROR(
INDEX(contents!$A$2:$AC$80,
MATCH('contents 장표'!$B38, contents!$W$2:$W$80, 0),
MATCH('contents 장표'!M$5, contents!$A$2:$AC$2, 0)),
"")</f>
        <v/>
      </c>
      <c r="N38" s="228" t="str">
        <f>IFERROR(
INDEX(contents!$A$2:$AC$80,
MATCH('contents 장표'!$B38, contents!$W$2:$W$80, 0),
MATCH('contents 장표'!N$5, contents!$A$2:$AC$2, 0)),
"")</f>
        <v/>
      </c>
      <c r="O38" s="232" t="str">
        <f t="shared" si="0"/>
        <v/>
      </c>
      <c r="P38" s="272" t="str">
        <f>IFERROR(
INDEX(contents!$A$2:$AC$80,
MATCH('contents 장표'!$B38, contents!$W$2:$W$80, 0),
MATCH('contents 장표'!P$5, contents!$A$2:$AC$2, 0)),
"")</f>
        <v/>
      </c>
      <c r="R38" t="str">
        <f t="shared" si="1"/>
        <v>X</v>
      </c>
    </row>
    <row r="39" spans="2:18">
      <c r="B39" s="226">
        <v>33</v>
      </c>
      <c r="C39" s="235" t="str">
        <f>IFERROR(TEXT(INDEX(contents!X:X,MATCH(B39,contents!W:W,0),0),"mm월 dd일"),"")</f>
        <v/>
      </c>
      <c r="D39" s="228" t="str">
        <f>IFERROR(TEXT(INDEX(contents!X:X,MATCH(B39,contents!W:W,0),0),"aaa"),"")</f>
        <v/>
      </c>
      <c r="E39" s="228" t="str" cm="1">
        <f t="array" ref="E39">IF(INDEX('contents 추가정보'!E:E,MATCH(B39,'contents 추가정보'!A:A,0),0)=0,"",INDEX('contents 추가정보'!E:E,MATCH(B39,'contents 추가정보'!A:A,0),0))</f>
        <v/>
      </c>
      <c r="F39" s="229" t="str">
        <f>IFERROR(IF(INDEX(contents!C:C,MATCH(B39,contents!W:W,0)+1)="Sponsored","●",""),"")</f>
        <v/>
      </c>
      <c r="G39" s="230" t="str" cm="1">
        <f t="array" ref="G39">IF(INDEX('contents 추가정보'!C:C,MATCH(B39,'contents 추가정보'!A:A,0),0)=0,"",INDEX('contents 추가정보'!C:C,MATCH(B39,'contents 추가정보'!A:A,0),0))</f>
        <v/>
      </c>
      <c r="H39" s="228" t="str" cm="1">
        <f t="array" ref="H39">IF(INDEX('contents 추가정보'!D:D, MATCH(B39, 'contents 추가정보'!A:A, 0), 0)= 0, "",
INDEX('contents 추가정보'!D:D, MATCH(B39, 'contents 추가정보'!A:A, 0), 0))</f>
        <v/>
      </c>
      <c r="I39" s="228" t="str">
        <f>IFERROR(
INDEX(contents!$A$2:$AC$80,
MATCH('contents 장표'!$B39, contents!$W$2:$W$80, 0),
MATCH('contents 장표'!I$5, contents!$A$2:$AC$2, 0)),
"")</f>
        <v/>
      </c>
      <c r="J39" s="228" t="str">
        <f>IFERROR(
INDEX(contents!$A$2:$AC$80,
MATCH('contents 장표'!$B39, contents!$W$2:$W$80, 0),
MATCH('contents 장표'!J$5, contents!$A$2:$AC$2, 0)),
"")</f>
        <v/>
      </c>
      <c r="K39" s="231" t="str">
        <f>IFERROR(
INDEX(contents!$A$2:$AC$80,
MATCH('contents 장표'!$B39, contents!$W$2:$W$80, 0),
MATCH('contents 장표'!K$5, contents!$A$2:$AC$2, 0)),
"")</f>
        <v/>
      </c>
      <c r="L39" s="228" t="str">
        <f>IFERROR(
INDEX(contents!$A$2:$AC$80,
MATCH('contents 장표'!$B39, contents!$W$2:$W$80, 0),
MATCH('contents 장표'!L$5, contents!$A$2:$AC$2, 0)),
"")</f>
        <v/>
      </c>
      <c r="M39" s="228" t="str">
        <f>IFERROR(
INDEX(contents!$A$2:$AC$80,
MATCH('contents 장표'!$B39, contents!$W$2:$W$80, 0),
MATCH('contents 장표'!M$5, contents!$A$2:$AC$2, 0)),
"")</f>
        <v/>
      </c>
      <c r="N39" s="228" t="str">
        <f>IFERROR(
INDEX(contents!$A$2:$AC$80,
MATCH('contents 장표'!$B39, contents!$W$2:$W$80, 0),
MATCH('contents 장표'!N$5, contents!$A$2:$AC$2, 0)),
"")</f>
        <v/>
      </c>
      <c r="O39" s="232" t="str">
        <f t="shared" si="0"/>
        <v/>
      </c>
      <c r="P39" s="272" t="str">
        <f>IFERROR(
INDEX(contents!$A$2:$AC$80,
MATCH('contents 장표'!$B39, contents!$W$2:$W$80, 0),
MATCH('contents 장표'!P$5, contents!$A$2:$AC$2, 0)),
"")</f>
        <v/>
      </c>
      <c r="R39" t="str">
        <f t="shared" si="1"/>
        <v>X</v>
      </c>
    </row>
    <row r="40" spans="2:18">
      <c r="B40" s="233">
        <v>34</v>
      </c>
      <c r="C40" s="235" t="str">
        <f>IFERROR(TEXT(INDEX(contents!X:X,MATCH(B40,contents!W:W,0),0),"mm월 dd일"),"")</f>
        <v/>
      </c>
      <c r="D40" s="228" t="str">
        <f>IFERROR(TEXT(INDEX(contents!X:X,MATCH(B40,contents!W:W,0),0),"aaa"),"")</f>
        <v/>
      </c>
      <c r="E40" s="228" t="str" cm="1">
        <f t="array" ref="E40">IF(INDEX('contents 추가정보'!E:E,MATCH(B40,'contents 추가정보'!A:A,0),0)=0,"",INDEX('contents 추가정보'!E:E,MATCH(B40,'contents 추가정보'!A:A,0),0))</f>
        <v/>
      </c>
      <c r="F40" s="229" t="str">
        <f>IFERROR(IF(INDEX(contents!C:C,MATCH(B40,contents!W:W,0)+1)="Sponsored","●",""),"")</f>
        <v/>
      </c>
      <c r="G40" s="230" t="str" cm="1">
        <f t="array" ref="G40">IF(INDEX('contents 추가정보'!C:C,MATCH(B40,'contents 추가정보'!A:A,0),0)=0,"",INDEX('contents 추가정보'!C:C,MATCH(B40,'contents 추가정보'!A:A,0),0))</f>
        <v/>
      </c>
      <c r="H40" s="228" t="str" cm="1">
        <f t="array" ref="H40">IF(INDEX('contents 추가정보'!D:D, MATCH(B40, 'contents 추가정보'!A:A, 0), 0)= 0, "",
INDEX('contents 추가정보'!D:D, MATCH(B40, 'contents 추가정보'!A:A, 0), 0))</f>
        <v/>
      </c>
      <c r="I40" s="228" t="str">
        <f>IFERROR(
INDEX(contents!$A$2:$AC$80,
MATCH('contents 장표'!$B40, contents!$W$2:$W$80, 0),
MATCH('contents 장표'!I$5, contents!$A$2:$AC$2, 0)),
"")</f>
        <v/>
      </c>
      <c r="J40" s="228" t="str">
        <f>IFERROR(
INDEX(contents!$A$2:$AC$80,
MATCH('contents 장표'!$B40, contents!$W$2:$W$80, 0),
MATCH('contents 장표'!J$5, contents!$A$2:$AC$2, 0)),
"")</f>
        <v/>
      </c>
      <c r="K40" s="231" t="str">
        <f>IFERROR(
INDEX(contents!$A$2:$AC$80,
MATCH('contents 장표'!$B40, contents!$W$2:$W$80, 0),
MATCH('contents 장표'!K$5, contents!$A$2:$AC$2, 0)),
"")</f>
        <v/>
      </c>
      <c r="L40" s="228" t="str">
        <f>IFERROR(
INDEX(contents!$A$2:$AC$80,
MATCH('contents 장표'!$B40, contents!$W$2:$W$80, 0),
MATCH('contents 장표'!L$5, contents!$A$2:$AC$2, 0)),
"")</f>
        <v/>
      </c>
      <c r="M40" s="228" t="str">
        <f>IFERROR(
INDEX(contents!$A$2:$AC$80,
MATCH('contents 장표'!$B40, contents!$W$2:$W$80, 0),
MATCH('contents 장표'!M$5, contents!$A$2:$AC$2, 0)),
"")</f>
        <v/>
      </c>
      <c r="N40" s="228" t="str">
        <f>IFERROR(
INDEX(contents!$A$2:$AC$80,
MATCH('contents 장표'!$B40, contents!$W$2:$W$80, 0),
MATCH('contents 장표'!N$5, contents!$A$2:$AC$2, 0)),
"")</f>
        <v/>
      </c>
      <c r="O40" s="232" t="str">
        <f t="shared" si="0"/>
        <v/>
      </c>
      <c r="P40" s="272" t="str">
        <f>IFERROR(
INDEX(contents!$A$2:$AC$80,
MATCH('contents 장표'!$B40, contents!$W$2:$W$80, 0),
MATCH('contents 장표'!P$5, contents!$A$2:$AC$2, 0)),
"")</f>
        <v/>
      </c>
      <c r="R40" t="str">
        <f t="shared" si="1"/>
        <v>X</v>
      </c>
    </row>
    <row r="41" spans="2:18">
      <c r="B41" s="226">
        <v>35</v>
      </c>
      <c r="C41" s="235" t="str">
        <f>IFERROR(TEXT(INDEX(contents!X:X,MATCH(B41,contents!W:W,0),0),"mm월 dd일"),"")</f>
        <v/>
      </c>
      <c r="D41" s="228" t="str">
        <f>IFERROR(TEXT(INDEX(contents!X:X,MATCH(B41,contents!W:W,0),0),"aaa"),"")</f>
        <v/>
      </c>
      <c r="E41" s="228" t="str" cm="1">
        <f t="array" ref="E41">IF(INDEX('contents 추가정보'!E:E,MATCH(B41,'contents 추가정보'!A:A,0),0)=0,"",INDEX('contents 추가정보'!E:E,MATCH(B41,'contents 추가정보'!A:A,0),0))</f>
        <v/>
      </c>
      <c r="F41" s="229" t="str">
        <f>IFERROR(IF(INDEX(contents!C:C,MATCH(B41,contents!W:W,0)+1)="Sponsored","●",""),"")</f>
        <v/>
      </c>
      <c r="G41" s="230" t="str" cm="1">
        <f t="array" ref="G41">IF(INDEX('contents 추가정보'!C:C,MATCH(B41,'contents 추가정보'!A:A,0),0)=0,"",INDEX('contents 추가정보'!C:C,MATCH(B41,'contents 추가정보'!A:A,0),0))</f>
        <v/>
      </c>
      <c r="H41" s="228" t="str" cm="1">
        <f t="array" ref="H41">IF(INDEX('contents 추가정보'!D:D, MATCH(B41, 'contents 추가정보'!A:A, 0), 0)= 0, "",
INDEX('contents 추가정보'!D:D, MATCH(B41, 'contents 추가정보'!A:A, 0), 0))</f>
        <v/>
      </c>
      <c r="I41" s="228" t="str">
        <f>IFERROR(
INDEX(contents!$A$2:$AC$80,
MATCH('contents 장표'!$B41, contents!$W$2:$W$80, 0),
MATCH('contents 장표'!I$5, contents!$A$2:$AC$2, 0)),
"")</f>
        <v/>
      </c>
      <c r="J41" s="228" t="str">
        <f>IFERROR(
INDEX(contents!$A$2:$AC$80,
MATCH('contents 장표'!$B41, contents!$W$2:$W$80, 0),
MATCH('contents 장표'!J$5, contents!$A$2:$AC$2, 0)),
"")</f>
        <v/>
      </c>
      <c r="K41" s="231" t="str">
        <f>IFERROR(
INDEX(contents!$A$2:$AC$80,
MATCH('contents 장표'!$B41, contents!$W$2:$W$80, 0),
MATCH('contents 장표'!K$5, contents!$A$2:$AC$2, 0)),
"")</f>
        <v/>
      </c>
      <c r="L41" s="228" t="str">
        <f>IFERROR(
INDEX(contents!$A$2:$AC$80,
MATCH('contents 장표'!$B41, contents!$W$2:$W$80, 0),
MATCH('contents 장표'!L$5, contents!$A$2:$AC$2, 0)),
"")</f>
        <v/>
      </c>
      <c r="M41" s="228" t="str">
        <f>IFERROR(
INDEX(contents!$A$2:$AC$80,
MATCH('contents 장표'!$B41, contents!$W$2:$W$80, 0),
MATCH('contents 장표'!M$5, contents!$A$2:$AC$2, 0)),
"")</f>
        <v/>
      </c>
      <c r="N41" s="228" t="str">
        <f>IFERROR(
INDEX(contents!$A$2:$AC$80,
MATCH('contents 장표'!$B41, contents!$W$2:$W$80, 0),
MATCH('contents 장표'!N$5, contents!$A$2:$AC$2, 0)),
"")</f>
        <v/>
      </c>
      <c r="O41" s="232" t="str">
        <f t="shared" si="0"/>
        <v/>
      </c>
      <c r="P41" s="272" t="str">
        <f>IFERROR(
INDEX(contents!$A$2:$AC$80,
MATCH('contents 장표'!$B41, contents!$W$2:$W$80, 0),
MATCH('contents 장표'!P$5, contents!$A$2:$AC$2, 0)),
"")</f>
        <v/>
      </c>
      <c r="R41" t="str">
        <f t="shared" si="1"/>
        <v>X</v>
      </c>
    </row>
    <row r="42" spans="2:18">
      <c r="B42" s="233">
        <v>36</v>
      </c>
      <c r="C42" s="235" t="str">
        <f>IFERROR(TEXT(INDEX(contents!X:X,MATCH(B42,contents!W:W,0),0),"mm월 dd일"),"")</f>
        <v/>
      </c>
      <c r="D42" s="228" t="str">
        <f>IFERROR(TEXT(INDEX(contents!X:X,MATCH(B42,contents!W:W,0),0),"aaa"),"")</f>
        <v/>
      </c>
      <c r="E42" s="228" t="str" cm="1">
        <f t="array" ref="E42">IF(INDEX('contents 추가정보'!E:E,MATCH(B42,'contents 추가정보'!A:A,0),0)=0,"",INDEX('contents 추가정보'!E:E,MATCH(B42,'contents 추가정보'!A:A,0),0))</f>
        <v/>
      </c>
      <c r="F42" s="229" t="str">
        <f>IFERROR(IF(INDEX(contents!C:C,MATCH(B42,contents!W:W,0)+1)="Sponsored","●",""),"")</f>
        <v/>
      </c>
      <c r="G42" s="230" t="str" cm="1">
        <f t="array" ref="G42">IF(INDEX('contents 추가정보'!C:C,MATCH(B42,'contents 추가정보'!A:A,0),0)=0,"",INDEX('contents 추가정보'!C:C,MATCH(B42,'contents 추가정보'!A:A,0),0))</f>
        <v/>
      </c>
      <c r="H42" s="228" t="str" cm="1">
        <f t="array" ref="H42">IF(INDEX('contents 추가정보'!D:D, MATCH(B42, 'contents 추가정보'!A:A, 0), 0)= 0, "",
INDEX('contents 추가정보'!D:D, MATCH(B42, 'contents 추가정보'!A:A, 0), 0))</f>
        <v/>
      </c>
      <c r="I42" s="228" t="str">
        <f>IFERROR(
INDEX(contents!$A$2:$AC$80,
MATCH('contents 장표'!$B42, contents!$W$2:$W$80, 0),
MATCH('contents 장표'!I$5, contents!$A$2:$AC$2, 0)),
"")</f>
        <v/>
      </c>
      <c r="J42" s="228" t="str">
        <f>IFERROR(
INDEX(contents!$A$2:$AC$80,
MATCH('contents 장표'!$B42, contents!$W$2:$W$80, 0),
MATCH('contents 장표'!J$5, contents!$A$2:$AC$2, 0)),
"")</f>
        <v/>
      </c>
      <c r="K42" s="231" t="str">
        <f>IFERROR(
INDEX(contents!$A$2:$AC$80,
MATCH('contents 장표'!$B42, contents!$W$2:$W$80, 0),
MATCH('contents 장표'!K$5, contents!$A$2:$AC$2, 0)),
"")</f>
        <v/>
      </c>
      <c r="L42" s="228" t="str">
        <f>IFERROR(
INDEX(contents!$A$2:$AC$80,
MATCH('contents 장표'!$B42, contents!$W$2:$W$80, 0),
MATCH('contents 장표'!L$5, contents!$A$2:$AC$2, 0)),
"")</f>
        <v/>
      </c>
      <c r="M42" s="228" t="str">
        <f>IFERROR(
INDEX(contents!$A$2:$AC$80,
MATCH('contents 장표'!$B42, contents!$W$2:$W$80, 0),
MATCH('contents 장표'!M$5, contents!$A$2:$AC$2, 0)),
"")</f>
        <v/>
      </c>
      <c r="N42" s="228" t="str">
        <f>IFERROR(
INDEX(contents!$A$2:$AC$80,
MATCH('contents 장표'!$B42, contents!$W$2:$W$80, 0),
MATCH('contents 장표'!N$5, contents!$A$2:$AC$2, 0)),
"")</f>
        <v/>
      </c>
      <c r="O42" s="232" t="str">
        <f t="shared" si="0"/>
        <v/>
      </c>
      <c r="P42" s="272" t="str">
        <f>IFERROR(
INDEX(contents!$A$2:$AC$80,
MATCH('contents 장표'!$B42, contents!$W$2:$W$80, 0),
MATCH('contents 장표'!P$5, contents!$A$2:$AC$2, 0)),
"")</f>
        <v/>
      </c>
      <c r="R42" t="str">
        <f t="shared" si="1"/>
        <v>X</v>
      </c>
    </row>
    <row r="43" spans="2:18" ht="18">
      <c r="B43" s="226">
        <v>37</v>
      </c>
      <c r="C43" s="235" t="str">
        <f>IFERROR(TEXT(INDEX(contents!X:X,MATCH(B43,contents!W:W,0),0),"mm월 dd일"),"")</f>
        <v/>
      </c>
      <c r="D43" s="228" t="str">
        <f>IFERROR(TEXT(INDEX(contents!X:X,MATCH(B43,contents!W:W,0),0),"aaa"),"")</f>
        <v/>
      </c>
      <c r="E43" s="228" t="str" cm="1">
        <f t="array" ref="E43">IF(INDEX('contents 추가정보'!E:E,MATCH(B43,'contents 추가정보'!A:A,0),0)=0,"",INDEX('contents 추가정보'!E:E,MATCH(B43,'contents 추가정보'!A:A,0),0))</f>
        <v/>
      </c>
      <c r="F43" s="229" t="str">
        <f>IFERROR(IF(INDEX(contents!C:C,MATCH(B43,contents!W:W,0)+1)="Sponsored","●",""),"")</f>
        <v/>
      </c>
      <c r="G43" s="230" t="str" cm="1">
        <f t="array" ref="G43">IF(INDEX('contents 추가정보'!C:C,MATCH(B43,'contents 추가정보'!A:A,0),0)=0,"",INDEX('contents 추가정보'!C:C,MATCH(B43,'contents 추가정보'!A:A,0),0))</f>
        <v/>
      </c>
      <c r="H43" s="228" t="str" cm="1">
        <f t="array" ref="H43">IF(INDEX('contents 추가정보'!D:D, MATCH(B43, 'contents 추가정보'!A:A, 0), 0)= 0, "",
INDEX('contents 추가정보'!D:D, MATCH(B43, 'contents 추가정보'!A:A, 0), 0))</f>
        <v/>
      </c>
      <c r="I43" s="228" t="str">
        <f>IFERROR(
INDEX(contents!$A$2:$AC$80,
MATCH('contents 장표'!$B43, contents!$W$2:$W$80, 0),
MATCH('contents 장표'!I$5, contents!$A$2:$AC$2, 0)),
"")</f>
        <v/>
      </c>
      <c r="J43" s="228" t="str">
        <f>IFERROR(
INDEX(contents!$A$2:$AC$80,
MATCH('contents 장표'!$B43, contents!$W$2:$W$80, 0),
MATCH('contents 장표'!J$5, contents!$A$2:$AC$2, 0)),
"")</f>
        <v/>
      </c>
      <c r="K43" s="231" t="str">
        <f>IFERROR(
INDEX(contents!$A$2:$AC$80,
MATCH('contents 장표'!$B43, contents!$W$2:$W$80, 0),
MATCH('contents 장표'!K$5, contents!$A$2:$AC$2, 0)),
"")</f>
        <v/>
      </c>
      <c r="L43" s="228" t="str">
        <f>IFERROR(
INDEX(contents!$A$2:$AC$80,
MATCH('contents 장표'!$B43, contents!$W$2:$W$80, 0),
MATCH('contents 장표'!L$5, contents!$A$2:$AC$2, 0)),
"")</f>
        <v/>
      </c>
      <c r="M43" s="228" t="str">
        <f>IFERROR(
INDEX(contents!$A$2:$AC$80,
MATCH('contents 장표'!$B43, contents!$W$2:$W$80, 0),
MATCH('contents 장표'!M$5, contents!$A$2:$AC$2, 0)),
"")</f>
        <v/>
      </c>
      <c r="N43" s="228" t="str">
        <f>IFERROR(
INDEX(contents!$A$2:$AC$80,
MATCH('contents 장표'!$B43, contents!$W$2:$W$80, 0),
MATCH('contents 장표'!N$5, contents!$A$2:$AC$2, 0)),
"")</f>
        <v/>
      </c>
      <c r="O43" s="232" t="str">
        <f t="shared" si="0"/>
        <v/>
      </c>
      <c r="P43" s="272" t="str">
        <f>IFERROR(
INDEX(contents!$A$2:$AC$80,
MATCH('contents 장표'!$B43, contents!$W$2:$W$80, 0),
MATCH('contents 장표'!P$5, contents!$A$2:$AC$2, 0)),
"")</f>
        <v/>
      </c>
      <c r="R43" t="str">
        <f t="shared" si="1"/>
        <v>X</v>
      </c>
    </row>
    <row r="44" spans="2:18">
      <c r="B44" s="233">
        <v>38</v>
      </c>
      <c r="C44" s="235" t="str">
        <f>IFERROR(TEXT(INDEX(contents!X:X,MATCH(B44,contents!W:W,0),0),"mm월 dd일"),"")</f>
        <v/>
      </c>
      <c r="D44" s="228" t="str">
        <f>IFERROR(TEXT(INDEX(contents!X:X,MATCH(B44,contents!W:W,0),0),"aaa"),"")</f>
        <v/>
      </c>
      <c r="E44" s="228" t="str" cm="1">
        <f t="array" ref="E44">IF(INDEX('contents 추가정보'!E:E,MATCH(B44,'contents 추가정보'!A:A,0),0)=0,"",INDEX('contents 추가정보'!E:E,MATCH(B44,'contents 추가정보'!A:A,0),0))</f>
        <v/>
      </c>
      <c r="F44" s="229" t="str">
        <f>IFERROR(IF(INDEX(contents!C:C,MATCH(B44,contents!W:W,0)+1)="Sponsored","●",""),"")</f>
        <v/>
      </c>
      <c r="G44" s="230" t="str" cm="1">
        <f t="array" ref="G44">IF(INDEX('contents 추가정보'!C:C,MATCH(B44,'contents 추가정보'!A:A,0),0)=0,"",INDEX('contents 추가정보'!C:C,MATCH(B44,'contents 추가정보'!A:A,0),0))</f>
        <v/>
      </c>
      <c r="H44" s="228" t="str" cm="1">
        <f t="array" ref="H44">IF(INDEX('contents 추가정보'!D:D, MATCH(B44, 'contents 추가정보'!A:A, 0), 0)= 0, "",
INDEX('contents 추가정보'!D:D, MATCH(B44, 'contents 추가정보'!A:A, 0), 0))</f>
        <v/>
      </c>
      <c r="I44" s="228" t="str">
        <f>IFERROR(
INDEX(contents!$A$2:$AC$80,
MATCH('contents 장표'!$B44, contents!$W$2:$W$80, 0),
MATCH('contents 장표'!I$5, contents!$A$2:$AC$2, 0)),
"")</f>
        <v/>
      </c>
      <c r="J44" s="228" t="str">
        <f>IFERROR(
INDEX(contents!$A$2:$AC$80,
MATCH('contents 장표'!$B44, contents!$W$2:$W$80, 0),
MATCH('contents 장표'!J$5, contents!$A$2:$AC$2, 0)),
"")</f>
        <v/>
      </c>
      <c r="K44" s="231" t="str">
        <f>IFERROR(
INDEX(contents!$A$2:$AC$80,
MATCH('contents 장표'!$B44, contents!$W$2:$W$80, 0),
MATCH('contents 장표'!K$5, contents!$A$2:$AC$2, 0)),
"")</f>
        <v/>
      </c>
      <c r="L44" s="228" t="str">
        <f>IFERROR(
INDEX(contents!$A$2:$AC$80,
MATCH('contents 장표'!$B44, contents!$W$2:$W$80, 0),
MATCH('contents 장표'!L$5, contents!$A$2:$AC$2, 0)),
"")</f>
        <v/>
      </c>
      <c r="M44" s="228" t="str">
        <f>IFERROR(
INDEX(contents!$A$2:$AC$80,
MATCH('contents 장표'!$B44, contents!$W$2:$W$80, 0),
MATCH('contents 장표'!M$5, contents!$A$2:$AC$2, 0)),
"")</f>
        <v/>
      </c>
      <c r="N44" s="228" t="str">
        <f>IFERROR(
INDEX(contents!$A$2:$AC$80,
MATCH('contents 장표'!$B44, contents!$W$2:$W$80, 0),
MATCH('contents 장표'!N$5, contents!$A$2:$AC$2, 0)),
"")</f>
        <v/>
      </c>
      <c r="O44" s="232" t="str">
        <f t="shared" si="0"/>
        <v/>
      </c>
      <c r="P44" s="272" t="str">
        <f>IFERROR(
INDEX(contents!$A$2:$AC$80,
MATCH('contents 장표'!$B44, contents!$W$2:$W$80, 0),
MATCH('contents 장표'!P$5, contents!$A$2:$AC$2, 0)),
"")</f>
        <v/>
      </c>
      <c r="R44" t="str">
        <f t="shared" si="1"/>
        <v>X</v>
      </c>
    </row>
    <row r="45" spans="2:18">
      <c r="B45" s="226">
        <v>39</v>
      </c>
      <c r="C45" s="235" t="str">
        <f>IFERROR(TEXT(INDEX(contents!X:X,MATCH(B45,contents!W:W,0),0),"mm월 dd일"),"")</f>
        <v/>
      </c>
      <c r="D45" s="228" t="str">
        <f>IFERROR(TEXT(INDEX(contents!X:X,MATCH(B45,contents!W:W,0),0),"aaa"),"")</f>
        <v/>
      </c>
      <c r="E45" s="228" t="str" cm="1">
        <f t="array" ref="E45">IF(INDEX('contents 추가정보'!E:E,MATCH(B45,'contents 추가정보'!A:A,0),0)=0,"",INDEX('contents 추가정보'!E:E,MATCH(B45,'contents 추가정보'!A:A,0),0))</f>
        <v/>
      </c>
      <c r="F45" s="229" t="str">
        <f>IFERROR(IF(INDEX(contents!C:C,MATCH(B45,contents!W:W,0)+1)="Sponsored","●",""),"")</f>
        <v/>
      </c>
      <c r="G45" s="230" t="str" cm="1">
        <f t="array" ref="G45">IF(INDEX('contents 추가정보'!C:C,MATCH(B45,'contents 추가정보'!A:A,0),0)=0,"",INDEX('contents 추가정보'!C:C,MATCH(B45,'contents 추가정보'!A:A,0),0))</f>
        <v/>
      </c>
      <c r="H45" s="228" t="str" cm="1">
        <f t="array" ref="H45">IF(INDEX('contents 추가정보'!D:D, MATCH(B45, 'contents 추가정보'!A:A, 0), 0)= 0, "",
INDEX('contents 추가정보'!D:D, MATCH(B45, 'contents 추가정보'!A:A, 0), 0))</f>
        <v/>
      </c>
      <c r="I45" s="228" t="str">
        <f>IFERROR(
INDEX(contents!$A$2:$AC$80,
MATCH('contents 장표'!$B45, contents!$W$2:$W$80, 0),
MATCH('contents 장표'!I$5, contents!$A$2:$AC$2, 0)),
"")</f>
        <v/>
      </c>
      <c r="J45" s="228" t="str">
        <f>IFERROR(
INDEX(contents!$A$2:$AC$80,
MATCH('contents 장표'!$B45, contents!$W$2:$W$80, 0),
MATCH('contents 장표'!J$5, contents!$A$2:$AC$2, 0)),
"")</f>
        <v/>
      </c>
      <c r="K45" s="231" t="str">
        <f>IFERROR(
INDEX(contents!$A$2:$AC$80,
MATCH('contents 장표'!$B45, contents!$W$2:$W$80, 0),
MATCH('contents 장표'!K$5, contents!$A$2:$AC$2, 0)),
"")</f>
        <v/>
      </c>
      <c r="L45" s="228" t="str">
        <f>IFERROR(
INDEX(contents!$A$2:$AC$80,
MATCH('contents 장표'!$B45, contents!$W$2:$W$80, 0),
MATCH('contents 장표'!L$5, contents!$A$2:$AC$2, 0)),
"")</f>
        <v/>
      </c>
      <c r="M45" s="228" t="str">
        <f>IFERROR(
INDEX(contents!$A$2:$AC$80,
MATCH('contents 장표'!$B45, contents!$W$2:$W$80, 0),
MATCH('contents 장표'!M$5, contents!$A$2:$AC$2, 0)),
"")</f>
        <v/>
      </c>
      <c r="N45" s="228" t="str">
        <f>IFERROR(
INDEX(contents!$A$2:$AC$80,
MATCH('contents 장표'!$B45, contents!$W$2:$W$80, 0),
MATCH('contents 장표'!N$5, contents!$A$2:$AC$2, 0)),
"")</f>
        <v/>
      </c>
      <c r="O45" s="232" t="str">
        <f t="shared" si="0"/>
        <v/>
      </c>
      <c r="P45" s="272" t="str">
        <f>IFERROR(
INDEX(contents!$A$2:$AC$80,
MATCH('contents 장표'!$B45, contents!$W$2:$W$80, 0),
MATCH('contents 장표'!P$5, contents!$A$2:$AC$2, 0)),
"")</f>
        <v/>
      </c>
      <c r="R45" t="str">
        <f t="shared" si="1"/>
        <v>X</v>
      </c>
    </row>
    <row r="46" spans="2:18">
      <c r="B46" s="233">
        <v>40</v>
      </c>
      <c r="C46" s="235" t="str">
        <f>IFERROR(TEXT(INDEX(contents!X:X,MATCH(B46,contents!W:W,0),0),"mm월 dd일"),"")</f>
        <v/>
      </c>
      <c r="D46" s="228" t="str">
        <f>IFERROR(TEXT(INDEX(contents!X:X,MATCH(B46,contents!W:W,0),0),"aaa"),"")</f>
        <v/>
      </c>
      <c r="E46" s="228" t="str" cm="1">
        <f t="array" ref="E46">IF(INDEX('contents 추가정보'!E:E,MATCH(B46,'contents 추가정보'!A:A,0),0)=0,"",INDEX('contents 추가정보'!E:E,MATCH(B46,'contents 추가정보'!A:A,0),0))</f>
        <v/>
      </c>
      <c r="F46" s="229" t="str">
        <f>IFERROR(IF(INDEX(contents!C:C,MATCH(B46,contents!W:W,0)+1)="Sponsored","●",""),"")</f>
        <v/>
      </c>
      <c r="G46" s="230" t="str" cm="1">
        <f t="array" ref="G46">IF(INDEX('contents 추가정보'!C:C,MATCH(B46,'contents 추가정보'!A:A,0),0)=0,"",INDEX('contents 추가정보'!C:C,MATCH(B46,'contents 추가정보'!A:A,0),0))</f>
        <v/>
      </c>
      <c r="H46" s="228" t="str" cm="1">
        <f t="array" ref="H46">IF(INDEX('contents 추가정보'!D:D, MATCH(B46, 'contents 추가정보'!A:A, 0), 0)= 0, "",
INDEX('contents 추가정보'!D:D, MATCH(B46, 'contents 추가정보'!A:A, 0), 0))</f>
        <v/>
      </c>
      <c r="I46" s="228" t="str">
        <f>IFERROR(
INDEX(contents!$A$2:$AC$80,
MATCH('contents 장표'!$B46, contents!$W$2:$W$80, 0),
MATCH('contents 장표'!I$5, contents!$A$2:$AC$2, 0)),
"")</f>
        <v/>
      </c>
      <c r="J46" s="228" t="str">
        <f>IFERROR(
INDEX(contents!$A$2:$AC$80,
MATCH('contents 장표'!$B46, contents!$W$2:$W$80, 0),
MATCH('contents 장표'!J$5, contents!$A$2:$AC$2, 0)),
"")</f>
        <v/>
      </c>
      <c r="K46" s="231" t="str">
        <f>IFERROR(
INDEX(contents!$A$2:$AC$80,
MATCH('contents 장표'!$B46, contents!$W$2:$W$80, 0),
MATCH('contents 장표'!K$5, contents!$A$2:$AC$2, 0)),
"")</f>
        <v/>
      </c>
      <c r="L46" s="228" t="str">
        <f>IFERROR(
INDEX(contents!$A$2:$AC$80,
MATCH('contents 장표'!$B46, contents!$W$2:$W$80, 0),
MATCH('contents 장표'!L$5, contents!$A$2:$AC$2, 0)),
"")</f>
        <v/>
      </c>
      <c r="M46" s="228" t="str">
        <f>IFERROR(
INDEX(contents!$A$2:$AC$80,
MATCH('contents 장표'!$B46, contents!$W$2:$W$80, 0),
MATCH('contents 장표'!M$5, contents!$A$2:$AC$2, 0)),
"")</f>
        <v/>
      </c>
      <c r="N46" s="228" t="str">
        <f>IFERROR(
INDEX(contents!$A$2:$AC$80,
MATCH('contents 장표'!$B46, contents!$W$2:$W$80, 0),
MATCH('contents 장표'!N$5, contents!$A$2:$AC$2, 0)),
"")</f>
        <v/>
      </c>
      <c r="O46" s="232" t="str">
        <f t="shared" si="0"/>
        <v/>
      </c>
      <c r="P46" s="272" t="str">
        <f>IFERROR(
INDEX(contents!$A$2:$AC$80,
MATCH('contents 장표'!$B46, contents!$W$2:$W$80, 0),
MATCH('contents 장표'!P$5, contents!$A$2:$AC$2, 0)),
"")</f>
        <v/>
      </c>
      <c r="R46" t="str">
        <f t="shared" si="1"/>
        <v>X</v>
      </c>
    </row>
    <row r="47" spans="2:18" ht="18">
      <c r="B47" s="226">
        <v>41</v>
      </c>
      <c r="C47" s="235" t="str">
        <f>IFERROR(TEXT(INDEX(contents!X:X,MATCH(B47,contents!W:W,0),0),"mm월 dd일"),"")</f>
        <v/>
      </c>
      <c r="D47" s="228" t="str">
        <f>IFERROR(TEXT(INDEX(contents!X:X,MATCH(B47,contents!W:W,0),0),"aaa"),"")</f>
        <v/>
      </c>
      <c r="E47" s="228" t="str" cm="1">
        <f t="array" ref="E47">IF(INDEX('contents 추가정보'!E:E,MATCH(B47,'contents 추가정보'!A:A,0),0)=0,"",INDEX('contents 추가정보'!E:E,MATCH(B47,'contents 추가정보'!A:A,0),0))</f>
        <v/>
      </c>
      <c r="F47" s="229" t="str">
        <f>IFERROR(IF(INDEX(contents!C:C,MATCH(B47,contents!W:W,0)+1)="Sponsored","●",""),"")</f>
        <v/>
      </c>
      <c r="G47" s="230" t="str" cm="1">
        <f t="array" ref="G47">IF(INDEX('contents 추가정보'!C:C,MATCH(B47,'contents 추가정보'!A:A,0),0)=0,"",INDEX('contents 추가정보'!C:C,MATCH(B47,'contents 추가정보'!A:A,0),0))</f>
        <v/>
      </c>
      <c r="H47" s="228" t="str" cm="1">
        <f t="array" ref="H47">IF(INDEX('contents 추가정보'!D:D, MATCH(B47, 'contents 추가정보'!A:A, 0), 0)= 0, "",
INDEX('contents 추가정보'!D:D, MATCH(B47, 'contents 추가정보'!A:A, 0), 0))</f>
        <v/>
      </c>
      <c r="I47" s="228" t="str">
        <f>IFERROR(
INDEX(contents!$A$2:$AC$80,
MATCH('contents 장표'!$B47, contents!$W$2:$W$80, 0),
MATCH('contents 장표'!I$5, contents!$A$2:$AC$2, 0)),
"")</f>
        <v/>
      </c>
      <c r="J47" s="228" t="str">
        <f>IFERROR(
INDEX(contents!$A$2:$AC$80,
MATCH('contents 장표'!$B47, contents!$W$2:$W$80, 0),
MATCH('contents 장표'!J$5, contents!$A$2:$AC$2, 0)),
"")</f>
        <v/>
      </c>
      <c r="K47" s="231" t="str">
        <f>IFERROR(
INDEX(contents!$A$2:$AC$80,
MATCH('contents 장표'!$B47, contents!$W$2:$W$80, 0),
MATCH('contents 장표'!K$5, contents!$A$2:$AC$2, 0)),
"")</f>
        <v/>
      </c>
      <c r="L47" s="228" t="str">
        <f>IFERROR(
INDEX(contents!$A$2:$AC$80,
MATCH('contents 장표'!$B47, contents!$W$2:$W$80, 0),
MATCH('contents 장표'!L$5, contents!$A$2:$AC$2, 0)),
"")</f>
        <v/>
      </c>
      <c r="M47" s="228" t="str">
        <f>IFERROR(
INDEX(contents!$A$2:$AC$80,
MATCH('contents 장표'!$B47, contents!$W$2:$W$80, 0),
MATCH('contents 장표'!M$5, contents!$A$2:$AC$2, 0)),
"")</f>
        <v/>
      </c>
      <c r="N47" s="228" t="str">
        <f>IFERROR(
INDEX(contents!$A$2:$AC$80,
MATCH('contents 장표'!$B47, contents!$W$2:$W$80, 0),
MATCH('contents 장표'!N$5, contents!$A$2:$AC$2, 0)),
"")</f>
        <v/>
      </c>
      <c r="O47" s="232" t="str">
        <f t="shared" si="0"/>
        <v/>
      </c>
      <c r="P47" s="272" t="str">
        <f>IFERROR(
INDEX(contents!$A$2:$AC$80,
MATCH('contents 장표'!$B47, contents!$W$2:$W$80, 0),
MATCH('contents 장표'!P$5, contents!$A$2:$AC$2, 0)),
"")</f>
        <v/>
      </c>
      <c r="R47" t="str">
        <f t="shared" si="1"/>
        <v>X</v>
      </c>
    </row>
    <row r="48" spans="2:18">
      <c r="B48" s="233">
        <v>42</v>
      </c>
      <c r="C48" s="235" t="str">
        <f>IFERROR(TEXT(INDEX(contents!X:X,MATCH(B48,contents!W:W,0),0),"mm월 dd일"),"")</f>
        <v/>
      </c>
      <c r="D48" s="228" t="str">
        <f>IFERROR(TEXT(INDEX(contents!X:X,MATCH(B48,contents!W:W,0),0),"aaa"),"")</f>
        <v/>
      </c>
      <c r="E48" s="228" t="str" cm="1">
        <f t="array" ref="E48">IF(INDEX('contents 추가정보'!E:E,MATCH(B48,'contents 추가정보'!A:A,0),0)=0,"",INDEX('contents 추가정보'!E:E,MATCH(B48,'contents 추가정보'!A:A,0),0))</f>
        <v/>
      </c>
      <c r="F48" s="229" t="str">
        <f>IFERROR(IF(INDEX(contents!C:C,MATCH(B48,contents!W:W,0)+1)="Sponsored","●",""),"")</f>
        <v/>
      </c>
      <c r="G48" s="230" t="str" cm="1">
        <f t="array" ref="G48">IF(INDEX('contents 추가정보'!C:C,MATCH(B48,'contents 추가정보'!A:A,0),0)=0,"",INDEX('contents 추가정보'!C:C,MATCH(B48,'contents 추가정보'!A:A,0),0))</f>
        <v/>
      </c>
      <c r="H48" s="228" t="str" cm="1">
        <f t="array" ref="H48">IF(INDEX('contents 추가정보'!D:D, MATCH(B48, 'contents 추가정보'!A:A, 0), 0)= 0, "",
INDEX('contents 추가정보'!D:D, MATCH(B48, 'contents 추가정보'!A:A, 0), 0))</f>
        <v/>
      </c>
      <c r="I48" s="228" t="str">
        <f>IFERROR(
INDEX(contents!$A$2:$AC$80,
MATCH('contents 장표'!$B48, contents!$W$2:$W$80, 0),
MATCH('contents 장표'!I$5, contents!$A$2:$AC$2, 0)),
"")</f>
        <v/>
      </c>
      <c r="J48" s="228" t="str">
        <f>IFERROR(
INDEX(contents!$A$2:$AC$80,
MATCH('contents 장표'!$B48, contents!$W$2:$W$80, 0),
MATCH('contents 장표'!J$5, contents!$A$2:$AC$2, 0)),
"")</f>
        <v/>
      </c>
      <c r="K48" s="231" t="str">
        <f>IFERROR(
INDEX(contents!$A$2:$AC$80,
MATCH('contents 장표'!$B48, contents!$W$2:$W$80, 0),
MATCH('contents 장표'!K$5, contents!$A$2:$AC$2, 0)),
"")</f>
        <v/>
      </c>
      <c r="L48" s="228" t="str">
        <f>IFERROR(
INDEX(contents!$A$2:$AC$80,
MATCH('contents 장표'!$B48, contents!$W$2:$W$80, 0),
MATCH('contents 장표'!L$5, contents!$A$2:$AC$2, 0)),
"")</f>
        <v/>
      </c>
      <c r="M48" s="228" t="str">
        <f>IFERROR(
INDEX(contents!$A$2:$AC$80,
MATCH('contents 장표'!$B48, contents!$W$2:$W$80, 0),
MATCH('contents 장표'!M$5, contents!$A$2:$AC$2, 0)),
"")</f>
        <v/>
      </c>
      <c r="N48" s="228" t="str">
        <f>IFERROR(
INDEX(contents!$A$2:$AC$80,
MATCH('contents 장표'!$B48, contents!$W$2:$W$80, 0),
MATCH('contents 장표'!N$5, contents!$A$2:$AC$2, 0)),
"")</f>
        <v/>
      </c>
      <c r="O48" s="232" t="str">
        <f t="shared" si="0"/>
        <v/>
      </c>
      <c r="P48" s="272" t="str">
        <f>IFERROR(
INDEX(contents!$A$2:$AC$80,
MATCH('contents 장표'!$B48, contents!$W$2:$W$80, 0),
MATCH('contents 장표'!P$5, contents!$A$2:$AC$2, 0)),
"")</f>
        <v/>
      </c>
      <c r="R48" t="str">
        <f t="shared" si="1"/>
        <v>X</v>
      </c>
    </row>
    <row r="49" spans="2:18">
      <c r="B49" s="226">
        <v>43</v>
      </c>
      <c r="C49" s="235" t="str">
        <f>IFERROR(TEXT(INDEX(contents!X:X,MATCH(B49,contents!W:W,0),0),"mm월 dd일"),"")</f>
        <v/>
      </c>
      <c r="D49" s="228" t="str">
        <f>IFERROR(TEXT(INDEX(contents!X:X,MATCH(B49,contents!W:W,0),0),"aaa"),"")</f>
        <v/>
      </c>
      <c r="E49" s="228" t="str" cm="1">
        <f t="array" ref="E49">IF(INDEX('contents 추가정보'!E:E,MATCH(B49,'contents 추가정보'!A:A,0),0)=0,"",INDEX('contents 추가정보'!E:E,MATCH(B49,'contents 추가정보'!A:A,0),0))</f>
        <v/>
      </c>
      <c r="F49" s="229" t="str">
        <f>IFERROR(IF(INDEX(contents!C:C,MATCH(B49,contents!W:W,0)+1)="Sponsored","●",""),"")</f>
        <v/>
      </c>
      <c r="G49" s="230" t="str" cm="1">
        <f t="array" ref="G49">IF(INDEX('contents 추가정보'!C:C,MATCH(B49,'contents 추가정보'!A:A,0),0)=0,"",INDEX('contents 추가정보'!C:C,MATCH(B49,'contents 추가정보'!A:A,0),0))</f>
        <v/>
      </c>
      <c r="H49" s="228" t="str" cm="1">
        <f t="array" ref="H49">IF(INDEX('contents 추가정보'!D:D, MATCH(B49, 'contents 추가정보'!A:A, 0), 0)= 0, "",
INDEX('contents 추가정보'!D:D, MATCH(B49, 'contents 추가정보'!A:A, 0), 0))</f>
        <v/>
      </c>
      <c r="I49" s="228" t="str">
        <f>IFERROR(
INDEX(contents!$A$2:$AC$80,
MATCH('contents 장표'!$B49, contents!$W$2:$W$80, 0),
MATCH('contents 장표'!I$5, contents!$A$2:$AC$2, 0)),
"")</f>
        <v/>
      </c>
      <c r="J49" s="228" t="str">
        <f>IFERROR(
INDEX(contents!$A$2:$AC$80,
MATCH('contents 장표'!$B49, contents!$W$2:$W$80, 0),
MATCH('contents 장표'!J$5, contents!$A$2:$AC$2, 0)),
"")</f>
        <v/>
      </c>
      <c r="K49" s="231" t="str">
        <f>IFERROR(
INDEX(contents!$A$2:$AC$80,
MATCH('contents 장표'!$B49, contents!$W$2:$W$80, 0),
MATCH('contents 장표'!K$5, contents!$A$2:$AC$2, 0)),
"")</f>
        <v/>
      </c>
      <c r="L49" s="228" t="str">
        <f>IFERROR(
INDEX(contents!$A$2:$AC$80,
MATCH('contents 장표'!$B49, contents!$W$2:$W$80, 0),
MATCH('contents 장표'!L$5, contents!$A$2:$AC$2, 0)),
"")</f>
        <v/>
      </c>
      <c r="M49" s="228" t="str">
        <f>IFERROR(
INDEX(contents!$A$2:$AC$80,
MATCH('contents 장표'!$B49, contents!$W$2:$W$80, 0),
MATCH('contents 장표'!M$5, contents!$A$2:$AC$2, 0)),
"")</f>
        <v/>
      </c>
      <c r="N49" s="228" t="str">
        <f>IFERROR(
INDEX(contents!$A$2:$AC$80,
MATCH('contents 장표'!$B49, contents!$W$2:$W$80, 0),
MATCH('contents 장표'!N$5, contents!$A$2:$AC$2, 0)),
"")</f>
        <v/>
      </c>
      <c r="O49" s="232" t="str">
        <f t="shared" si="0"/>
        <v/>
      </c>
      <c r="P49" s="272" t="str">
        <f>IFERROR(
INDEX(contents!$A$2:$AC$80,
MATCH('contents 장표'!$B49, contents!$W$2:$W$80, 0),
MATCH('contents 장표'!P$5, contents!$A$2:$AC$2, 0)),
"")</f>
        <v/>
      </c>
      <c r="R49" t="str">
        <f t="shared" si="1"/>
        <v>X</v>
      </c>
    </row>
    <row r="50" spans="2:18">
      <c r="B50" s="233">
        <v>44</v>
      </c>
      <c r="C50" s="235" t="str">
        <f>IFERROR(TEXT(INDEX(contents!X:X,MATCH(B50,contents!W:W,0),0),"mm월 dd일"),"")</f>
        <v/>
      </c>
      <c r="D50" s="228" t="str">
        <f>IFERROR(TEXT(INDEX(contents!X:X,MATCH(B50,contents!W:W,0),0),"aaa"),"")</f>
        <v/>
      </c>
      <c r="E50" s="228" t="str" cm="1">
        <f t="array" ref="E50">IF(INDEX('contents 추가정보'!E:E,MATCH(B50,'contents 추가정보'!A:A,0),0)=0,"",INDEX('contents 추가정보'!E:E,MATCH(B50,'contents 추가정보'!A:A,0),0))</f>
        <v/>
      </c>
      <c r="F50" s="229" t="str">
        <f>IFERROR(IF(INDEX(contents!C:C,MATCH(B50,contents!W:W,0)+1)="Sponsored","●",""),"")</f>
        <v/>
      </c>
      <c r="G50" s="230" t="str" cm="1">
        <f t="array" ref="G50">IF(INDEX('contents 추가정보'!C:C,MATCH(B50,'contents 추가정보'!A:A,0),0)=0,"",INDEX('contents 추가정보'!C:C,MATCH(B50,'contents 추가정보'!A:A,0),0))</f>
        <v/>
      </c>
      <c r="H50" s="228" t="str" cm="1">
        <f t="array" ref="H50">IF(INDEX('contents 추가정보'!D:D, MATCH(B50, 'contents 추가정보'!A:A, 0), 0)= 0, "",
INDEX('contents 추가정보'!D:D, MATCH(B50, 'contents 추가정보'!A:A, 0), 0))</f>
        <v/>
      </c>
      <c r="I50" s="228" t="str">
        <f>IFERROR(
INDEX(contents!$A$2:$AC$80,
MATCH('contents 장표'!$B50, contents!$W$2:$W$80, 0),
MATCH('contents 장표'!I$5, contents!$A$2:$AC$2, 0)),
"")</f>
        <v/>
      </c>
      <c r="J50" s="228" t="str">
        <f>IFERROR(
INDEX(contents!$A$2:$AC$80,
MATCH('contents 장표'!$B50, contents!$W$2:$W$80, 0),
MATCH('contents 장표'!J$5, contents!$A$2:$AC$2, 0)),
"")</f>
        <v/>
      </c>
      <c r="K50" s="231" t="str">
        <f>IFERROR(
INDEX(contents!$A$2:$AC$80,
MATCH('contents 장표'!$B50, contents!$W$2:$W$80, 0),
MATCH('contents 장표'!K$5, contents!$A$2:$AC$2, 0)),
"")</f>
        <v/>
      </c>
      <c r="L50" s="228" t="str">
        <f>IFERROR(
INDEX(contents!$A$2:$AC$80,
MATCH('contents 장표'!$B50, contents!$W$2:$W$80, 0),
MATCH('contents 장표'!L$5, contents!$A$2:$AC$2, 0)),
"")</f>
        <v/>
      </c>
      <c r="M50" s="228" t="str">
        <f>IFERROR(
INDEX(contents!$A$2:$AC$80,
MATCH('contents 장표'!$B50, contents!$W$2:$W$80, 0),
MATCH('contents 장표'!M$5, contents!$A$2:$AC$2, 0)),
"")</f>
        <v/>
      </c>
      <c r="N50" s="228" t="str">
        <f>IFERROR(
INDEX(contents!$A$2:$AC$80,
MATCH('contents 장표'!$B50, contents!$W$2:$W$80, 0),
MATCH('contents 장표'!N$5, contents!$A$2:$AC$2, 0)),
"")</f>
        <v/>
      </c>
      <c r="O50" s="232" t="str">
        <f t="shared" si="0"/>
        <v/>
      </c>
      <c r="P50" s="272" t="str">
        <f>IFERROR(
INDEX(contents!$A$2:$AC$80,
MATCH('contents 장표'!$B50, contents!$W$2:$W$80, 0),
MATCH('contents 장표'!P$5, contents!$A$2:$AC$2, 0)),
"")</f>
        <v/>
      </c>
      <c r="R50" t="str">
        <f t="shared" si="1"/>
        <v>X</v>
      </c>
    </row>
    <row r="51" spans="2:18">
      <c r="B51" s="233">
        <v>45</v>
      </c>
      <c r="C51" s="235" t="str">
        <f>IFERROR(TEXT(INDEX(contents!X:X,MATCH(B51,contents!W:W,0),0),"mm월 dd일"),"")</f>
        <v/>
      </c>
      <c r="D51" s="228" t="str">
        <f>IFERROR(TEXT(INDEX(contents!X:X,MATCH(B51,contents!W:W,0),0),"aaa"),"")</f>
        <v/>
      </c>
      <c r="E51" s="228" t="str" cm="1">
        <f t="array" ref="E51">IF(INDEX('contents 추가정보'!E:E,MATCH(B51,'contents 추가정보'!A:A,0),0)=0,"",INDEX('contents 추가정보'!E:E,MATCH(B51,'contents 추가정보'!A:A,0),0))</f>
        <v/>
      </c>
      <c r="F51" s="229" t="str">
        <f>IFERROR(IF(INDEX(contents!C:C,MATCH(B51,contents!W:W,0)+1)="Sponsored","●",""),"")</f>
        <v/>
      </c>
      <c r="G51" s="230" t="str" cm="1">
        <f t="array" ref="G51">IF(INDEX('contents 추가정보'!C:C,MATCH(B51,'contents 추가정보'!A:A,0),0)=0,"",INDEX('contents 추가정보'!C:C,MATCH(B51,'contents 추가정보'!A:A,0),0))</f>
        <v/>
      </c>
      <c r="H51" s="228" t="str" cm="1">
        <f t="array" ref="H51">IF(INDEX('contents 추가정보'!D:D, MATCH(B51, 'contents 추가정보'!A:A, 0), 0)= 0, "",
INDEX('contents 추가정보'!D:D, MATCH(B51, 'contents 추가정보'!A:A, 0), 0))</f>
        <v/>
      </c>
      <c r="I51" s="228" t="str">
        <f>IFERROR(
INDEX(contents!$A$2:$AC$80,
MATCH('contents 장표'!$B51, contents!$W$2:$W$80, 0),
MATCH('contents 장표'!I$5, contents!$A$2:$AC$2, 0)),
"")</f>
        <v/>
      </c>
      <c r="J51" s="228" t="str">
        <f>IFERROR(
INDEX(contents!$A$2:$AC$80,
MATCH('contents 장표'!$B51, contents!$W$2:$W$80, 0),
MATCH('contents 장표'!J$5, contents!$A$2:$AC$2, 0)),
"")</f>
        <v/>
      </c>
      <c r="K51" s="231" t="str">
        <f>IFERROR(
INDEX(contents!$A$2:$AC$80,
MATCH('contents 장표'!$B51, contents!$W$2:$W$80, 0),
MATCH('contents 장표'!K$5, contents!$A$2:$AC$2, 0)),
"")</f>
        <v/>
      </c>
      <c r="L51" s="228" t="str">
        <f>IFERROR(
INDEX(contents!$A$2:$AC$80,
MATCH('contents 장표'!$B51, contents!$W$2:$W$80, 0),
MATCH('contents 장표'!L$5, contents!$A$2:$AC$2, 0)),
"")</f>
        <v/>
      </c>
      <c r="M51" s="228" t="str">
        <f>IFERROR(
INDEX(contents!$A$2:$AC$80,
MATCH('contents 장표'!$B51, contents!$W$2:$W$80, 0),
MATCH('contents 장표'!M$5, contents!$A$2:$AC$2, 0)),
"")</f>
        <v/>
      </c>
      <c r="N51" s="228" t="str">
        <f>IFERROR(
INDEX(contents!$A$2:$AC$80,
MATCH('contents 장표'!$B51, contents!$W$2:$W$80, 0),
MATCH('contents 장표'!N$5, contents!$A$2:$AC$2, 0)),
"")</f>
        <v/>
      </c>
      <c r="O51" s="232" t="str">
        <f t="shared" ref="O51:O66" si="2">IF(G51="","",SUM(J51,L51:N51))</f>
        <v/>
      </c>
      <c r="P51" s="272" t="str">
        <f>IFERROR(
INDEX(contents!$A$2:$AC$80,
MATCH('contents 장표'!$B51, contents!$W$2:$W$80, 0),
MATCH('contents 장표'!P$5, contents!$A$2:$AC$2, 0)),
"")</f>
        <v/>
      </c>
      <c r="R51" t="str">
        <f t="shared" ref="R51:R66" si="3">IF(ISNUMBER(SEARCH("(Youtube)", G51)), "O", "X")</f>
        <v>X</v>
      </c>
    </row>
    <row r="52" spans="2:18">
      <c r="B52" s="233">
        <v>46</v>
      </c>
      <c r="C52" s="235" t="str">
        <f>IFERROR(TEXT(INDEX(contents!X:X,MATCH(B52,contents!W:W,0),0),"mm월 dd일"),"")</f>
        <v/>
      </c>
      <c r="D52" s="228" t="str">
        <f>IFERROR(TEXT(INDEX(contents!X:X,MATCH(B52,contents!W:W,0),0),"aaa"),"")</f>
        <v/>
      </c>
      <c r="E52" s="228" t="str" cm="1">
        <f t="array" ref="E52">IF(INDEX('contents 추가정보'!E:E,MATCH(B52,'contents 추가정보'!A:A,0),0)=0,"",INDEX('contents 추가정보'!E:E,MATCH(B52,'contents 추가정보'!A:A,0),0))</f>
        <v/>
      </c>
      <c r="F52" s="229" t="str">
        <f>IFERROR(IF(INDEX(contents!C:C,MATCH(B52,contents!W:W,0)+1)="Sponsored","●",""),"")</f>
        <v/>
      </c>
      <c r="G52" s="230" t="str" cm="1">
        <f t="array" ref="G52">IF(INDEX('contents 추가정보'!C:C,MATCH(B52,'contents 추가정보'!A:A,0),0)=0,"",INDEX('contents 추가정보'!C:C,MATCH(B52,'contents 추가정보'!A:A,0),0))</f>
        <v/>
      </c>
      <c r="H52" s="228" t="str" cm="1">
        <f t="array" ref="H52">IF(INDEX('contents 추가정보'!D:D, MATCH(B52, 'contents 추가정보'!A:A, 0), 0)= 0, "",
INDEX('contents 추가정보'!D:D, MATCH(B52, 'contents 추가정보'!A:A, 0), 0))</f>
        <v/>
      </c>
      <c r="I52" s="228" t="str">
        <f>IFERROR(
INDEX(contents!$A$2:$AC$80,
MATCH('contents 장표'!$B52, contents!$W$2:$W$80, 0),
MATCH('contents 장표'!I$5, contents!$A$2:$AC$2, 0)),
"")</f>
        <v/>
      </c>
      <c r="J52" s="228" t="str">
        <f>IFERROR(
INDEX(contents!$A$2:$AC$80,
MATCH('contents 장표'!$B52, contents!$W$2:$W$80, 0),
MATCH('contents 장표'!J$5, contents!$A$2:$AC$2, 0)),
"")</f>
        <v/>
      </c>
      <c r="K52" s="231" t="str">
        <f>IFERROR(
INDEX(contents!$A$2:$AC$80,
MATCH('contents 장표'!$B52, contents!$W$2:$W$80, 0),
MATCH('contents 장표'!K$5, contents!$A$2:$AC$2, 0)),
"")</f>
        <v/>
      </c>
      <c r="L52" s="228" t="str">
        <f>IFERROR(
INDEX(contents!$A$2:$AC$80,
MATCH('contents 장표'!$B52, contents!$W$2:$W$80, 0),
MATCH('contents 장표'!L$5, contents!$A$2:$AC$2, 0)),
"")</f>
        <v/>
      </c>
      <c r="M52" s="228" t="str">
        <f>IFERROR(
INDEX(contents!$A$2:$AC$80,
MATCH('contents 장표'!$B52, contents!$W$2:$W$80, 0),
MATCH('contents 장표'!M$5, contents!$A$2:$AC$2, 0)),
"")</f>
        <v/>
      </c>
      <c r="N52" s="228" t="str">
        <f>IFERROR(
INDEX(contents!$A$2:$AC$80,
MATCH('contents 장표'!$B52, contents!$W$2:$W$80, 0),
MATCH('contents 장표'!N$5, contents!$A$2:$AC$2, 0)),
"")</f>
        <v/>
      </c>
      <c r="O52" s="232" t="str">
        <f t="shared" si="2"/>
        <v/>
      </c>
      <c r="P52" s="272" t="str">
        <f>IFERROR(
INDEX(contents!$A$2:$AC$80,
MATCH('contents 장표'!$B52, contents!$W$2:$W$80, 0),
MATCH('contents 장표'!P$5, contents!$A$2:$AC$2, 0)),
"")</f>
        <v/>
      </c>
      <c r="R52" t="str">
        <f t="shared" si="3"/>
        <v>X</v>
      </c>
    </row>
    <row r="53" spans="2:18">
      <c r="B53" s="233">
        <v>47</v>
      </c>
      <c r="C53" s="235" t="str">
        <f>IFERROR(TEXT(INDEX(contents!X:X,MATCH(B53,contents!W:W,0),0),"mm월 dd일"),"")</f>
        <v/>
      </c>
      <c r="D53" s="228" t="str">
        <f>IFERROR(TEXT(INDEX(contents!X:X,MATCH(B53,contents!W:W,0),0),"aaa"),"")</f>
        <v/>
      </c>
      <c r="E53" s="228" t="str" cm="1">
        <f t="array" ref="E53">IF(INDEX('contents 추가정보'!E:E,MATCH(B53,'contents 추가정보'!A:A,0),0)=0,"",INDEX('contents 추가정보'!E:E,MATCH(B53,'contents 추가정보'!A:A,0),0))</f>
        <v/>
      </c>
      <c r="F53" s="229" t="str">
        <f>IFERROR(IF(INDEX(contents!C:C,MATCH(B53,contents!W:W,0)+1)="Sponsored","●",""),"")</f>
        <v/>
      </c>
      <c r="G53" s="230" t="str" cm="1">
        <f t="array" ref="G53">IF(INDEX('contents 추가정보'!C:C,MATCH(B53,'contents 추가정보'!A:A,0),0)=0,"",INDEX('contents 추가정보'!C:C,MATCH(B53,'contents 추가정보'!A:A,0),0))</f>
        <v/>
      </c>
      <c r="H53" s="228" t="str" cm="1">
        <f t="array" ref="H53">IF(INDEX('contents 추가정보'!D:D, MATCH(B53, 'contents 추가정보'!A:A, 0), 0)= 0, "",
INDEX('contents 추가정보'!D:D, MATCH(B53, 'contents 추가정보'!A:A, 0), 0))</f>
        <v/>
      </c>
      <c r="I53" s="228" t="str">
        <f>IFERROR(
INDEX(contents!$A$2:$AC$80,
MATCH('contents 장표'!$B53, contents!$W$2:$W$80, 0),
MATCH('contents 장표'!I$5, contents!$A$2:$AC$2, 0)),
"")</f>
        <v/>
      </c>
      <c r="J53" s="228" t="str">
        <f>IFERROR(
INDEX(contents!$A$2:$AC$80,
MATCH('contents 장표'!$B53, contents!$W$2:$W$80, 0),
MATCH('contents 장표'!J$5, contents!$A$2:$AC$2, 0)),
"")</f>
        <v/>
      </c>
      <c r="K53" s="231" t="str">
        <f>IFERROR(
INDEX(contents!$A$2:$AC$80,
MATCH('contents 장표'!$B53, contents!$W$2:$W$80, 0),
MATCH('contents 장표'!K$5, contents!$A$2:$AC$2, 0)),
"")</f>
        <v/>
      </c>
      <c r="L53" s="228" t="str">
        <f>IFERROR(
INDEX(contents!$A$2:$AC$80,
MATCH('contents 장표'!$B53, contents!$W$2:$W$80, 0),
MATCH('contents 장표'!L$5, contents!$A$2:$AC$2, 0)),
"")</f>
        <v/>
      </c>
      <c r="M53" s="228" t="str">
        <f>IFERROR(
INDEX(contents!$A$2:$AC$80,
MATCH('contents 장표'!$B53, contents!$W$2:$W$80, 0),
MATCH('contents 장표'!M$5, contents!$A$2:$AC$2, 0)),
"")</f>
        <v/>
      </c>
      <c r="N53" s="228" t="str">
        <f>IFERROR(
INDEX(contents!$A$2:$AC$80,
MATCH('contents 장표'!$B53, contents!$W$2:$W$80, 0),
MATCH('contents 장표'!N$5, contents!$A$2:$AC$2, 0)),
"")</f>
        <v/>
      </c>
      <c r="O53" s="232" t="str">
        <f t="shared" si="2"/>
        <v/>
      </c>
      <c r="P53" s="272" t="str">
        <f>IFERROR(
INDEX(contents!$A$2:$AC$80,
MATCH('contents 장표'!$B53, contents!$W$2:$W$80, 0),
MATCH('contents 장표'!P$5, contents!$A$2:$AC$2, 0)),
"")</f>
        <v/>
      </c>
      <c r="R53" t="str">
        <f t="shared" si="3"/>
        <v>X</v>
      </c>
    </row>
    <row r="54" spans="2:18">
      <c r="B54" s="233">
        <v>48</v>
      </c>
      <c r="C54" s="235" t="str">
        <f>IFERROR(TEXT(INDEX(contents!X:X,MATCH(B54,contents!W:W,0),0),"mm월 dd일"),"")</f>
        <v/>
      </c>
      <c r="D54" s="228" t="str">
        <f>IFERROR(TEXT(INDEX(contents!X:X,MATCH(B54,contents!W:W,0),0),"aaa"),"")</f>
        <v/>
      </c>
      <c r="E54" s="228" t="str" cm="1">
        <f t="array" ref="E54">IF(INDEX('contents 추가정보'!E:E,MATCH(B54,'contents 추가정보'!A:A,0),0)=0,"",INDEX('contents 추가정보'!E:E,MATCH(B54,'contents 추가정보'!A:A,0),0))</f>
        <v/>
      </c>
      <c r="F54" s="229" t="str">
        <f>IFERROR(IF(INDEX(contents!C:C,MATCH(B54,contents!W:W,0)+1)="Sponsored","●",""),"")</f>
        <v/>
      </c>
      <c r="G54" s="230" t="str" cm="1">
        <f t="array" ref="G54">IF(INDEX('contents 추가정보'!C:C,MATCH(B54,'contents 추가정보'!A:A,0),0)=0,"",INDEX('contents 추가정보'!C:C,MATCH(B54,'contents 추가정보'!A:A,0),0))</f>
        <v/>
      </c>
      <c r="H54" s="228" t="str" cm="1">
        <f t="array" ref="H54">IF(INDEX('contents 추가정보'!D:D, MATCH(B54, 'contents 추가정보'!A:A, 0), 0)= 0, "",
INDEX('contents 추가정보'!D:D, MATCH(B54, 'contents 추가정보'!A:A, 0), 0))</f>
        <v/>
      </c>
      <c r="I54" s="228" t="str">
        <f>IFERROR(
INDEX(contents!$A$2:$AC$80,
MATCH('contents 장표'!$B54, contents!$W$2:$W$80, 0),
MATCH('contents 장표'!I$5, contents!$A$2:$AC$2, 0)),
"")</f>
        <v/>
      </c>
      <c r="J54" s="228" t="str">
        <f>IFERROR(
INDEX(contents!$A$2:$AC$80,
MATCH('contents 장표'!$B54, contents!$W$2:$W$80, 0),
MATCH('contents 장표'!J$5, contents!$A$2:$AC$2, 0)),
"")</f>
        <v/>
      </c>
      <c r="K54" s="231" t="str">
        <f>IFERROR(
INDEX(contents!$A$2:$AC$80,
MATCH('contents 장표'!$B54, contents!$W$2:$W$80, 0),
MATCH('contents 장표'!K$5, contents!$A$2:$AC$2, 0)),
"")</f>
        <v/>
      </c>
      <c r="L54" s="228" t="str">
        <f>IFERROR(
INDEX(contents!$A$2:$AC$80,
MATCH('contents 장표'!$B54, contents!$W$2:$W$80, 0),
MATCH('contents 장표'!L$5, contents!$A$2:$AC$2, 0)),
"")</f>
        <v/>
      </c>
      <c r="M54" s="228" t="str">
        <f>IFERROR(
INDEX(contents!$A$2:$AC$80,
MATCH('contents 장표'!$B54, contents!$W$2:$W$80, 0),
MATCH('contents 장표'!M$5, contents!$A$2:$AC$2, 0)),
"")</f>
        <v/>
      </c>
      <c r="N54" s="228" t="str">
        <f>IFERROR(
INDEX(contents!$A$2:$AC$80,
MATCH('contents 장표'!$B54, contents!$W$2:$W$80, 0),
MATCH('contents 장표'!N$5, contents!$A$2:$AC$2, 0)),
"")</f>
        <v/>
      </c>
      <c r="O54" s="232" t="str">
        <f t="shared" si="2"/>
        <v/>
      </c>
      <c r="P54" s="272" t="str">
        <f>IFERROR(
INDEX(contents!$A$2:$AC$80,
MATCH('contents 장표'!$B54, contents!$W$2:$W$80, 0),
MATCH('contents 장표'!P$5, contents!$A$2:$AC$2, 0)),
"")</f>
        <v/>
      </c>
      <c r="R54" t="str">
        <f t="shared" si="3"/>
        <v>X</v>
      </c>
    </row>
    <row r="55" spans="2:18">
      <c r="B55" s="233">
        <v>49</v>
      </c>
      <c r="C55" s="235" t="str">
        <f>IFERROR(TEXT(INDEX(contents!X:X,MATCH(B55,contents!W:W,0),0),"mm월 dd일"),"")</f>
        <v/>
      </c>
      <c r="D55" s="228" t="str">
        <f>IFERROR(TEXT(INDEX(contents!X:X,MATCH(B55,contents!W:W,0),0),"aaa"),"")</f>
        <v/>
      </c>
      <c r="E55" s="228" t="str" cm="1">
        <f t="array" ref="E55">IF(INDEX('contents 추가정보'!E:E,MATCH(B55,'contents 추가정보'!A:A,0),0)=0,"",INDEX('contents 추가정보'!E:E,MATCH(B55,'contents 추가정보'!A:A,0),0))</f>
        <v/>
      </c>
      <c r="F55" s="229" t="str">
        <f>IFERROR(IF(INDEX(contents!C:C,MATCH(B55,contents!W:W,0)+1)="Sponsored","●",""),"")</f>
        <v/>
      </c>
      <c r="G55" s="230" t="str" cm="1">
        <f t="array" ref="G55">IF(INDEX('contents 추가정보'!C:C,MATCH(B55,'contents 추가정보'!A:A,0),0)=0,"",INDEX('contents 추가정보'!C:C,MATCH(B55,'contents 추가정보'!A:A,0),0))</f>
        <v/>
      </c>
      <c r="H55" s="228" t="str" cm="1">
        <f t="array" ref="H55">IF(INDEX('contents 추가정보'!D:D, MATCH(B55, 'contents 추가정보'!A:A, 0), 0)= 0, "",
INDEX('contents 추가정보'!D:D, MATCH(B55, 'contents 추가정보'!A:A, 0), 0))</f>
        <v/>
      </c>
      <c r="I55" s="228" t="str">
        <f>IFERROR(
INDEX(contents!$A$2:$AC$80,
MATCH('contents 장표'!$B55, contents!$W$2:$W$80, 0),
MATCH('contents 장표'!I$5, contents!$A$2:$AC$2, 0)),
"")</f>
        <v/>
      </c>
      <c r="J55" s="228" t="str">
        <f>IFERROR(
INDEX(contents!$A$2:$AC$80,
MATCH('contents 장표'!$B55, contents!$W$2:$W$80, 0),
MATCH('contents 장표'!J$5, contents!$A$2:$AC$2, 0)),
"")</f>
        <v/>
      </c>
      <c r="K55" s="231" t="str">
        <f>IFERROR(
INDEX(contents!$A$2:$AC$80,
MATCH('contents 장표'!$B55, contents!$W$2:$W$80, 0),
MATCH('contents 장표'!K$5, contents!$A$2:$AC$2, 0)),
"")</f>
        <v/>
      </c>
      <c r="L55" s="228" t="str">
        <f>IFERROR(
INDEX(contents!$A$2:$AC$80,
MATCH('contents 장표'!$B55, contents!$W$2:$W$80, 0),
MATCH('contents 장표'!L$5, contents!$A$2:$AC$2, 0)),
"")</f>
        <v/>
      </c>
      <c r="M55" s="228" t="str">
        <f>IFERROR(
INDEX(contents!$A$2:$AC$80,
MATCH('contents 장표'!$B55, contents!$W$2:$W$80, 0),
MATCH('contents 장표'!M$5, contents!$A$2:$AC$2, 0)),
"")</f>
        <v/>
      </c>
      <c r="N55" s="228" t="str">
        <f>IFERROR(
INDEX(contents!$A$2:$AC$80,
MATCH('contents 장표'!$B55, contents!$W$2:$W$80, 0),
MATCH('contents 장표'!N$5, contents!$A$2:$AC$2, 0)),
"")</f>
        <v/>
      </c>
      <c r="O55" s="232" t="str">
        <f t="shared" si="2"/>
        <v/>
      </c>
      <c r="P55" s="272" t="str">
        <f>IFERROR(
INDEX(contents!$A$2:$AC$80,
MATCH('contents 장표'!$B55, contents!$W$2:$W$80, 0),
MATCH('contents 장표'!P$5, contents!$A$2:$AC$2, 0)),
"")</f>
        <v/>
      </c>
      <c r="R55" t="str">
        <f t="shared" si="3"/>
        <v>X</v>
      </c>
    </row>
    <row r="56" spans="2:18">
      <c r="B56" s="233">
        <v>50</v>
      </c>
      <c r="C56" s="235" t="str">
        <f>IFERROR(TEXT(INDEX(contents!X:X,MATCH(B56,contents!W:W,0),0),"mm월 dd일"),"")</f>
        <v/>
      </c>
      <c r="D56" s="228" t="str">
        <f>IFERROR(TEXT(INDEX(contents!X:X,MATCH(B56,contents!W:W,0),0),"aaa"),"")</f>
        <v/>
      </c>
      <c r="E56" s="228" t="str" cm="1">
        <f t="array" ref="E56">IF(INDEX('contents 추가정보'!E:E,MATCH(B56,'contents 추가정보'!A:A,0),0)=0,"",INDEX('contents 추가정보'!E:E,MATCH(B56,'contents 추가정보'!A:A,0),0))</f>
        <v/>
      </c>
      <c r="F56" s="229" t="str">
        <f>IFERROR(IF(INDEX(contents!C:C,MATCH(B56,contents!W:W,0)+1)="Sponsored","●",""),"")</f>
        <v/>
      </c>
      <c r="G56" s="230" t="str" cm="1">
        <f t="array" ref="G56">IF(INDEX('contents 추가정보'!C:C,MATCH(B56,'contents 추가정보'!A:A,0),0)=0,"",INDEX('contents 추가정보'!C:C,MATCH(B56,'contents 추가정보'!A:A,0),0))</f>
        <v/>
      </c>
      <c r="H56" s="228" t="str" cm="1">
        <f t="array" ref="H56">IF(INDEX('contents 추가정보'!D:D, MATCH(B56, 'contents 추가정보'!A:A, 0), 0)= 0, "",
INDEX('contents 추가정보'!D:D, MATCH(B56, 'contents 추가정보'!A:A, 0), 0))</f>
        <v/>
      </c>
      <c r="I56" s="228" t="str">
        <f>IFERROR(
INDEX(contents!$A$2:$AC$80,
MATCH('contents 장표'!$B56, contents!$W$2:$W$80, 0),
MATCH('contents 장표'!I$5, contents!$A$2:$AC$2, 0)),
"")</f>
        <v/>
      </c>
      <c r="J56" s="228" t="str">
        <f>IFERROR(
INDEX(contents!$A$2:$AC$80,
MATCH('contents 장표'!$B56, contents!$W$2:$W$80, 0),
MATCH('contents 장표'!J$5, contents!$A$2:$AC$2, 0)),
"")</f>
        <v/>
      </c>
      <c r="K56" s="231" t="str">
        <f>IFERROR(
INDEX(contents!$A$2:$AC$80,
MATCH('contents 장표'!$B56, contents!$W$2:$W$80, 0),
MATCH('contents 장표'!K$5, contents!$A$2:$AC$2, 0)),
"")</f>
        <v/>
      </c>
      <c r="L56" s="228" t="str">
        <f>IFERROR(
INDEX(contents!$A$2:$AC$80,
MATCH('contents 장표'!$B56, contents!$W$2:$W$80, 0),
MATCH('contents 장표'!L$5, contents!$A$2:$AC$2, 0)),
"")</f>
        <v/>
      </c>
      <c r="M56" s="228" t="str">
        <f>IFERROR(
INDEX(contents!$A$2:$AC$80,
MATCH('contents 장표'!$B56, contents!$W$2:$W$80, 0),
MATCH('contents 장표'!M$5, contents!$A$2:$AC$2, 0)),
"")</f>
        <v/>
      </c>
      <c r="N56" s="228" t="str">
        <f>IFERROR(
INDEX(contents!$A$2:$AC$80,
MATCH('contents 장표'!$B56, contents!$W$2:$W$80, 0),
MATCH('contents 장표'!N$5, contents!$A$2:$AC$2, 0)),
"")</f>
        <v/>
      </c>
      <c r="O56" s="232" t="str">
        <f t="shared" si="2"/>
        <v/>
      </c>
      <c r="P56" s="272" t="str">
        <f>IFERROR(
INDEX(contents!$A$2:$AC$80,
MATCH('contents 장표'!$B56, contents!$W$2:$W$80, 0),
MATCH('contents 장표'!P$5, contents!$A$2:$AC$2, 0)),
"")</f>
        <v/>
      </c>
      <c r="R56" t="str">
        <f t="shared" si="3"/>
        <v>X</v>
      </c>
    </row>
    <row r="57" spans="2:18" ht="18">
      <c r="B57" s="233">
        <v>51</v>
      </c>
      <c r="C57" s="235" t="str">
        <f>IFERROR(TEXT(INDEX(contents!X:X,MATCH(B57,contents!W:W,0),0),"mm월 dd일"),"")</f>
        <v/>
      </c>
      <c r="D57" s="228" t="str">
        <f>IFERROR(TEXT(INDEX(contents!X:X,MATCH(B57,contents!W:W,0),0),"aaa"),"")</f>
        <v/>
      </c>
      <c r="E57" s="228" t="str" cm="1">
        <f t="array" ref="E57">IF(INDEX('contents 추가정보'!E:E,MATCH(B57,'contents 추가정보'!A:A,0),0)=0,"",INDEX('contents 추가정보'!E:E,MATCH(B57,'contents 추가정보'!A:A,0),0))</f>
        <v/>
      </c>
      <c r="F57" s="229" t="str">
        <f>IFERROR(IF(INDEX(contents!C:C,MATCH(B57,contents!W:W,0)+1)="Sponsored","●",""),"")</f>
        <v/>
      </c>
      <c r="G57" s="230" t="str" cm="1">
        <f t="array" ref="G57">IF(INDEX('contents 추가정보'!C:C,MATCH(B57,'contents 추가정보'!A:A,0),0)=0,"",INDEX('contents 추가정보'!C:C,MATCH(B57,'contents 추가정보'!A:A,0),0))</f>
        <v/>
      </c>
      <c r="H57" s="228" t="str" cm="1">
        <f t="array" ref="H57">IF(INDEX('contents 추가정보'!D:D, MATCH(B57, 'contents 추가정보'!A:A, 0), 0)= 0, "",
INDEX('contents 추가정보'!D:D, MATCH(B57, 'contents 추가정보'!A:A, 0), 0))</f>
        <v/>
      </c>
      <c r="I57" s="228" t="str">
        <f>IFERROR(
INDEX(contents!$A$2:$AC$80,
MATCH('contents 장표'!$B57, contents!$W$2:$W$80, 0),
MATCH('contents 장표'!I$5, contents!$A$2:$AC$2, 0)),
"")</f>
        <v/>
      </c>
      <c r="J57" s="228" t="str">
        <f>IFERROR(
INDEX(contents!$A$2:$AC$80,
MATCH('contents 장표'!$B57, contents!$W$2:$W$80, 0),
MATCH('contents 장표'!J$5, contents!$A$2:$AC$2, 0)),
"")</f>
        <v/>
      </c>
      <c r="K57" s="231" t="str">
        <f>IFERROR(
INDEX(contents!$A$2:$AC$80,
MATCH('contents 장표'!$B57, contents!$W$2:$W$80, 0),
MATCH('contents 장표'!K$5, contents!$A$2:$AC$2, 0)),
"")</f>
        <v/>
      </c>
      <c r="L57" s="228" t="str">
        <f>IFERROR(
INDEX(contents!$A$2:$AC$80,
MATCH('contents 장표'!$B57, contents!$W$2:$W$80, 0),
MATCH('contents 장표'!L$5, contents!$A$2:$AC$2, 0)),
"")</f>
        <v/>
      </c>
      <c r="M57" s="228" t="str">
        <f>IFERROR(
INDEX(contents!$A$2:$AC$80,
MATCH('contents 장표'!$B57, contents!$W$2:$W$80, 0),
MATCH('contents 장표'!M$5, contents!$A$2:$AC$2, 0)),
"")</f>
        <v/>
      </c>
      <c r="N57" s="228" t="str">
        <f>IFERROR(
INDEX(contents!$A$2:$AC$80,
MATCH('contents 장표'!$B57, contents!$W$2:$W$80, 0),
MATCH('contents 장표'!N$5, contents!$A$2:$AC$2, 0)),
"")</f>
        <v/>
      </c>
      <c r="O57" s="232" t="str">
        <f t="shared" si="2"/>
        <v/>
      </c>
      <c r="P57" s="272" t="str">
        <f>IFERROR(
INDEX(contents!$A$2:$AC$80,
MATCH('contents 장표'!$B57, contents!$W$2:$W$80, 0),
MATCH('contents 장표'!P$5, contents!$A$2:$AC$2, 0)),
"")</f>
        <v/>
      </c>
      <c r="R57" t="str">
        <f t="shared" si="3"/>
        <v>X</v>
      </c>
    </row>
    <row r="58" spans="2:18">
      <c r="B58" s="233">
        <v>52</v>
      </c>
      <c r="C58" s="235" t="str">
        <f>IFERROR(TEXT(INDEX(contents!X:X,MATCH(B58,contents!W:W,0),0),"mm월 dd일"),"")</f>
        <v/>
      </c>
      <c r="D58" s="228" t="str">
        <f>IFERROR(TEXT(INDEX(contents!X:X,MATCH(B58,contents!W:W,0),0),"aaa"),"")</f>
        <v/>
      </c>
      <c r="E58" s="228" t="str" cm="1">
        <f t="array" ref="E58">IF(INDEX('contents 추가정보'!E:E,MATCH(B58,'contents 추가정보'!A:A,0),0)=0,"",INDEX('contents 추가정보'!E:E,MATCH(B58,'contents 추가정보'!A:A,0),0))</f>
        <v/>
      </c>
      <c r="F58" s="229" t="str">
        <f>IFERROR(IF(INDEX(contents!C:C,MATCH(B58,contents!W:W,0)+1)="Sponsored","●",""),"")</f>
        <v/>
      </c>
      <c r="G58" s="230" t="str" cm="1">
        <f t="array" ref="G58">IF(INDEX('contents 추가정보'!C:C,MATCH(B58,'contents 추가정보'!A:A,0),0)=0,"",INDEX('contents 추가정보'!C:C,MATCH(B58,'contents 추가정보'!A:A,0),0))</f>
        <v/>
      </c>
      <c r="H58" s="228" t="str" cm="1">
        <f t="array" ref="H58">IF(INDEX('contents 추가정보'!D:D, MATCH(B58, 'contents 추가정보'!A:A, 0), 0)= 0, "",
INDEX('contents 추가정보'!D:D, MATCH(B58, 'contents 추가정보'!A:A, 0), 0))</f>
        <v/>
      </c>
      <c r="I58" s="228" t="str">
        <f>IFERROR(
INDEX(contents!$A$2:$AC$80,
MATCH('contents 장표'!$B58, contents!$W$2:$W$80, 0),
MATCH('contents 장표'!I$5, contents!$A$2:$AC$2, 0)),
"")</f>
        <v/>
      </c>
      <c r="J58" s="228" t="str">
        <f>IFERROR(
INDEX(contents!$A$2:$AC$80,
MATCH('contents 장표'!$B58, contents!$W$2:$W$80, 0),
MATCH('contents 장표'!J$5, contents!$A$2:$AC$2, 0)),
"")</f>
        <v/>
      </c>
      <c r="K58" s="231" t="str">
        <f>IFERROR(
INDEX(contents!$A$2:$AC$80,
MATCH('contents 장표'!$B58, contents!$W$2:$W$80, 0),
MATCH('contents 장표'!K$5, contents!$A$2:$AC$2, 0)),
"")</f>
        <v/>
      </c>
      <c r="L58" s="228" t="str">
        <f>IFERROR(
INDEX(contents!$A$2:$AC$80,
MATCH('contents 장표'!$B58, contents!$W$2:$W$80, 0),
MATCH('contents 장표'!L$5, contents!$A$2:$AC$2, 0)),
"")</f>
        <v/>
      </c>
      <c r="M58" s="228" t="str">
        <f>IFERROR(
INDEX(contents!$A$2:$AC$80,
MATCH('contents 장표'!$B58, contents!$W$2:$W$80, 0),
MATCH('contents 장표'!M$5, contents!$A$2:$AC$2, 0)),
"")</f>
        <v/>
      </c>
      <c r="N58" s="228" t="str">
        <f>IFERROR(
INDEX(contents!$A$2:$AC$80,
MATCH('contents 장표'!$B58, contents!$W$2:$W$80, 0),
MATCH('contents 장표'!N$5, contents!$A$2:$AC$2, 0)),
"")</f>
        <v/>
      </c>
      <c r="O58" s="232" t="str">
        <f t="shared" si="2"/>
        <v/>
      </c>
      <c r="P58" s="272" t="str">
        <f>IFERROR(
INDEX(contents!$A$2:$AC$80,
MATCH('contents 장표'!$B58, contents!$W$2:$W$80, 0),
MATCH('contents 장표'!P$5, contents!$A$2:$AC$2, 0)),
"")</f>
        <v/>
      </c>
      <c r="R58" t="str">
        <f t="shared" si="3"/>
        <v>X</v>
      </c>
    </row>
    <row r="59" spans="2:18">
      <c r="B59" s="233">
        <v>53</v>
      </c>
      <c r="C59" s="235" t="str">
        <f>IFERROR(TEXT(INDEX(contents!X:X,MATCH(B59,contents!W:W,0),0),"mm월 dd일"),"")</f>
        <v/>
      </c>
      <c r="D59" s="228" t="str">
        <f>IFERROR(TEXT(INDEX(contents!X:X,MATCH(B59,contents!W:W,0),0),"aaa"),"")</f>
        <v/>
      </c>
      <c r="E59" s="228" t="str" cm="1">
        <f t="array" ref="E59">IF(INDEX('contents 추가정보'!E:E,MATCH(B59,'contents 추가정보'!A:A,0),0)=0,"",INDEX('contents 추가정보'!E:E,MATCH(B59,'contents 추가정보'!A:A,0),0))</f>
        <v/>
      </c>
      <c r="F59" s="229" t="str">
        <f>IFERROR(IF(INDEX(contents!C:C,MATCH(B59,contents!W:W,0)+1)="Sponsored","●",""),"")</f>
        <v/>
      </c>
      <c r="G59" s="230" t="str" cm="1">
        <f t="array" ref="G59">IF(INDEX('contents 추가정보'!C:C,MATCH(B59,'contents 추가정보'!A:A,0),0)=0,"",INDEX('contents 추가정보'!C:C,MATCH(B59,'contents 추가정보'!A:A,0),0))</f>
        <v/>
      </c>
      <c r="H59" s="228" t="str" cm="1">
        <f t="array" ref="H59">IF(INDEX('contents 추가정보'!D:D, MATCH(B59, 'contents 추가정보'!A:A, 0), 0)= 0, "",
INDEX('contents 추가정보'!D:D, MATCH(B59, 'contents 추가정보'!A:A, 0), 0))</f>
        <v/>
      </c>
      <c r="I59" s="228" t="str">
        <f>IFERROR(
INDEX(contents!$A$2:$AC$80,
MATCH('contents 장표'!$B59, contents!$W$2:$W$80, 0),
MATCH('contents 장표'!I$5, contents!$A$2:$AC$2, 0)),
"")</f>
        <v/>
      </c>
      <c r="J59" s="228" t="str">
        <f>IFERROR(
INDEX(contents!$A$2:$AC$80,
MATCH('contents 장표'!$B59, contents!$W$2:$W$80, 0),
MATCH('contents 장표'!J$5, contents!$A$2:$AC$2, 0)),
"")</f>
        <v/>
      </c>
      <c r="K59" s="231" t="str">
        <f>IFERROR(
INDEX(contents!$A$2:$AC$80,
MATCH('contents 장표'!$B59, contents!$W$2:$W$80, 0),
MATCH('contents 장표'!K$5, contents!$A$2:$AC$2, 0)),
"")</f>
        <v/>
      </c>
      <c r="L59" s="228" t="str">
        <f>IFERROR(
INDEX(contents!$A$2:$AC$80,
MATCH('contents 장표'!$B59, contents!$W$2:$W$80, 0),
MATCH('contents 장표'!L$5, contents!$A$2:$AC$2, 0)),
"")</f>
        <v/>
      </c>
      <c r="M59" s="228" t="str">
        <f>IFERROR(
INDEX(contents!$A$2:$AC$80,
MATCH('contents 장표'!$B59, contents!$W$2:$W$80, 0),
MATCH('contents 장표'!M$5, contents!$A$2:$AC$2, 0)),
"")</f>
        <v/>
      </c>
      <c r="N59" s="228" t="str">
        <f>IFERROR(
INDEX(contents!$A$2:$AC$80,
MATCH('contents 장표'!$B59, contents!$W$2:$W$80, 0),
MATCH('contents 장표'!N$5, contents!$A$2:$AC$2, 0)),
"")</f>
        <v/>
      </c>
      <c r="O59" s="232" t="str">
        <f t="shared" si="2"/>
        <v/>
      </c>
      <c r="P59" s="272" t="str">
        <f>IFERROR(
INDEX(contents!$A$2:$AC$80,
MATCH('contents 장표'!$B59, contents!$W$2:$W$80, 0),
MATCH('contents 장표'!P$5, contents!$A$2:$AC$2, 0)),
"")</f>
        <v/>
      </c>
      <c r="R59" t="str">
        <f t="shared" si="3"/>
        <v>X</v>
      </c>
    </row>
    <row r="60" spans="2:18">
      <c r="B60" s="233">
        <v>54</v>
      </c>
      <c r="C60" s="235" t="str">
        <f>IFERROR(TEXT(INDEX(contents!X:X,MATCH(B60,contents!W:W,0),0),"mm월 dd일"),"")</f>
        <v/>
      </c>
      <c r="D60" s="228" t="str">
        <f>IFERROR(TEXT(INDEX(contents!X:X,MATCH(B60,contents!W:W,0),0),"aaa"),"")</f>
        <v/>
      </c>
      <c r="E60" s="228" t="str" cm="1">
        <f t="array" ref="E60">IF(INDEX('contents 추가정보'!E:E,MATCH(B60,'contents 추가정보'!A:A,0),0)=0,"",INDEX('contents 추가정보'!E:E,MATCH(B60,'contents 추가정보'!A:A,0),0))</f>
        <v/>
      </c>
      <c r="F60" s="229" t="str">
        <f>IFERROR(IF(INDEX(contents!C:C,MATCH(B60,contents!W:W,0)+1)="Sponsored","●",""),"")</f>
        <v/>
      </c>
      <c r="G60" s="230" t="str" cm="1">
        <f t="array" ref="G60">IF(INDEX('contents 추가정보'!C:C,MATCH(B60,'contents 추가정보'!A:A,0),0)=0,"",INDEX('contents 추가정보'!C:C,MATCH(B60,'contents 추가정보'!A:A,0),0))</f>
        <v/>
      </c>
      <c r="H60" s="228" t="str" cm="1">
        <f t="array" ref="H60">IF(INDEX('contents 추가정보'!D:D, MATCH(B60, 'contents 추가정보'!A:A, 0), 0)= 0, "",
INDEX('contents 추가정보'!D:D, MATCH(B60, 'contents 추가정보'!A:A, 0), 0))</f>
        <v/>
      </c>
      <c r="I60" s="228" t="str">
        <f>IFERROR(
INDEX(contents!$A$2:$AC$80,
MATCH('contents 장표'!$B60, contents!$W$2:$W$80, 0),
MATCH('contents 장표'!I$5, contents!$A$2:$AC$2, 0)),
"")</f>
        <v/>
      </c>
      <c r="J60" s="228" t="str">
        <f>IFERROR(
INDEX(contents!$A$2:$AC$80,
MATCH('contents 장표'!$B60, contents!$W$2:$W$80, 0),
MATCH('contents 장표'!J$5, contents!$A$2:$AC$2, 0)),
"")</f>
        <v/>
      </c>
      <c r="K60" s="231" t="str">
        <f>IFERROR(
INDEX(contents!$A$2:$AC$80,
MATCH('contents 장표'!$B60, contents!$W$2:$W$80, 0),
MATCH('contents 장표'!K$5, contents!$A$2:$AC$2, 0)),
"")</f>
        <v/>
      </c>
      <c r="L60" s="228" t="str">
        <f>IFERROR(
INDEX(contents!$A$2:$AC$80,
MATCH('contents 장표'!$B60, contents!$W$2:$W$80, 0),
MATCH('contents 장표'!L$5, contents!$A$2:$AC$2, 0)),
"")</f>
        <v/>
      </c>
      <c r="M60" s="228" t="str">
        <f>IFERROR(
INDEX(contents!$A$2:$AC$80,
MATCH('contents 장표'!$B60, contents!$W$2:$W$80, 0),
MATCH('contents 장표'!M$5, contents!$A$2:$AC$2, 0)),
"")</f>
        <v/>
      </c>
      <c r="N60" s="228" t="str">
        <f>IFERROR(
INDEX(contents!$A$2:$AC$80,
MATCH('contents 장표'!$B60, contents!$W$2:$W$80, 0),
MATCH('contents 장표'!N$5, contents!$A$2:$AC$2, 0)),
"")</f>
        <v/>
      </c>
      <c r="O60" s="232" t="str">
        <f t="shared" si="2"/>
        <v/>
      </c>
      <c r="P60" s="272" t="str">
        <f>IFERROR(
INDEX(contents!$A$2:$AC$80,
MATCH('contents 장표'!$B60, contents!$W$2:$W$80, 0),
MATCH('contents 장표'!P$5, contents!$A$2:$AC$2, 0)),
"")</f>
        <v/>
      </c>
      <c r="R60" t="str">
        <f t="shared" si="3"/>
        <v>X</v>
      </c>
    </row>
    <row r="61" spans="2:18">
      <c r="B61" s="233">
        <v>55</v>
      </c>
      <c r="C61" s="235" t="str">
        <f>IFERROR(TEXT(INDEX(contents!X:X,MATCH(B61,contents!W:W,0),0),"mm월 dd일"),"")</f>
        <v/>
      </c>
      <c r="D61" s="228" t="str">
        <f>IFERROR(TEXT(INDEX(contents!X:X,MATCH(B61,contents!W:W,0),0),"aaa"),"")</f>
        <v/>
      </c>
      <c r="E61" s="228" t="str" cm="1">
        <f t="array" ref="E61">IF(INDEX('contents 추가정보'!E:E,MATCH(B61,'contents 추가정보'!A:A,0),0)=0,"",INDEX('contents 추가정보'!E:E,MATCH(B61,'contents 추가정보'!A:A,0),0))</f>
        <v/>
      </c>
      <c r="F61" s="229" t="str">
        <f>IFERROR(IF(INDEX(contents!C:C,MATCH(B61,contents!W:W,0)+1)="Sponsored","●",""),"")</f>
        <v/>
      </c>
      <c r="G61" s="230" t="str" cm="1">
        <f t="array" ref="G61">IF(INDEX('contents 추가정보'!C:C,MATCH(B61,'contents 추가정보'!A:A,0),0)=0,"",INDEX('contents 추가정보'!C:C,MATCH(B61,'contents 추가정보'!A:A,0),0))</f>
        <v/>
      </c>
      <c r="H61" s="228" t="str" cm="1">
        <f t="array" ref="H61">IF(INDEX('contents 추가정보'!D:D, MATCH(B61, 'contents 추가정보'!A:A, 0), 0)= 0, "",
INDEX('contents 추가정보'!D:D, MATCH(B61, 'contents 추가정보'!A:A, 0), 0))</f>
        <v/>
      </c>
      <c r="I61" s="228" t="str">
        <f>IFERROR(
INDEX(contents!$A$2:$AC$80,
MATCH('contents 장표'!$B61, contents!$W$2:$W$80, 0),
MATCH('contents 장표'!I$5, contents!$A$2:$AC$2, 0)),
"")</f>
        <v/>
      </c>
      <c r="J61" s="228" t="str">
        <f>IFERROR(
INDEX(contents!$A$2:$AC$80,
MATCH('contents 장표'!$B61, contents!$W$2:$W$80, 0),
MATCH('contents 장표'!J$5, contents!$A$2:$AC$2, 0)),
"")</f>
        <v/>
      </c>
      <c r="K61" s="231" t="str">
        <f>IFERROR(
INDEX(contents!$A$2:$AC$80,
MATCH('contents 장표'!$B61, contents!$W$2:$W$80, 0),
MATCH('contents 장표'!K$5, contents!$A$2:$AC$2, 0)),
"")</f>
        <v/>
      </c>
      <c r="L61" s="228" t="str">
        <f>IFERROR(
INDEX(contents!$A$2:$AC$80,
MATCH('contents 장표'!$B61, contents!$W$2:$W$80, 0),
MATCH('contents 장표'!L$5, contents!$A$2:$AC$2, 0)),
"")</f>
        <v/>
      </c>
      <c r="M61" s="228" t="str">
        <f>IFERROR(
INDEX(contents!$A$2:$AC$80,
MATCH('contents 장표'!$B61, contents!$W$2:$W$80, 0),
MATCH('contents 장표'!M$5, contents!$A$2:$AC$2, 0)),
"")</f>
        <v/>
      </c>
      <c r="N61" s="228" t="str">
        <f>IFERROR(
INDEX(contents!$A$2:$AC$80,
MATCH('contents 장표'!$B61, contents!$W$2:$W$80, 0),
MATCH('contents 장표'!N$5, contents!$A$2:$AC$2, 0)),
"")</f>
        <v/>
      </c>
      <c r="O61" s="232" t="str">
        <f t="shared" si="2"/>
        <v/>
      </c>
      <c r="P61" s="272" t="str">
        <f>IFERROR(
INDEX(contents!$A$2:$AC$80,
MATCH('contents 장표'!$B61, contents!$W$2:$W$80, 0),
MATCH('contents 장표'!P$5, contents!$A$2:$AC$2, 0)),
"")</f>
        <v/>
      </c>
      <c r="R61" t="str">
        <f t="shared" si="3"/>
        <v>X</v>
      </c>
    </row>
    <row r="62" spans="2:18">
      <c r="B62" s="233">
        <v>56</v>
      </c>
      <c r="C62" s="235" t="str">
        <f>IFERROR(TEXT(INDEX(contents!X:X,MATCH(B62,contents!W:W,0),0),"mm월 dd일"),"")</f>
        <v/>
      </c>
      <c r="D62" s="228" t="str">
        <f>IFERROR(TEXT(INDEX(contents!X:X,MATCH(B62,contents!W:W,0),0),"aaa"),"")</f>
        <v/>
      </c>
      <c r="E62" s="228" t="str" cm="1">
        <f t="array" ref="E62">IF(INDEX('contents 추가정보'!E:E,MATCH(B62,'contents 추가정보'!A:A,0),0)=0,"",INDEX('contents 추가정보'!E:E,MATCH(B62,'contents 추가정보'!A:A,0),0))</f>
        <v/>
      </c>
      <c r="F62" s="229" t="str">
        <f>IFERROR(IF(INDEX(contents!C:C,MATCH(B62,contents!W:W,0)+1)="Sponsored","●",""),"")</f>
        <v/>
      </c>
      <c r="G62" s="230" t="str" cm="1">
        <f t="array" ref="G62">IF(INDEX('contents 추가정보'!C:C,MATCH(B62,'contents 추가정보'!A:A,0),0)=0,"",INDEX('contents 추가정보'!C:C,MATCH(B62,'contents 추가정보'!A:A,0),0))</f>
        <v/>
      </c>
      <c r="H62" s="228" t="str" cm="1">
        <f t="array" ref="H62">IF(INDEX('contents 추가정보'!D:D, MATCH(B62, 'contents 추가정보'!A:A, 0), 0)= 0, "",
INDEX('contents 추가정보'!D:D, MATCH(B62, 'contents 추가정보'!A:A, 0), 0))</f>
        <v/>
      </c>
      <c r="I62" s="228" t="str">
        <f>IFERROR(
INDEX(contents!$A$2:$AC$80,
MATCH('contents 장표'!$B62, contents!$W$2:$W$80, 0),
MATCH('contents 장표'!I$5, contents!$A$2:$AC$2, 0)),
"")</f>
        <v/>
      </c>
      <c r="J62" s="228" t="str">
        <f>IFERROR(
INDEX(contents!$A$2:$AC$80,
MATCH('contents 장표'!$B62, contents!$W$2:$W$80, 0),
MATCH('contents 장표'!J$5, contents!$A$2:$AC$2, 0)),
"")</f>
        <v/>
      </c>
      <c r="K62" s="231" t="str">
        <f>IFERROR(
INDEX(contents!$A$2:$AC$80,
MATCH('contents 장표'!$B62, contents!$W$2:$W$80, 0),
MATCH('contents 장표'!K$5, contents!$A$2:$AC$2, 0)),
"")</f>
        <v/>
      </c>
      <c r="L62" s="228" t="str">
        <f>IFERROR(
INDEX(contents!$A$2:$AC$80,
MATCH('contents 장표'!$B62, contents!$W$2:$W$80, 0),
MATCH('contents 장표'!L$5, contents!$A$2:$AC$2, 0)),
"")</f>
        <v/>
      </c>
      <c r="M62" s="228" t="str">
        <f>IFERROR(
INDEX(contents!$A$2:$AC$80,
MATCH('contents 장표'!$B62, contents!$W$2:$W$80, 0),
MATCH('contents 장표'!M$5, contents!$A$2:$AC$2, 0)),
"")</f>
        <v/>
      </c>
      <c r="N62" s="228" t="str">
        <f>IFERROR(
INDEX(contents!$A$2:$AC$80,
MATCH('contents 장표'!$B62, contents!$W$2:$W$80, 0),
MATCH('contents 장표'!N$5, contents!$A$2:$AC$2, 0)),
"")</f>
        <v/>
      </c>
      <c r="O62" s="232" t="str">
        <f t="shared" si="2"/>
        <v/>
      </c>
      <c r="P62" s="272" t="str">
        <f>IFERROR(
INDEX(contents!$A$2:$AC$80,
MATCH('contents 장표'!$B62, contents!$W$2:$W$80, 0),
MATCH('contents 장표'!P$5, contents!$A$2:$AC$2, 0)),
"")</f>
        <v/>
      </c>
      <c r="R62" t="str">
        <f t="shared" si="3"/>
        <v>X</v>
      </c>
    </row>
    <row r="63" spans="2:18">
      <c r="B63" s="233">
        <v>57</v>
      </c>
      <c r="C63" s="235" t="str">
        <f>IFERROR(TEXT(INDEX(contents!X:X,MATCH(B63,contents!W:W,0),0),"mm월 dd일"),"")</f>
        <v/>
      </c>
      <c r="D63" s="228" t="str">
        <f>IFERROR(TEXT(INDEX(contents!X:X,MATCH(B63,contents!W:W,0),0),"aaa"),"")</f>
        <v/>
      </c>
      <c r="E63" s="228" t="str" cm="1">
        <f t="array" ref="E63">IF(INDEX('contents 추가정보'!E:E,MATCH(B63,'contents 추가정보'!A:A,0),0)=0,"",INDEX('contents 추가정보'!E:E,MATCH(B63,'contents 추가정보'!A:A,0),0))</f>
        <v/>
      </c>
      <c r="F63" s="229" t="str">
        <f>IFERROR(IF(INDEX(contents!C:C,MATCH(B63,contents!W:W,0)+1)="Sponsored","●",""),"")</f>
        <v/>
      </c>
      <c r="G63" s="230" t="str" cm="1">
        <f t="array" ref="G63">IF(INDEX('contents 추가정보'!C:C,MATCH(B63,'contents 추가정보'!A:A,0),0)=0,"",INDEX('contents 추가정보'!C:C,MATCH(B63,'contents 추가정보'!A:A,0),0))</f>
        <v/>
      </c>
      <c r="H63" s="228" t="str" cm="1">
        <f t="array" ref="H63">IF(INDEX('contents 추가정보'!D:D, MATCH(B63, 'contents 추가정보'!A:A, 0), 0)= 0, "",
INDEX('contents 추가정보'!D:D, MATCH(B63, 'contents 추가정보'!A:A, 0), 0))</f>
        <v/>
      </c>
      <c r="I63" s="228" t="str">
        <f>IFERROR(
INDEX(contents!$A$2:$AC$80,
MATCH('contents 장표'!$B63, contents!$W$2:$W$80, 0),
MATCH('contents 장표'!I$5, contents!$A$2:$AC$2, 0)),
"")</f>
        <v/>
      </c>
      <c r="J63" s="228" t="str">
        <f>IFERROR(
INDEX(contents!$A$2:$AC$80,
MATCH('contents 장표'!$B63, contents!$W$2:$W$80, 0),
MATCH('contents 장표'!J$5, contents!$A$2:$AC$2, 0)),
"")</f>
        <v/>
      </c>
      <c r="K63" s="231" t="str">
        <f>IFERROR(
INDEX(contents!$A$2:$AC$80,
MATCH('contents 장표'!$B63, contents!$W$2:$W$80, 0),
MATCH('contents 장표'!K$5, contents!$A$2:$AC$2, 0)),
"")</f>
        <v/>
      </c>
      <c r="L63" s="228" t="str">
        <f>IFERROR(
INDEX(contents!$A$2:$AC$80,
MATCH('contents 장표'!$B63, contents!$W$2:$W$80, 0),
MATCH('contents 장표'!L$5, contents!$A$2:$AC$2, 0)),
"")</f>
        <v/>
      </c>
      <c r="M63" s="228" t="str">
        <f>IFERROR(
INDEX(contents!$A$2:$AC$80,
MATCH('contents 장표'!$B63, contents!$W$2:$W$80, 0),
MATCH('contents 장표'!M$5, contents!$A$2:$AC$2, 0)),
"")</f>
        <v/>
      </c>
      <c r="N63" s="228" t="str">
        <f>IFERROR(
INDEX(contents!$A$2:$AC$80,
MATCH('contents 장표'!$B63, contents!$W$2:$W$80, 0),
MATCH('contents 장표'!N$5, contents!$A$2:$AC$2, 0)),
"")</f>
        <v/>
      </c>
      <c r="O63" s="232" t="str">
        <f t="shared" si="2"/>
        <v/>
      </c>
      <c r="P63" s="272" t="str">
        <f>IFERROR(
INDEX(contents!$A$2:$AC$80,
MATCH('contents 장표'!$B63, contents!$W$2:$W$80, 0),
MATCH('contents 장표'!P$5, contents!$A$2:$AC$2, 0)),
"")</f>
        <v/>
      </c>
      <c r="R63" t="str">
        <f t="shared" si="3"/>
        <v>X</v>
      </c>
    </row>
    <row r="64" spans="2:18">
      <c r="B64" s="233">
        <v>58</v>
      </c>
      <c r="C64" s="235" t="str">
        <f>IFERROR(TEXT(INDEX(contents!X:X,MATCH(B64,contents!W:W,0),0),"mm월 dd일"),"")</f>
        <v/>
      </c>
      <c r="D64" s="228" t="str">
        <f>IFERROR(TEXT(INDEX(contents!X:X,MATCH(B64,contents!W:W,0),0),"aaa"),"")</f>
        <v/>
      </c>
      <c r="E64" s="228" t="str" cm="1">
        <f t="array" ref="E64">IF(INDEX('contents 추가정보'!E:E,MATCH(B64,'contents 추가정보'!A:A,0),0)=0,"",INDEX('contents 추가정보'!E:E,MATCH(B64,'contents 추가정보'!A:A,0),0))</f>
        <v/>
      </c>
      <c r="F64" s="229" t="str">
        <f>IFERROR(IF(INDEX(contents!C:C,MATCH(B64,contents!W:W,0)+1)="Sponsored","●",""),"")</f>
        <v/>
      </c>
      <c r="G64" s="230" t="str" cm="1">
        <f t="array" ref="G64">IF(INDEX('contents 추가정보'!C:C,MATCH(B64,'contents 추가정보'!A:A,0),0)=0,"",INDEX('contents 추가정보'!C:C,MATCH(B64,'contents 추가정보'!A:A,0),0))</f>
        <v/>
      </c>
      <c r="H64" s="228" t="str" cm="1">
        <f t="array" ref="H64">IF(INDEX('contents 추가정보'!D:D, MATCH(B64, 'contents 추가정보'!A:A, 0), 0)= 0, "",
INDEX('contents 추가정보'!D:D, MATCH(B64, 'contents 추가정보'!A:A, 0), 0))</f>
        <v/>
      </c>
      <c r="I64" s="228" t="str">
        <f>IFERROR(
INDEX(contents!$A$2:$AC$80,
MATCH('contents 장표'!$B64, contents!$W$2:$W$80, 0),
MATCH('contents 장표'!I$5, contents!$A$2:$AC$2, 0)),
"")</f>
        <v/>
      </c>
      <c r="J64" s="228" t="str">
        <f>IFERROR(
INDEX(contents!$A$2:$AC$80,
MATCH('contents 장표'!$B64, contents!$W$2:$W$80, 0),
MATCH('contents 장표'!J$5, contents!$A$2:$AC$2, 0)),
"")</f>
        <v/>
      </c>
      <c r="K64" s="231" t="str">
        <f>IFERROR(
INDEX(contents!$A$2:$AC$80,
MATCH('contents 장표'!$B64, contents!$W$2:$W$80, 0),
MATCH('contents 장표'!K$5, contents!$A$2:$AC$2, 0)),
"")</f>
        <v/>
      </c>
      <c r="L64" s="228" t="str">
        <f>IFERROR(
INDEX(contents!$A$2:$AC$80,
MATCH('contents 장표'!$B64, contents!$W$2:$W$80, 0),
MATCH('contents 장표'!L$5, contents!$A$2:$AC$2, 0)),
"")</f>
        <v/>
      </c>
      <c r="M64" s="228" t="str">
        <f>IFERROR(
INDEX(contents!$A$2:$AC$80,
MATCH('contents 장표'!$B64, contents!$W$2:$W$80, 0),
MATCH('contents 장표'!M$5, contents!$A$2:$AC$2, 0)),
"")</f>
        <v/>
      </c>
      <c r="N64" s="228" t="str">
        <f>IFERROR(
INDEX(contents!$A$2:$AC$80,
MATCH('contents 장표'!$B64, contents!$W$2:$W$80, 0),
MATCH('contents 장표'!N$5, contents!$A$2:$AC$2, 0)),
"")</f>
        <v/>
      </c>
      <c r="O64" s="232" t="str">
        <f t="shared" si="2"/>
        <v/>
      </c>
      <c r="P64" s="272" t="str">
        <f>IFERROR(
INDEX(contents!$A$2:$AC$80,
MATCH('contents 장표'!$B64, contents!$W$2:$W$80, 0),
MATCH('contents 장표'!P$5, contents!$A$2:$AC$2, 0)),
"")</f>
        <v/>
      </c>
      <c r="R64" t="str">
        <f t="shared" si="3"/>
        <v>X</v>
      </c>
    </row>
    <row r="65" spans="2:18">
      <c r="B65" s="233">
        <v>59</v>
      </c>
      <c r="C65" s="235" t="str">
        <f>IFERROR(TEXT(INDEX(contents!X:X,MATCH(B65,contents!W:W,0),0),"mm월 dd일"),"")</f>
        <v/>
      </c>
      <c r="D65" s="228" t="str">
        <f>IFERROR(TEXT(INDEX(contents!X:X,MATCH(B65,contents!W:W,0),0),"aaa"),"")</f>
        <v/>
      </c>
      <c r="E65" s="228" t="str" cm="1">
        <f t="array" ref="E65">IF(INDEX('contents 추가정보'!E:E,MATCH(B65,'contents 추가정보'!A:A,0),0)=0,"",INDEX('contents 추가정보'!E:E,MATCH(B65,'contents 추가정보'!A:A,0),0))</f>
        <v/>
      </c>
      <c r="F65" s="229" t="str">
        <f>IFERROR(IF(INDEX(contents!C:C,MATCH(B65,contents!W:W,0)+1)="Sponsored","●",""),"")</f>
        <v/>
      </c>
      <c r="G65" s="230" t="str" cm="1">
        <f t="array" ref="G65">IF(INDEX('contents 추가정보'!C:C,MATCH(B65,'contents 추가정보'!A:A,0),0)=0,"",INDEX('contents 추가정보'!C:C,MATCH(B65,'contents 추가정보'!A:A,0),0))</f>
        <v/>
      </c>
      <c r="H65" s="228" t="str" cm="1">
        <f t="array" ref="H65">IF(INDEX('contents 추가정보'!D:D, MATCH(B65, 'contents 추가정보'!A:A, 0), 0)= 0, "",
INDEX('contents 추가정보'!D:D, MATCH(B65, 'contents 추가정보'!A:A, 0), 0))</f>
        <v/>
      </c>
      <c r="I65" s="228" t="str">
        <f>IFERROR(
INDEX(contents!$A$2:$AC$80,
MATCH('contents 장표'!$B65, contents!$W$2:$W$80, 0),
MATCH('contents 장표'!I$5, contents!$A$2:$AC$2, 0)),
"")</f>
        <v/>
      </c>
      <c r="J65" s="228" t="str">
        <f>IFERROR(
INDEX(contents!$A$2:$AC$80,
MATCH('contents 장표'!$B65, contents!$W$2:$W$80, 0),
MATCH('contents 장표'!J$5, contents!$A$2:$AC$2, 0)),
"")</f>
        <v/>
      </c>
      <c r="K65" s="231" t="str">
        <f>IFERROR(
INDEX(contents!$A$2:$AC$80,
MATCH('contents 장표'!$B65, contents!$W$2:$W$80, 0),
MATCH('contents 장표'!K$5, contents!$A$2:$AC$2, 0)),
"")</f>
        <v/>
      </c>
      <c r="L65" s="228" t="str">
        <f>IFERROR(
INDEX(contents!$A$2:$AC$80,
MATCH('contents 장표'!$B65, contents!$W$2:$W$80, 0),
MATCH('contents 장표'!L$5, contents!$A$2:$AC$2, 0)),
"")</f>
        <v/>
      </c>
      <c r="M65" s="228" t="str">
        <f>IFERROR(
INDEX(contents!$A$2:$AC$80,
MATCH('contents 장표'!$B65, contents!$W$2:$W$80, 0),
MATCH('contents 장표'!M$5, contents!$A$2:$AC$2, 0)),
"")</f>
        <v/>
      </c>
      <c r="N65" s="228" t="str">
        <f>IFERROR(
INDEX(contents!$A$2:$AC$80,
MATCH('contents 장표'!$B65, contents!$W$2:$W$80, 0),
MATCH('contents 장표'!N$5, contents!$A$2:$AC$2, 0)),
"")</f>
        <v/>
      </c>
      <c r="O65" s="232" t="str">
        <f t="shared" si="2"/>
        <v/>
      </c>
      <c r="P65" s="272" t="str">
        <f>IFERROR(
INDEX(contents!$A$2:$AC$80,
MATCH('contents 장표'!$B65, contents!$W$2:$W$80, 0),
MATCH('contents 장표'!P$5, contents!$A$2:$AC$2, 0)),
"")</f>
        <v/>
      </c>
      <c r="R65" t="str">
        <f t="shared" si="3"/>
        <v>X</v>
      </c>
    </row>
    <row r="66" spans="2:18">
      <c r="B66" s="233">
        <v>60</v>
      </c>
      <c r="C66" s="235" t="str">
        <f>IFERROR(TEXT(INDEX(contents!X:X,MATCH(B66,contents!W:W,0),0),"mm월 dd일"),"")</f>
        <v/>
      </c>
      <c r="D66" s="228" t="str">
        <f>IFERROR(TEXT(INDEX(contents!X:X,MATCH(B66,contents!W:W,0),0),"aaa"),"")</f>
        <v/>
      </c>
      <c r="E66" s="228" t="str" cm="1">
        <f t="array" ref="E66">IF(INDEX('contents 추가정보'!E:E,MATCH(B66,'contents 추가정보'!A:A,0),0)=0,"",INDEX('contents 추가정보'!E:E,MATCH(B66,'contents 추가정보'!A:A,0),0))</f>
        <v/>
      </c>
      <c r="F66" s="229" t="str">
        <f>IFERROR(IF(INDEX(contents!C:C,MATCH(B66,contents!W:W,0)+1)="Sponsored","●",""),"")</f>
        <v/>
      </c>
      <c r="G66" s="230" t="str" cm="1">
        <f t="array" ref="G66">IF(INDEX('contents 추가정보'!C:C,MATCH(B66,'contents 추가정보'!A:A,0),0)=0,"",INDEX('contents 추가정보'!C:C,MATCH(B66,'contents 추가정보'!A:A,0),0))</f>
        <v/>
      </c>
      <c r="H66" s="228" t="str" cm="1">
        <f t="array" ref="H66">IF(INDEX('contents 추가정보'!D:D, MATCH(B66, 'contents 추가정보'!A:A, 0), 0)= 0, "",
INDEX('contents 추가정보'!D:D, MATCH(B66, 'contents 추가정보'!A:A, 0), 0))</f>
        <v/>
      </c>
      <c r="I66" s="228" t="str">
        <f>IFERROR(
INDEX(contents!$A$2:$AC$80,
MATCH('contents 장표'!$B66, contents!$W$2:$W$80, 0),
MATCH('contents 장표'!I$5, contents!$A$2:$AC$2, 0)),
"")</f>
        <v/>
      </c>
      <c r="J66" s="228" t="str">
        <f>IFERROR(
INDEX(contents!$A$2:$AC$80,
MATCH('contents 장표'!$B66, contents!$W$2:$W$80, 0),
MATCH('contents 장표'!J$5, contents!$A$2:$AC$2, 0)),
"")</f>
        <v/>
      </c>
      <c r="K66" s="231" t="str">
        <f>IFERROR(
INDEX(contents!$A$2:$AC$80,
MATCH('contents 장표'!$B66, contents!$W$2:$W$80, 0),
MATCH('contents 장표'!K$5, contents!$A$2:$AC$2, 0)),
"")</f>
        <v/>
      </c>
      <c r="L66" s="228" t="str">
        <f>IFERROR(
INDEX(contents!$A$2:$AC$80,
MATCH('contents 장표'!$B66, contents!$W$2:$W$80, 0),
MATCH('contents 장표'!L$5, contents!$A$2:$AC$2, 0)),
"")</f>
        <v/>
      </c>
      <c r="M66" s="228" t="str">
        <f>IFERROR(
INDEX(contents!$A$2:$AC$80,
MATCH('contents 장표'!$B66, contents!$W$2:$W$80, 0),
MATCH('contents 장표'!M$5, contents!$A$2:$AC$2, 0)),
"")</f>
        <v/>
      </c>
      <c r="N66" s="228" t="str">
        <f>IFERROR(
INDEX(contents!$A$2:$AC$80,
MATCH('contents 장표'!$B66, contents!$W$2:$W$80, 0),
MATCH('contents 장표'!N$5, contents!$A$2:$AC$2, 0)),
"")</f>
        <v/>
      </c>
      <c r="O66" s="232" t="str">
        <f t="shared" si="2"/>
        <v/>
      </c>
      <c r="P66" s="272" t="str">
        <f>IFERROR(
INDEX(contents!$A$2:$AC$80,
MATCH('contents 장표'!$B66, contents!$W$2:$W$80, 0),
MATCH('contents 장표'!P$5, contents!$A$2:$AC$2, 0)),
"")</f>
        <v/>
      </c>
      <c r="R66" t="str">
        <f t="shared" si="3"/>
        <v>X</v>
      </c>
    </row>
  </sheetData>
  <autoFilter ref="B6:P50" xr:uid="{00000000-0009-0000-0000-000009000000}">
    <sortState xmlns:xlrd2="http://schemas.microsoft.com/office/spreadsheetml/2017/richdata2" ref="B7:P50">
      <sortCondition ref="B7"/>
    </sortState>
  </autoFilter>
  <phoneticPr fontId="2"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69BA-466D-469B-86A3-CBE74E3F11CE}">
  <sheetPr codeName="Sheet17">
    <tabColor theme="9" tint="0.79998168889431442"/>
  </sheetPr>
  <dimension ref="A1:AI30"/>
  <sheetViews>
    <sheetView workbookViewId="0">
      <selection activeCell="Q25" sqref="Q25"/>
    </sheetView>
  </sheetViews>
  <sheetFormatPr defaultRowHeight="16.5"/>
  <cols>
    <col min="1" max="1" width="13.875" style="52" customWidth="1"/>
    <col min="2" max="3" width="16.125" customWidth="1"/>
    <col min="5" max="6" width="16.125" customWidth="1"/>
    <col min="8" max="9" width="16.125" customWidth="1"/>
    <col min="11" max="12" width="16.125" customWidth="1"/>
    <col min="14" max="15" width="16.125" customWidth="1"/>
    <col min="17" max="18" width="16.125" customWidth="1"/>
    <col min="20" max="21" width="16.125" customWidth="1"/>
    <col min="23" max="24" width="16.125" customWidth="1"/>
    <col min="26" max="27" width="16.125" customWidth="1"/>
    <col min="29" max="30" width="16.125" customWidth="1"/>
    <col min="32" max="34" width="9" customWidth="1"/>
    <col min="35" max="35" width="134.75" customWidth="1"/>
  </cols>
  <sheetData>
    <row r="1" spans="1:35" ht="17.25" thickBot="1">
      <c r="A1" s="344" t="s">
        <v>1004</v>
      </c>
    </row>
    <row r="3" spans="1:35" ht="17.25" thickBot="1"/>
    <row r="4" spans="1:35">
      <c r="B4" s="438">
        <v>1</v>
      </c>
      <c r="C4" s="439"/>
      <c r="D4" s="82"/>
      <c r="E4" s="438">
        <v>2</v>
      </c>
      <c r="F4" s="439"/>
      <c r="G4" s="82"/>
      <c r="H4" s="438">
        <v>3</v>
      </c>
      <c r="I4" s="439"/>
      <c r="J4" s="82"/>
      <c r="K4" s="438">
        <v>4</v>
      </c>
      <c r="L4" s="439"/>
      <c r="M4" s="82"/>
      <c r="N4" s="438">
        <v>5</v>
      </c>
      <c r="O4" s="439"/>
      <c r="Q4" s="438">
        <v>6</v>
      </c>
      <c r="R4" s="439"/>
      <c r="T4" s="438">
        <v>7</v>
      </c>
      <c r="U4" s="439"/>
      <c r="W4" s="438">
        <v>8</v>
      </c>
      <c r="X4" s="439"/>
      <c r="Z4" s="438">
        <v>9</v>
      </c>
      <c r="AA4" s="439"/>
      <c r="AC4" s="438">
        <v>10</v>
      </c>
      <c r="AD4" s="439"/>
    </row>
    <row r="5" spans="1:35">
      <c r="B5" s="440" t="s">
        <v>172</v>
      </c>
      <c r="C5" s="441"/>
      <c r="D5" s="82"/>
      <c r="E5" s="440" t="s">
        <v>173</v>
      </c>
      <c r="F5" s="441"/>
      <c r="G5" s="82"/>
      <c r="H5" s="440" t="s">
        <v>174</v>
      </c>
      <c r="I5" s="441"/>
      <c r="J5" s="82"/>
      <c r="K5" s="440" t="s">
        <v>175</v>
      </c>
      <c r="L5" s="441"/>
      <c r="M5" s="82"/>
      <c r="N5" s="440" t="s">
        <v>176</v>
      </c>
      <c r="O5" s="441"/>
      <c r="Q5" s="440" t="s">
        <v>1040</v>
      </c>
      <c r="R5" s="441"/>
      <c r="T5" s="440" t="s">
        <v>1041</v>
      </c>
      <c r="U5" s="441"/>
      <c r="W5" s="440" t="s">
        <v>1042</v>
      </c>
      <c r="X5" s="441"/>
      <c r="Z5" s="440" t="s">
        <v>1043</v>
      </c>
      <c r="AA5" s="441"/>
      <c r="AC5" s="440" t="s">
        <v>1044</v>
      </c>
      <c r="AD5" s="441"/>
    </row>
    <row r="6" spans="1:35">
      <c r="B6" s="442">
        <f>HYPERLINK(INDEX(INDEX(contents_raw, 0, MATCH("Post link", INDEX(contents_raw, 2, 0), 0)), MATCH(B4, INDEX(contents_raw, 0, MATCH($A$1, INDEX(contents_raw, 2, 0), 0)), 0)),
VLOOKUP(INDEX(INDEX(contents_raw, 0, MATCH("최종순위", INDEX(contents_raw, 2, 0), 0)), MATCH(B$4, INDEX(contents_raw, 0, MATCH('월간 Top 집계'!$A$1, INDEX(contents_raw, 2, 0), 0)), 0)),'contents 추가정보'!$A$1:$C$74, 3, FALSE))</f>
        <v>0</v>
      </c>
      <c r="C6" s="443"/>
      <c r="D6" s="82"/>
      <c r="E6" s="442">
        <f>HYPERLINK(INDEX(INDEX(contents_raw, 0, MATCH("Post link", INDEX(contents_raw, 2, 0), 0)), MATCH(E4, INDEX(contents_raw, 0, MATCH($A$1, INDEX(contents_raw, 2, 0), 0)), 0)),
VLOOKUP(INDEX(INDEX(contents_raw, 0, MATCH("최종순위", INDEX(contents_raw, 2, 0), 0)), MATCH(E$4, INDEX(contents_raw, 0, MATCH('월간 Top 집계'!$A$1, INDEX(contents_raw, 2, 0), 0)), 0)),'contents 추가정보'!$A$1:$C$74, 3, FALSE))</f>
        <v>0</v>
      </c>
      <c r="F6" s="443"/>
      <c r="G6" s="82"/>
      <c r="H6" s="442">
        <f>HYPERLINK(INDEX(INDEX(contents_raw, 0, MATCH("Post link", INDEX(contents_raw, 2, 0), 0)), MATCH(H4, INDEX(contents_raw, 0, MATCH($A$1, INDEX(contents_raw, 2, 0), 0)), 0)),
VLOOKUP(INDEX(INDEX(contents_raw, 0, MATCH("최종순위", INDEX(contents_raw, 2, 0), 0)), MATCH(H$4, INDEX(contents_raw, 0, MATCH('월간 Top 집계'!$A$1, INDEX(contents_raw, 2, 0), 0)), 0)),'contents 추가정보'!$A$1:$C$74, 3, FALSE))</f>
        <v>0</v>
      </c>
      <c r="I6" s="443"/>
      <c r="J6" s="82"/>
      <c r="K6" s="442">
        <f>HYPERLINK(INDEX(INDEX(contents_raw, 0, MATCH("Post link", INDEX(contents_raw, 2, 0), 0)), MATCH(K4, INDEX(contents_raw, 0, MATCH($A$1, INDEX(contents_raw, 2, 0), 0)), 0)),
VLOOKUP(INDEX(INDEX(contents_raw, 0, MATCH("최종순위", INDEX(contents_raw, 2, 0), 0)), MATCH(K$4, INDEX(contents_raw, 0, MATCH('월간 Top 집계'!$A$1, INDEX(contents_raw, 2, 0), 0)), 0)),'contents 추가정보'!$A$1:$C$74, 3, FALSE))</f>
        <v>0</v>
      </c>
      <c r="L6" s="443"/>
      <c r="M6" s="82"/>
      <c r="N6" s="442">
        <f>HYPERLINK(INDEX(INDEX(contents_raw, 0, MATCH("Post link", INDEX(contents_raw, 2, 0), 0)), MATCH(N4, INDEX(contents_raw, 0, MATCH($A$1, INDEX(contents_raw, 2, 0), 0)), 0)),
VLOOKUP(INDEX(INDEX(contents_raw, 0, MATCH("최종순위", INDEX(contents_raw, 2, 0), 0)), MATCH(N$4, INDEX(contents_raw, 0, MATCH('월간 Top 집계'!$A$1, INDEX(contents_raw, 2, 0), 0)), 0)),'contents 추가정보'!$A$1:$C$74, 3, FALSE))</f>
        <v>0</v>
      </c>
      <c r="O6" s="443"/>
      <c r="Q6" s="442">
        <f>HYPERLINK(INDEX(INDEX(contents_raw, 0, MATCH("Post link", INDEX(contents_raw, 2, 0), 0)), MATCH(Q4, INDEX(contents_raw, 0, MATCH($A$1, INDEX(contents_raw, 2, 0), 0)), 0)),
VLOOKUP(INDEX(INDEX(contents_raw, 0, MATCH("최종순위", INDEX(contents_raw, 2, 0), 0)), MATCH(Q$4, INDEX(contents_raw, 0, MATCH('월간 Top 집계'!$A$1, INDEX(contents_raw, 2, 0), 0)), 0)),'contents 추가정보'!$A$1:$C$74, 3, FALSE))</f>
        <v>0</v>
      </c>
      <c r="R6" s="443"/>
      <c r="T6" s="442">
        <f>HYPERLINK(INDEX(INDEX(contents_raw, 0, MATCH("Post link", INDEX(contents_raw, 2, 0), 0)), MATCH(T4, INDEX(contents_raw, 0, MATCH($A$1, INDEX(contents_raw, 2, 0), 0)), 0)),
VLOOKUP(INDEX(INDEX(contents_raw, 0, MATCH("최종순위", INDEX(contents_raw, 2, 0), 0)), MATCH(T$4, INDEX(contents_raw, 0, MATCH('월간 Top 집계'!$A$1, INDEX(contents_raw, 2, 0), 0)), 0)),'contents 추가정보'!$A$1:$C$74, 3, FALSE))</f>
        <v>0</v>
      </c>
      <c r="U6" s="443"/>
      <c r="W6" s="442">
        <f>HYPERLINK(INDEX(INDEX(contents_raw, 0, MATCH("Post link", INDEX(contents_raw, 2, 0), 0)), MATCH(W4, INDEX(contents_raw, 0, MATCH($A$1, INDEX(contents_raw, 2, 0), 0)), 0)),
VLOOKUP(INDEX(INDEX(contents_raw, 0, MATCH("최종순위", INDEX(contents_raw, 2, 0), 0)), MATCH(W$4, INDEX(contents_raw, 0, MATCH('월간 Top 집계'!$A$1, INDEX(contents_raw, 2, 0), 0)), 0)),'contents 추가정보'!$A$1:$C$74, 3, FALSE))</f>
        <v>0</v>
      </c>
      <c r="X6" s="443"/>
      <c r="Z6" s="442" t="e">
        <f>HYPERLINK(INDEX(INDEX(contents_raw, 0, MATCH("Post link", INDEX(contents_raw, 2, 0), 0)), MATCH(Z4, INDEX(contents_raw, 0, MATCH($A$1, INDEX(contents_raw, 2, 0), 0)), 0)),
VLOOKUP(INDEX(INDEX(contents_raw, 0, MATCH("최종순위", INDEX(contents_raw, 2, 0), 0)), MATCH(Z$4, INDEX(contents_raw, 0, MATCH('월간 Top 집계'!$A$1, INDEX(contents_raw, 2, 0), 0)), 0)),'contents 추가정보'!$A$1:$C$74, 3, FALSE))</f>
        <v>#N/A</v>
      </c>
      <c r="AA6" s="443"/>
      <c r="AC6" s="442" t="e">
        <f>HYPERLINK(INDEX(INDEX(contents_raw, 0, MATCH("Post link", INDEX(contents_raw, 2, 0), 0)), MATCH(AC4, INDEX(contents_raw, 0, MATCH($A$1, INDEX(contents_raw, 2, 0), 0)), 0)),
VLOOKUP(INDEX(INDEX(contents_raw, 0, MATCH("최종순위", INDEX(contents_raw, 2, 0), 0)), MATCH(AC$4, INDEX(contents_raw, 0, MATCH('월간 Top 집계'!$A$1, INDEX(contents_raw, 2, 0), 0)), 0)),'contents 추가정보'!$A$1:$C$74, 3, FALSE))</f>
        <v>#N/A</v>
      </c>
      <c r="AD6" s="443"/>
    </row>
    <row r="7" spans="1:35" ht="141.75" customHeight="1">
      <c r="B7" s="444"/>
      <c r="C7" s="445"/>
      <c r="E7" s="444"/>
      <c r="F7" s="445"/>
      <c r="H7" s="444"/>
      <c r="I7" s="445"/>
      <c r="K7" s="444"/>
      <c r="L7" s="445"/>
      <c r="N7" s="444"/>
      <c r="O7" s="445"/>
      <c r="Q7" s="444"/>
      <c r="R7" s="445"/>
      <c r="T7" s="444"/>
      <c r="U7" s="445"/>
      <c r="W7" s="444"/>
      <c r="X7" s="445"/>
      <c r="Z7" s="444"/>
      <c r="AA7" s="445"/>
      <c r="AC7" s="444"/>
      <c r="AD7" s="445"/>
      <c r="AG7" s="343" t="s">
        <v>1026</v>
      </c>
      <c r="AI7" s="345"/>
    </row>
    <row r="8" spans="1:35">
      <c r="B8" s="4" t="s">
        <v>161</v>
      </c>
      <c r="C8" s="143" t="str">
        <f>IF(INDEX(contents_raw,MATCH('월간 Top 집계'!B$4,INDEX(contents_raw,0,MATCH($A$1,INDEX(contents_raw,2,0),0)),0),MATCH($AG8,INDEX(contents_raw,2,0),0)) = "", "-",
TEXT(INDEX(contents_raw,MATCH('월간 Top 집계'!B$4,INDEX(contents_raw,0,MATCH($A$1,INDEX(contents_raw,2,0),0)),0),MATCH($AG8,INDEX(contents_raw,2,0),0)),"#,##0")&amp;"회")</f>
        <v>11,357회</v>
      </c>
      <c r="E8" s="4" t="s">
        <v>161</v>
      </c>
      <c r="F8" s="143" t="str">
        <f>IF(INDEX(contents_raw,MATCH('월간 Top 집계'!E$4,INDEX(contents_raw,0,MATCH($A$1,INDEX(contents_raw,2,0),0)),0),MATCH($AG8,INDEX(contents_raw,2,0),0)) = "", "-",
TEXT(INDEX(contents_raw,MATCH('월간 Top 집계'!E$4,INDEX(contents_raw,0,MATCH($A$1,INDEX(contents_raw,2,0),0)),0),MATCH($AG8,INDEX(contents_raw,2,0),0)),"#,##0")&amp;"회")</f>
        <v>1,979회</v>
      </c>
      <c r="H8" s="4" t="s">
        <v>161</v>
      </c>
      <c r="I8" s="143" t="str">
        <f>IF(INDEX(contents_raw,MATCH('월간 Top 집계'!H$4,INDEX(contents_raw,0,MATCH($A$1,INDEX(contents_raw,2,0),0)),0),MATCH($AG8,INDEX(contents_raw,2,0),0)) = "", "-",
TEXT(INDEX(contents_raw,MATCH('월간 Top 집계'!H$4,INDEX(contents_raw,0,MATCH($A$1,INDEX(contents_raw,2,0),0)),0),MATCH($AG8,INDEX(contents_raw,2,0),0)),"#,##0")&amp;"회")</f>
        <v>1,824회</v>
      </c>
      <c r="K8" s="4" t="s">
        <v>161</v>
      </c>
      <c r="L8" s="143" t="str">
        <f>IF(INDEX(contents_raw,MATCH('월간 Top 집계'!K$4,INDEX(contents_raw,0,MATCH($A$1,INDEX(contents_raw,2,0),0)),0),MATCH($AG8,INDEX(contents_raw,2,0),0)) = "", "-",
TEXT(INDEX(contents_raw,MATCH('월간 Top 집계'!K$4,INDEX(contents_raw,0,MATCH($A$1,INDEX(contents_raw,2,0),0)),0),MATCH($AG8,INDEX(contents_raw,2,0),0)),"#,##0")&amp;"회")</f>
        <v>1,649회</v>
      </c>
      <c r="N8" s="4" t="s">
        <v>161</v>
      </c>
      <c r="O8" s="143" t="str">
        <f>IF(INDEX(contents_raw,MATCH('월간 Top 집계'!N$4,INDEX(contents_raw,0,MATCH($A$1,INDEX(contents_raw,2,0),0)),0),MATCH($AG8,INDEX(contents_raw,2,0),0)) = "", "-",
TEXT(INDEX(contents_raw,MATCH('월간 Top 집계'!N$4,INDEX(contents_raw,0,MATCH($A$1,INDEX(contents_raw,2,0),0)),0),MATCH($AG8,INDEX(contents_raw,2,0),0)),"#,##0")&amp;"회")</f>
        <v>1,531회</v>
      </c>
      <c r="Q8" s="4" t="s">
        <v>161</v>
      </c>
      <c r="R8" s="143" t="str">
        <f>IF(INDEX(contents_raw,MATCH('월간 Top 집계'!Q$4,INDEX(contents_raw,0,MATCH($A$1,INDEX(contents_raw,2,0),0)),0),MATCH($AG8,INDEX(contents_raw,2,0),0)) = "", "-",
TEXT(INDEX(contents_raw,MATCH('월간 Top 집계'!Q$4,INDEX(contents_raw,0,MATCH($A$1,INDEX(contents_raw,2,0),0)),0),MATCH($AG8,INDEX(contents_raw,2,0),0)),"#,##0")&amp;"회")</f>
        <v>1,497회</v>
      </c>
      <c r="T8" s="4" t="s">
        <v>161</v>
      </c>
      <c r="U8" s="143" t="str">
        <f>IF(INDEX(contents_raw,MATCH('월간 Top 집계'!T$4,INDEX(contents_raw,0,MATCH($A$1,INDEX(contents_raw,2,0),0)),0),MATCH($AG8,INDEX(contents_raw,2,0),0)) = "", "-",
TEXT(INDEX(contents_raw,MATCH('월간 Top 집계'!T$4,INDEX(contents_raw,0,MATCH($A$1,INDEX(contents_raw,2,0),0)),0),MATCH($AG8,INDEX(contents_raw,2,0),0)),"#,##0")&amp;"회")</f>
        <v>1,240회</v>
      </c>
      <c r="W8" s="4" t="s">
        <v>161</v>
      </c>
      <c r="X8" s="143" t="str">
        <f>IF(INDEX(contents_raw,MATCH('월간 Top 집계'!W$4,INDEX(contents_raw,0,MATCH($A$1,INDEX(contents_raw,2,0),0)),0),MATCH($AG8,INDEX(contents_raw,2,0),0)) = "", "-",
TEXT(INDEX(contents_raw,MATCH('월간 Top 집계'!W$4,INDEX(contents_raw,0,MATCH($A$1,INDEX(contents_raw,2,0),0)),0),MATCH($AG8,INDEX(contents_raw,2,0),0)),"#,##0")&amp;"회")</f>
        <v>586회</v>
      </c>
      <c r="Z8" s="4" t="s">
        <v>161</v>
      </c>
      <c r="AA8" s="143" t="e">
        <f>IF(INDEX(contents_raw,MATCH('월간 Top 집계'!Z$4,INDEX(contents_raw,0,MATCH($A$1,INDEX(contents_raw,2,0),0)),0),MATCH($AG8,INDEX(contents_raw,2,0),0)) = "", "-",
TEXT(INDEX(contents_raw,MATCH('월간 Top 집계'!Z$4,INDEX(contents_raw,0,MATCH($A$1,INDEX(contents_raw,2,0),0)),0),MATCH($AG8,INDEX(contents_raw,2,0),0)),"#,##0")&amp;"회")</f>
        <v>#N/A</v>
      </c>
      <c r="AC8" s="4" t="s">
        <v>161</v>
      </c>
      <c r="AD8" s="143" t="e">
        <f>IF(INDEX(contents_raw,MATCH('월간 Top 집계'!AC$4,INDEX(contents_raw,0,MATCH($A$1,INDEX(contents_raw,2,0),0)),0),MATCH($AG8,INDEX(contents_raw,2,0),0)) = "", "-",
TEXT(INDEX(contents_raw,MATCH('월간 Top 집계'!AC$4,INDEX(contents_raw,0,MATCH($A$1,INDEX(contents_raw,2,0),0)),0),MATCH($AG8,INDEX(contents_raw,2,0),0)),"#,##0")&amp;"회")</f>
        <v>#N/A</v>
      </c>
      <c r="AG8" s="52" t="s">
        <v>461</v>
      </c>
      <c r="AI8" t="s">
        <v>998</v>
      </c>
    </row>
    <row r="9" spans="1:35" hidden="1">
      <c r="B9" s="4" t="s">
        <v>1025</v>
      </c>
      <c r="C9" s="342">
        <f>INDEX(contents_raw, MATCH('월간 Top 집계'!B$4, INDEX(contents_raw, 0, MATCH($A$1, INDEX(contents_raw, 2, 0), 0)), 0), MATCH($AG9, INDEX(contents_raw, 2, 0), 0))</f>
        <v>6.9148935377597809E-2</v>
      </c>
      <c r="E9" s="4" t="s">
        <v>1025</v>
      </c>
      <c r="F9" s="342">
        <f>INDEX(contents_raw, MATCH('월간 Top 집계'!E$4, INDEX(contents_raw, 0, MATCH($A$1, INDEX(contents_raw, 2, 0), 0)), 0), MATCH($AG9, INDEX(contents_raw, 2, 0), 0))</f>
        <v>5.4997909814119339E-2</v>
      </c>
      <c r="H9" s="4" t="s">
        <v>1025</v>
      </c>
      <c r="I9" s="342">
        <f>INDEX(contents_raw, MATCH('월간 Top 집계'!H$4, INDEX(contents_raw, 0, MATCH($A$1, INDEX(contents_raw, 2, 0), 0)), 0), MATCH($AG9, INDEX(contents_raw, 2, 0), 0))</f>
        <v>6.1207946389913559E-2</v>
      </c>
      <c r="K9" s="4" t="s">
        <v>1025</v>
      </c>
      <c r="L9" s="342">
        <f>INDEX(contents_raw, MATCH('월간 Top 집계'!K$4, INDEX(contents_raw, 0, MATCH($A$1, INDEX(contents_raw, 2, 0), 0)), 0), MATCH($AG9, INDEX(contents_raw, 2, 0), 0))</f>
        <v>4.4496990740299225E-2</v>
      </c>
      <c r="N9" s="4" t="s">
        <v>1025</v>
      </c>
      <c r="O9" s="342">
        <f>INDEX(contents_raw, MATCH('월간 Top 집계'!N$4, INDEX(contents_raw, 0, MATCH($A$1, INDEX(contents_raw, 2, 0), 0)), 0), MATCH($AG9, INDEX(contents_raw, 2, 0), 0))</f>
        <v>3.8244239985942841E-2</v>
      </c>
      <c r="Q9" s="4" t="s">
        <v>1025</v>
      </c>
      <c r="R9" s="342">
        <f>INDEX(contents_raw, MATCH('월간 Top 집계'!Q$4, INDEX(contents_raw, 0, MATCH($A$1, INDEX(contents_raw, 2, 0), 0)), 0), MATCH($AG9, INDEX(contents_raw, 2, 0), 0))</f>
        <v>4.8179872334003448E-2</v>
      </c>
      <c r="T9" s="4" t="s">
        <v>1025</v>
      </c>
      <c r="U9" s="342">
        <f>INDEX(contents_raw, MATCH('월간 Top 집계'!T$4, INDEX(contents_raw, 0, MATCH($A$1, INDEX(contents_raw, 2, 0), 0)), 0), MATCH($AG9, INDEX(contents_raw, 2, 0), 0))</f>
        <v>5.2942756563425064E-2</v>
      </c>
      <c r="W9" s="4" t="s">
        <v>1025</v>
      </c>
      <c r="X9" s="342">
        <f>INDEX(contents_raw, MATCH('월간 Top 집계'!W$4, INDEX(contents_raw, 0, MATCH($A$1, INDEX(contents_raw, 2, 0), 0)), 0), MATCH($AG9, INDEX(contents_raw, 2, 0), 0))</f>
        <v>5.0048589706420898E-2</v>
      </c>
      <c r="Z9" s="4" t="s">
        <v>1025</v>
      </c>
      <c r="AA9" s="342" t="e">
        <f>INDEX(contents_raw, MATCH('월간 Top 집계'!Z$4, INDEX(contents_raw, 0, MATCH($A$1, INDEX(contents_raw, 2, 0), 0)), 0), MATCH($AG9, INDEX(contents_raw, 2, 0), 0))</f>
        <v>#N/A</v>
      </c>
      <c r="AC9" s="4" t="s">
        <v>1025</v>
      </c>
      <c r="AD9" s="342" t="e">
        <f>INDEX(contents_raw, MATCH('월간 Top 집계'!AC$4, INDEX(contents_raw, 0, MATCH($A$1, INDEX(contents_raw, 2, 0), 0)), 0), MATCH($AG9, INDEX(contents_raw, 2, 0), 0))</f>
        <v>#N/A</v>
      </c>
      <c r="AG9" s="52" t="s">
        <v>1024</v>
      </c>
      <c r="AI9" t="s">
        <v>999</v>
      </c>
    </row>
    <row r="10" spans="1:35">
      <c r="B10" s="4" t="s">
        <v>1022</v>
      </c>
      <c r="C10" s="342">
        <f>INDEX(contents_raw, MATCH('월간 Top 집계'!B$4, INDEX(contents_raw, 0, MATCH($A$1, INDEX(contents_raw, 2, 0), 0)), 0), MATCH($AG10, INDEX(contents_raw, 2, 0), 0))</f>
        <v>3.7058510638297872</v>
      </c>
      <c r="E10" s="4" t="s">
        <v>1022</v>
      </c>
      <c r="F10" s="342">
        <f>INDEX(contents_raw, MATCH('월간 Top 집계'!E$4, INDEX(contents_raw, 0, MATCH($A$1, INDEX(contents_raw, 2, 0), 0)), 0), MATCH($AG10, INDEX(contents_raw, 2, 0), 0))</f>
        <v>0.32020075282308652</v>
      </c>
      <c r="H10" s="4" t="s">
        <v>1022</v>
      </c>
      <c r="I10" s="342">
        <f>INDEX(contents_raw, MATCH('월간 Top 집계'!H$4, INDEX(contents_raw, 0, MATCH($A$1, INDEX(contents_raw, 2, 0), 0)), 0), MATCH($AG10, INDEX(contents_raw, 2, 0), 0))</f>
        <v>0.30360762059181184</v>
      </c>
      <c r="K10" s="4" t="s">
        <v>1022</v>
      </c>
      <c r="L10" s="342">
        <f>INDEX(contents_raw, MATCH('월간 Top 집계'!K$4, INDEX(contents_raw, 0, MATCH($A$1, INDEX(contents_raw, 2, 0), 0)), 0), MATCH($AG10, INDEX(contents_raw, 2, 0), 0))</f>
        <v>0.26964746345657786</v>
      </c>
      <c r="N10" s="4" t="s">
        <v>1022</v>
      </c>
      <c r="O10" s="342">
        <f>INDEX(contents_raw, MATCH('월간 Top 집계'!N$4, INDEX(contents_raw, 0, MATCH($A$1, INDEX(contents_raw, 2, 0), 0)), 0), MATCH($AG10, INDEX(contents_raw, 2, 0), 0))</f>
        <v>0.24897870491090829</v>
      </c>
      <c r="Q10" s="4" t="s">
        <v>1022</v>
      </c>
      <c r="R10" s="342">
        <f>INDEX(contents_raw, MATCH('월간 Top 집계'!Q$4, INDEX(contents_raw, 0, MATCH($A$1, INDEX(contents_raw, 2, 0), 0)), 0), MATCH($AG10, INDEX(contents_raw, 2, 0), 0))</f>
        <v>0.2539614561027837</v>
      </c>
      <c r="T10" s="4" t="s">
        <v>1022</v>
      </c>
      <c r="U10" s="342">
        <f>INDEX(contents_raw, MATCH('월간 Top 집계'!T$4, INDEX(contents_raw, 0, MATCH($A$1, INDEX(contents_raw, 2, 0), 0)), 0), MATCH($AG10, INDEX(contents_raw, 2, 0), 0))</f>
        <v>0.26965869389948938</v>
      </c>
      <c r="W10" s="4" t="s">
        <v>1022</v>
      </c>
      <c r="X10" s="342">
        <f>INDEX(contents_raw, MATCH('월간 Top 집계'!W$4, INDEX(contents_raw, 0, MATCH($A$1, INDEX(contents_raw, 2, 0), 0)), 0), MATCH($AG10, INDEX(contents_raw, 2, 0), 0))</f>
        <v>0.23449951409135081</v>
      </c>
      <c r="Z10" s="4" t="s">
        <v>1022</v>
      </c>
      <c r="AA10" s="342" t="e">
        <f>INDEX(contents_raw, MATCH('월간 Top 집계'!Z$4, INDEX(contents_raw, 0, MATCH($A$1, INDEX(contents_raw, 2, 0), 0)), 0), MATCH($AG10, INDEX(contents_raw, 2, 0), 0))</f>
        <v>#N/A</v>
      </c>
      <c r="AC10" s="4" t="s">
        <v>1022</v>
      </c>
      <c r="AD10" s="342" t="e">
        <f>INDEX(contents_raw, MATCH('월간 Top 집계'!AC$4, INDEX(contents_raw, 0, MATCH($A$1, INDEX(contents_raw, 2, 0), 0)), 0), MATCH($AG10, INDEX(contents_raw, 2, 0), 0))</f>
        <v>#N/A</v>
      </c>
      <c r="AG10" s="52" t="s">
        <v>1035</v>
      </c>
      <c r="AI10" t="s">
        <v>1000</v>
      </c>
    </row>
    <row r="11" spans="1:35" hidden="1">
      <c r="B11" s="4" t="s">
        <v>487</v>
      </c>
      <c r="C11" s="342">
        <f>INDEX(contents_raw, MATCH('월간 Top 집계'!B$4, INDEX(contents_raw, 0, MATCH($A$1, INDEX(contents_raw, 2, 0), 0)), 0), MATCH($AG11, INDEX(contents_raw, 2, 0), 0))</f>
        <v>3.0319148674607277E-2</v>
      </c>
      <c r="E11" s="4" t="s">
        <v>487</v>
      </c>
      <c r="F11" s="342">
        <f>INDEX(contents_raw, MATCH('월간 Top 집계'!E$4, INDEX(contents_raw, 0, MATCH($A$1, INDEX(contents_raw, 2, 0), 0)), 0), MATCH($AG11, INDEX(contents_raw, 2, 0), 0))</f>
        <v>4.2241740971803665E-2</v>
      </c>
      <c r="H11" s="4" t="s">
        <v>487</v>
      </c>
      <c r="I11" s="342">
        <f>INDEX(contents_raw, MATCH('월간 Top 집계'!H$4, INDEX(contents_raw, 0, MATCH($A$1, INDEX(contents_raw, 2, 0), 0)), 0), MATCH($AG11, INDEX(contents_raw, 2, 0), 0))</f>
        <v>5.1479529589414597E-2</v>
      </c>
      <c r="K11" s="4" t="s">
        <v>487</v>
      </c>
      <c r="L11" s="342">
        <f>INDEX(contents_raw, MATCH('월간 Top 집계'!K$4, INDEX(contents_raw, 0, MATCH($A$1, INDEX(contents_raw, 2, 0), 0)), 0), MATCH($AG11, INDEX(contents_raw, 2, 0), 0))</f>
        <v>3.1169390305876732E-2</v>
      </c>
      <c r="N11" s="4" t="s">
        <v>487</v>
      </c>
      <c r="O11" s="342">
        <f>INDEX(contents_raw, MATCH('월간 Top 집계'!N$4, INDEX(contents_raw, 0, MATCH($A$1, INDEX(contents_raw, 2, 0), 0)), 0), MATCH($AG11, INDEX(contents_raw, 2, 0), 0))</f>
        <v>2.7813993394374847E-2</v>
      </c>
      <c r="Q11" s="4" t="s">
        <v>487</v>
      </c>
      <c r="R11" s="342">
        <f>INDEX(contents_raw, MATCH('월간 Top 집계'!Q$4, INDEX(contents_raw, 0, MATCH($A$1, INDEX(contents_raw, 2, 0), 0)), 0), MATCH($AG11, INDEX(contents_raw, 2, 0), 0))</f>
        <v>3.3618845045566559E-2</v>
      </c>
      <c r="T11" s="4" t="s">
        <v>487</v>
      </c>
      <c r="U11" s="342">
        <f>INDEX(contents_raw, MATCH('월간 Top 집계'!T$4, INDEX(contents_raw, 0, MATCH($A$1, INDEX(contents_raw, 2, 0), 0)), 0), MATCH($AG11, INDEX(contents_raw, 2, 0), 0))</f>
        <v>4.1924212127923965E-2</v>
      </c>
      <c r="W11" s="4" t="s">
        <v>487</v>
      </c>
      <c r="X11" s="342">
        <f>INDEX(contents_raw, MATCH('월간 Top 집계'!W$4, INDEX(contents_raw, 0, MATCH($A$1, INDEX(contents_raw, 2, 0), 0)), 0), MATCH($AG11, INDEX(contents_raw, 2, 0), 0))</f>
        <v>3.4013606607913971E-2</v>
      </c>
      <c r="Z11" s="4" t="s">
        <v>487</v>
      </c>
      <c r="AA11" s="342" t="e">
        <f>INDEX(contents_raw, MATCH('월간 Top 집계'!Z$4, INDEX(contents_raw, 0, MATCH($A$1, INDEX(contents_raw, 2, 0), 0)), 0), MATCH($AG11, INDEX(contents_raw, 2, 0), 0))</f>
        <v>#N/A</v>
      </c>
      <c r="AC11" s="4" t="s">
        <v>487</v>
      </c>
      <c r="AD11" s="342" t="e">
        <f>INDEX(contents_raw, MATCH('월간 Top 집계'!AC$4, INDEX(contents_raw, 0, MATCH($A$1, INDEX(contents_raw, 2, 0), 0)), 0), MATCH($AG11, INDEX(contents_raw, 2, 0), 0))</f>
        <v>#N/A</v>
      </c>
      <c r="AG11" s="52" t="s">
        <v>31</v>
      </c>
      <c r="AI11" t="s">
        <v>1017</v>
      </c>
    </row>
    <row r="12" spans="1:35" hidden="1">
      <c r="B12" s="4" t="s">
        <v>997</v>
      </c>
      <c r="C12" s="143" t="str">
        <f>IF(INDEX(contents_raw,MATCH('월간 Top 집계'!B$4,INDEX(contents_raw,0,MATCH($A$1,INDEX(contents_raw,2,0),0)),0),MATCH($AG12,INDEX(contents_raw,2,0),0)) = "", "-",
TEXT(INDEX(contents_raw,MATCH('월간 Top 집계'!B$4,INDEX(contents_raw,0,MATCH($A$1,INDEX(contents_raw,2,0),0)),0),MATCH($AG12,INDEX(contents_raw,2,0),0)),"#,##0")&amp;"회")</f>
        <v>130회</v>
      </c>
      <c r="E12" s="4" t="s">
        <v>997</v>
      </c>
      <c r="F12" s="143" t="str">
        <f>IF(INDEX(contents_raw,MATCH('월간 Top 집계'!E$4,INDEX(contents_raw,0,MATCH($A$1,INDEX(contents_raw,2,0),0)),0),MATCH($AG12,INDEX(contents_raw,2,0),0)) = "", "-",
TEXT(INDEX(contents_raw,MATCH('월간 Top 집계'!E$4,INDEX(contents_raw,0,MATCH($A$1,INDEX(contents_raw,2,0),0)),0),MATCH($AG12,INDEX(contents_raw,2,0),0)),"#,##0")&amp;"회")</f>
        <v>263회</v>
      </c>
      <c r="H12" s="4" t="s">
        <v>997</v>
      </c>
      <c r="I12" s="143" t="str">
        <f>IF(INDEX(contents_raw,MATCH('월간 Top 집계'!H$4,INDEX(contents_raw,0,MATCH($A$1,INDEX(contents_raw,2,0),0)),0),MATCH($AG12,INDEX(contents_raw,2,0),0)) = "", "-",
TEXT(INDEX(contents_raw,MATCH('월간 Top 집계'!H$4,INDEX(contents_raw,0,MATCH($A$1,INDEX(contents_raw,2,0),0)),0),MATCH($AG12,INDEX(contents_raw,2,0),0)),"#,##0")&amp;"회")</f>
        <v>302회</v>
      </c>
      <c r="K12" s="4" t="s">
        <v>997</v>
      </c>
      <c r="L12" s="143" t="str">
        <f>IF(INDEX(contents_raw,MATCH('월간 Top 집계'!K$4,INDEX(contents_raw,0,MATCH($A$1,INDEX(contents_raw,2,0),0)),0),MATCH($AG12,INDEX(contents_raw,2,0),0)) = "", "-",
TEXT(INDEX(contents_raw,MATCH('월간 Top 집계'!K$4,INDEX(contents_raw,0,MATCH($A$1,INDEX(contents_raw,2,0),0)),0),MATCH($AG12,INDEX(contents_raw,2,0),0)),"#,##0")&amp;"회")</f>
        <v>207회</v>
      </c>
      <c r="N12" s="4" t="s">
        <v>997</v>
      </c>
      <c r="O12" s="143" t="str">
        <f>IF(INDEX(contents_raw,MATCH('월간 Top 집계'!N$4,INDEX(contents_raw,0,MATCH($A$1,INDEX(contents_raw,2,0),0)),0),MATCH($AG12,INDEX(contents_raw,2,0),0)) = "", "-",
TEXT(INDEX(contents_raw,MATCH('월간 Top 집계'!N$4,INDEX(contents_raw,0,MATCH($A$1,INDEX(contents_raw,2,0),0)),0),MATCH($AG12,INDEX(contents_raw,2,0),0)),"#,##0")&amp;"회")</f>
        <v>176회</v>
      </c>
      <c r="Q12" s="4" t="s">
        <v>997</v>
      </c>
      <c r="R12" s="143" t="str">
        <f>IF(INDEX(contents_raw,MATCH('월간 Top 집계'!Q$4,INDEX(contents_raw,0,MATCH($A$1,INDEX(contents_raw,2,0),0)),0),MATCH($AG12,INDEX(contents_raw,2,0),0)) = "", "-",
TEXT(INDEX(contents_raw,MATCH('월간 Top 집계'!Q$4,INDEX(contents_raw,0,MATCH($A$1,INDEX(contents_raw,2,0),0)),0),MATCH($AG12,INDEX(contents_raw,2,0),0)),"#,##0")&amp;"회")</f>
        <v>225회</v>
      </c>
      <c r="T12" s="4" t="s">
        <v>997</v>
      </c>
      <c r="U12" s="143" t="str">
        <f>IF(INDEX(contents_raw,MATCH('월간 Top 집계'!T$4,INDEX(contents_raw,0,MATCH($A$1,INDEX(contents_raw,2,0),0)),0),MATCH($AG12,INDEX(contents_raw,2,0),0)) = "", "-",
TEXT(INDEX(contents_raw,MATCH('월간 Top 집계'!T$4,INDEX(contents_raw,0,MATCH($A$1,INDEX(contents_raw,2,0),0)),0),MATCH($AG12,INDEX(contents_raw,2,0),0)),"#,##0")&amp;"회")</f>
        <v>197회</v>
      </c>
      <c r="W12" s="4" t="s">
        <v>997</v>
      </c>
      <c r="X12" s="143" t="str">
        <f>IF(INDEX(contents_raw,MATCH('월간 Top 집계'!W$4,INDEX(contents_raw,0,MATCH($A$1,INDEX(contents_raw,2,0),0)),0),MATCH($AG12,INDEX(contents_raw,2,0),0)) = "", "-",
TEXT(INDEX(contents_raw,MATCH('월간 Top 집계'!W$4,INDEX(contents_raw,0,MATCH($A$1,INDEX(contents_raw,2,0),0)),0),MATCH($AG12,INDEX(contents_raw,2,0),0)),"#,##0")&amp;"회")</f>
        <v>103회</v>
      </c>
      <c r="Z12" s="4" t="s">
        <v>997</v>
      </c>
      <c r="AA12" s="143" t="e">
        <f>IF(INDEX(contents_raw,MATCH('월간 Top 집계'!Z$4,INDEX(contents_raw,0,MATCH($A$1,INDEX(contents_raw,2,0),0)),0),MATCH($AG12,INDEX(contents_raw,2,0),0)) = "", "-",
TEXT(INDEX(contents_raw,MATCH('월간 Top 집계'!Z$4,INDEX(contents_raw,0,MATCH($A$1,INDEX(contents_raw,2,0),0)),0),MATCH($AG12,INDEX(contents_raw,2,0),0)),"#,##0")&amp;"회")</f>
        <v>#N/A</v>
      </c>
      <c r="AC12" s="4" t="s">
        <v>997</v>
      </c>
      <c r="AD12" s="143" t="e">
        <f>IF(INDEX(contents_raw,MATCH('월간 Top 집계'!AC$4,INDEX(contents_raw,0,MATCH($A$1,INDEX(contents_raw,2,0),0)),0),MATCH($AG12,INDEX(contents_raw,2,0),0)) = "", "-",
TEXT(INDEX(contents_raw,MATCH('월간 Top 집계'!AC$4,INDEX(contents_raw,0,MATCH($A$1,INDEX(contents_raw,2,0),0)),0),MATCH($AG12,INDEX(contents_raw,2,0),0)),"#,##0")&amp;"회")</f>
        <v>#N/A</v>
      </c>
      <c r="AG12" s="52" t="s">
        <v>1005</v>
      </c>
      <c r="AI12" t="s">
        <v>1018</v>
      </c>
    </row>
    <row r="13" spans="1:35">
      <c r="B13" s="4" t="s">
        <v>113</v>
      </c>
      <c r="C13" s="143" t="str">
        <f>IF(INDEX(contents_raw,MATCH('월간 Top 집계'!B$4,INDEX(contents_raw,0,MATCH($A$1,INDEX(contents_raw,2,0),0)),0),MATCH($AG13,INDEX(contents_raw,2,0),0)) = "", "-",
TEXT(INDEX(contents_raw,MATCH('월간 Top 집계'!B$4,INDEX(contents_raw,0,MATCH($A$1,INDEX(contents_raw,2,0),0)),0),MATCH($AG13,INDEX(contents_raw,2,0),0)),"#,##0")&amp;"회")</f>
        <v>70회</v>
      </c>
      <c r="E13" s="4" t="s">
        <v>113</v>
      </c>
      <c r="F13" s="143" t="str">
        <f>IF(INDEX(contents_raw,MATCH('월간 Top 집계'!E$4,INDEX(contents_raw,0,MATCH($A$1,INDEX(contents_raw,2,0),0)),0),MATCH($AG13,INDEX(contents_raw,2,0),0)) = "", "-",
TEXT(INDEX(contents_raw,MATCH('월간 Top 집계'!E$4,INDEX(contents_raw,0,MATCH($A$1,INDEX(contents_raw,2,0),0)),0),MATCH($AG13,INDEX(contents_raw,2,0),0)),"#,##0")&amp;"회")</f>
        <v>57회</v>
      </c>
      <c r="H13" s="4" t="s">
        <v>113</v>
      </c>
      <c r="I13" s="143" t="str">
        <f>IF(INDEX(contents_raw,MATCH('월간 Top 집계'!H$4,INDEX(contents_raw,0,MATCH($A$1,INDEX(contents_raw,2,0),0)),0),MATCH($AG13,INDEX(contents_raw,2,0),0)) = "", "-",
TEXT(INDEX(contents_raw,MATCH('월간 Top 집계'!H$4,INDEX(contents_raw,0,MATCH($A$1,INDEX(contents_raw,2,0),0)),0),MATCH($AG13,INDEX(contents_raw,2,0),0)),"#,##0")&amp;"회")</f>
        <v>47회</v>
      </c>
      <c r="K13" s="4" t="s">
        <v>113</v>
      </c>
      <c r="L13" s="143" t="str">
        <f>IF(INDEX(contents_raw,MATCH('월간 Top 집계'!K$4,INDEX(contents_raw,0,MATCH($A$1,INDEX(contents_raw,2,0),0)),0),MATCH($AG13,INDEX(contents_raw,2,0),0)) = "", "-",
TEXT(INDEX(contents_raw,MATCH('월간 Top 집계'!K$4,INDEX(contents_raw,0,MATCH($A$1,INDEX(contents_raw,2,0),0)),0),MATCH($AG13,INDEX(contents_raw,2,0),0)),"#,##0")&amp;"회")</f>
        <v>58회</v>
      </c>
      <c r="N13" s="4" t="s">
        <v>113</v>
      </c>
      <c r="O13" s="143" t="str">
        <f>IF(INDEX(contents_raw,MATCH('월간 Top 집계'!N$4,INDEX(contents_raw,0,MATCH($A$1,INDEX(contents_raw,2,0),0)),0),MATCH($AG13,INDEX(contents_raw,2,0),0)) = "", "-",
TEXT(INDEX(contents_raw,MATCH('월간 Top 집계'!N$4,INDEX(contents_raw,0,MATCH($A$1,INDEX(contents_raw,2,0),0)),0),MATCH($AG13,INDEX(contents_raw,2,0),0)),"#,##0")&amp;"회")</f>
        <v>46회</v>
      </c>
      <c r="Q13" s="4" t="s">
        <v>113</v>
      </c>
      <c r="R13" s="143" t="str">
        <f>IF(INDEX(contents_raw,MATCH('월간 Top 집계'!Q$4,INDEX(contents_raw,0,MATCH($A$1,INDEX(contents_raw,2,0),0)),0),MATCH($AG13,INDEX(contents_raw,2,0),0)) = "", "-",
TEXT(INDEX(contents_raw,MATCH('월간 Top 집계'!Q$4,INDEX(contents_raw,0,MATCH($A$1,INDEX(contents_raw,2,0),0)),0),MATCH($AG13,INDEX(contents_raw,2,0),0)),"#,##0")&amp;"회")</f>
        <v>65회</v>
      </c>
      <c r="T13" s="4" t="s">
        <v>113</v>
      </c>
      <c r="U13" s="143" t="str">
        <f>IF(INDEX(contents_raw,MATCH('월간 Top 집계'!T$4,INDEX(contents_raw,0,MATCH($A$1,INDEX(contents_raw,2,0),0)),0),MATCH($AG13,INDEX(contents_raw,2,0),0)) = "", "-",
TEXT(INDEX(contents_raw,MATCH('월간 Top 집계'!T$4,INDEX(contents_raw,0,MATCH($A$1,INDEX(contents_raw,2,0),0)),0),MATCH($AG13,INDEX(contents_raw,2,0),0)),"#,##0")&amp;"회")</f>
        <v>40회</v>
      </c>
      <c r="W13" s="4" t="s">
        <v>113</v>
      </c>
      <c r="X13" s="143" t="str">
        <f>IF(INDEX(contents_raw,MATCH('월간 Top 집계'!W$4,INDEX(contents_raw,0,MATCH($A$1,INDEX(contents_raw,2,0),0)),0),MATCH($AG13,INDEX(contents_raw,2,0),0)) = "", "-",
TEXT(INDEX(contents_raw,MATCH('월간 Top 집계'!W$4,INDEX(contents_raw,0,MATCH($A$1,INDEX(contents_raw,2,0),0)),0),MATCH($AG13,INDEX(contents_raw,2,0),0)),"#,##0")&amp;"회")</f>
        <v>28회</v>
      </c>
      <c r="Z13" s="4" t="s">
        <v>113</v>
      </c>
      <c r="AA13" s="143" t="e">
        <f>IF(INDEX(contents_raw,MATCH('월간 Top 집계'!Z$4,INDEX(contents_raw,0,MATCH($A$1,INDEX(contents_raw,2,0),0)),0),MATCH($AG13,INDEX(contents_raw,2,0),0)) = "", "-",
TEXT(INDEX(contents_raw,MATCH('월간 Top 집계'!Z$4,INDEX(contents_raw,0,MATCH($A$1,INDEX(contents_raw,2,0),0)),0),MATCH($AG13,INDEX(contents_raw,2,0),0)),"#,##0")&amp;"회")</f>
        <v>#N/A</v>
      </c>
      <c r="AC13" s="4" t="s">
        <v>113</v>
      </c>
      <c r="AD13" s="143" t="e">
        <f>IF(INDEX(contents_raw,MATCH('월간 Top 집계'!AC$4,INDEX(contents_raw,0,MATCH($A$1,INDEX(contents_raw,2,0),0)),0),MATCH($AG13,INDEX(contents_raw,2,0),0)) = "", "-",
TEXT(INDEX(contents_raw,MATCH('월간 Top 집계'!AC$4,INDEX(contents_raw,0,MATCH($A$1,INDEX(contents_raw,2,0),0)),0),MATCH($AG13,INDEX(contents_raw,2,0),0)),"#,##0")&amp;"회")</f>
        <v>#N/A</v>
      </c>
      <c r="AG13" s="52" t="s">
        <v>951</v>
      </c>
      <c r="AI13" s="341" t="s">
        <v>1019</v>
      </c>
    </row>
    <row r="14" spans="1:35">
      <c r="B14" s="4" t="s">
        <v>162</v>
      </c>
      <c r="C14" s="143" t="str">
        <f>IF(INDEX(contents_raw,MATCH('월간 Top 집계'!B$4,INDEX(contents_raw,0,MATCH($A$1,INDEX(contents_raw,2,0),0)),0),MATCH($AG14,INDEX(contents_raw,2,0),0)) = "", "-",
TEXT(INDEX(contents_raw,MATCH('월간 Top 집계'!B$4,INDEX(contents_raw,0,MATCH($A$1,INDEX(contents_raw,2,0),0)),0),MATCH($AG14,INDEX(contents_raw,2,0),0)),"#,##0")&amp;"회")</f>
        <v>1,880회</v>
      </c>
      <c r="E14" s="4" t="s">
        <v>162</v>
      </c>
      <c r="F14" s="143" t="str">
        <f>IF(INDEX(contents_raw,MATCH('월간 Top 집계'!E$4,INDEX(contents_raw,0,MATCH($A$1,INDEX(contents_raw,2,0),0)),0),MATCH($AG14,INDEX(contents_raw,2,0),0)) = "", "-",
TEXT(INDEX(contents_raw,MATCH('월간 Top 집계'!E$4,INDEX(contents_raw,0,MATCH($A$1,INDEX(contents_raw,2,0),0)),0),MATCH($AG14,INDEX(contents_raw,2,0),0)),"#,##0")&amp;"회")</f>
        <v>4,782회</v>
      </c>
      <c r="H14" s="4" t="s">
        <v>162</v>
      </c>
      <c r="I14" s="143" t="str">
        <f>IF(INDEX(contents_raw,MATCH('월간 Top 집계'!H$4,INDEX(contents_raw,0,MATCH($A$1,INDEX(contents_raw,2,0),0)),0),MATCH($AG14,INDEX(contents_raw,2,0),0)) = "", "-",
TEXT(INDEX(contents_raw,MATCH('월간 Top 집계'!H$4,INDEX(contents_raw,0,MATCH($A$1,INDEX(contents_raw,2,0),0)),0),MATCH($AG14,INDEX(contents_raw,2,0),0)),"#,##0")&amp;"회")</f>
        <v>4,934회</v>
      </c>
      <c r="K14" s="4" t="s">
        <v>162</v>
      </c>
      <c r="L14" s="143" t="str">
        <f>IF(INDEX(contents_raw,MATCH('월간 Top 집계'!K$4,INDEX(contents_raw,0,MATCH($A$1,INDEX(contents_raw,2,0),0)),0),MATCH($AG14,INDEX(contents_raw,2,0),0)) = "", "-",
TEXT(INDEX(contents_raw,MATCH('월간 Top 집계'!K$4,INDEX(contents_raw,0,MATCH($A$1,INDEX(contents_raw,2,0),0)),0),MATCH($AG14,INDEX(contents_raw,2,0),0)),"#,##0")&amp;"회")</f>
        <v>4,652회</v>
      </c>
      <c r="N14" s="4" t="s">
        <v>162</v>
      </c>
      <c r="O14" s="143" t="str">
        <f>IF(INDEX(contents_raw,MATCH('월간 Top 집계'!N$4,INDEX(contents_raw,0,MATCH($A$1,INDEX(contents_raw,2,0),0)),0),MATCH($AG14,INDEX(contents_raw,2,0),0)) = "", "-",
TEXT(INDEX(contents_raw,MATCH('월간 Top 집계'!N$4,INDEX(contents_raw,0,MATCH($A$1,INDEX(contents_raw,2,0),0)),0),MATCH($AG14,INDEX(contents_raw,2,0),0)),"#,##0")&amp;"회")</f>
        <v>4,602회</v>
      </c>
      <c r="Q14" s="4" t="s">
        <v>162</v>
      </c>
      <c r="R14" s="143" t="str">
        <f>IF(INDEX(contents_raw,MATCH('월간 Top 집계'!Q$4,INDEX(contents_raw,0,MATCH($A$1,INDEX(contents_raw,2,0),0)),0),MATCH($AG14,INDEX(contents_raw,2,0),0)) = "", "-",
TEXT(INDEX(contents_raw,MATCH('월간 Top 집계'!Q$4,INDEX(contents_raw,0,MATCH($A$1,INDEX(contents_raw,2,0),0)),0),MATCH($AG14,INDEX(contents_raw,2,0),0)),"#,##0")&amp;"회")</f>
        <v>4,670회</v>
      </c>
      <c r="T14" s="4" t="s">
        <v>162</v>
      </c>
      <c r="U14" s="143" t="str">
        <f>IF(INDEX(contents_raw,MATCH('월간 Top 집계'!T$4,INDEX(contents_raw,0,MATCH($A$1,INDEX(contents_raw,2,0),0)),0),MATCH($AG14,INDEX(contents_raw,2,0),0)) = "", "-",
TEXT(INDEX(contents_raw,MATCH('월간 Top 집계'!T$4,INDEX(contents_raw,0,MATCH($A$1,INDEX(contents_raw,2,0),0)),0),MATCH($AG14,INDEX(contents_raw,2,0),0)),"#,##0")&amp;"회")</f>
        <v>3,721회</v>
      </c>
      <c r="W14" s="4" t="s">
        <v>162</v>
      </c>
      <c r="X14" s="143" t="str">
        <f>IF(INDEX(contents_raw,MATCH('월간 Top 집계'!W$4,INDEX(contents_raw,0,MATCH($A$1,INDEX(contents_raw,2,0),0)),0),MATCH($AG14,INDEX(contents_raw,2,0),0)) = "", "-",
TEXT(INDEX(contents_raw,MATCH('월간 Top 집계'!W$4,INDEX(contents_raw,0,MATCH($A$1,INDEX(contents_raw,2,0),0)),0),MATCH($AG14,INDEX(contents_raw,2,0),0)),"#,##0")&amp;"회")</f>
        <v>2,058회</v>
      </c>
      <c r="Z14" s="4" t="s">
        <v>162</v>
      </c>
      <c r="AA14" s="143" t="e">
        <f>IF(INDEX(contents_raw,MATCH('월간 Top 집계'!Z$4,INDEX(contents_raw,0,MATCH($A$1,INDEX(contents_raw,2,0),0)),0),MATCH($AG14,INDEX(contents_raw,2,0),0)) = "", "-",
TEXT(INDEX(contents_raw,MATCH('월간 Top 집계'!Z$4,INDEX(contents_raw,0,MATCH($A$1,INDEX(contents_raw,2,0),0)),0),MATCH($AG14,INDEX(contents_raw,2,0),0)),"#,##0")&amp;"회")</f>
        <v>#N/A</v>
      </c>
      <c r="AC14" s="4" t="s">
        <v>162</v>
      </c>
      <c r="AD14" s="143" t="e">
        <f>IF(INDEX(contents_raw,MATCH('월간 Top 집계'!AC$4,INDEX(contents_raw,0,MATCH($A$1,INDEX(contents_raw,2,0),0)),0),MATCH($AG14,INDEX(contents_raw,2,0),0)) = "", "-",
TEXT(INDEX(contents_raw,MATCH('월간 Top 집계'!AC$4,INDEX(contents_raw,0,MATCH($A$1,INDEX(contents_raw,2,0),0)),0),MATCH($AG14,INDEX(contents_raw,2,0),0)),"#,##0")&amp;"회")</f>
        <v>#N/A</v>
      </c>
      <c r="AG14" s="52" t="s">
        <v>29</v>
      </c>
      <c r="AI14" s="341" t="s">
        <v>1020</v>
      </c>
    </row>
    <row r="15" spans="1:35" hidden="1">
      <c r="B15" s="4" t="s">
        <v>976</v>
      </c>
      <c r="C15" s="143" t="str">
        <f>IF(INDEX(contents_raw,MATCH('월간 Top 집계'!B$4,INDEX(contents_raw,0,MATCH($A$1,INDEX(contents_raw,2,0),0)),0),MATCH($AG15,INDEX(contents_raw,2,0),0)) = "", "-",
TEXT(INDEX(contents_raw,MATCH('월간 Top 집계'!B$4,INDEX(contents_raw,0,MATCH($A$1,INDEX(contents_raw,2,0),0)),0),MATCH($AG15,INDEX(contents_raw,2,0),0)),"#,##0")&amp;"회")</f>
        <v>57회</v>
      </c>
      <c r="E15" s="4" t="s">
        <v>976</v>
      </c>
      <c r="F15" s="143" t="str">
        <f>IF(INDEX(contents_raw,MATCH('월간 Top 집계'!E$4,INDEX(contents_raw,0,MATCH($A$1,INDEX(contents_raw,2,0),0)),0),MATCH($AG15,INDEX(contents_raw,2,0),0)) = "", "-",
TEXT(INDEX(contents_raw,MATCH('월간 Top 집계'!E$4,INDEX(contents_raw,0,MATCH($A$1,INDEX(contents_raw,2,0),0)),0),MATCH($AG15,INDEX(contents_raw,2,0),0)),"#,##0")&amp;"회")</f>
        <v>202회</v>
      </c>
      <c r="H15" s="4" t="s">
        <v>976</v>
      </c>
      <c r="I15" s="143" t="str">
        <f>IF(INDEX(contents_raw,MATCH('월간 Top 집계'!H$4,INDEX(contents_raw,0,MATCH($A$1,INDEX(contents_raw,2,0),0)),0),MATCH($AG15,INDEX(contents_raw,2,0),0)) = "", "-",
TEXT(INDEX(contents_raw,MATCH('월간 Top 집계'!H$4,INDEX(contents_raw,0,MATCH($A$1,INDEX(contents_raw,2,0),0)),0),MATCH($AG15,INDEX(contents_raw,2,0),0)),"#,##0")&amp;"회")</f>
        <v>254회</v>
      </c>
      <c r="K15" s="4" t="s">
        <v>976</v>
      </c>
      <c r="L15" s="143" t="str">
        <f>IF(INDEX(contents_raw,MATCH('월간 Top 집계'!K$4,INDEX(contents_raw,0,MATCH($A$1,INDEX(contents_raw,2,0),0)),0),MATCH($AG15,INDEX(contents_raw,2,0),0)) = "", "-",
TEXT(INDEX(contents_raw,MATCH('월간 Top 집계'!K$4,INDEX(contents_raw,0,MATCH($A$1,INDEX(contents_raw,2,0),0)),0),MATCH($AG15,INDEX(contents_raw,2,0),0)),"#,##0")&amp;"회")</f>
        <v>145회</v>
      </c>
      <c r="N15" s="4" t="s">
        <v>976</v>
      </c>
      <c r="O15" s="143" t="str">
        <f>IF(INDEX(contents_raw,MATCH('월간 Top 집계'!N$4,INDEX(contents_raw,0,MATCH($A$1,INDEX(contents_raw,2,0),0)),0),MATCH($AG15,INDEX(contents_raw,2,0),0)) = "", "-",
TEXT(INDEX(contents_raw,MATCH('월간 Top 집계'!N$4,INDEX(contents_raw,0,MATCH($A$1,INDEX(contents_raw,2,0),0)),0),MATCH($AG15,INDEX(contents_raw,2,0),0)),"#,##0")&amp;"회")</f>
        <v>128회</v>
      </c>
      <c r="Q15" s="4" t="s">
        <v>976</v>
      </c>
      <c r="R15" s="143" t="str">
        <f>IF(INDEX(contents_raw,MATCH('월간 Top 집계'!Q$4,INDEX(contents_raw,0,MATCH($A$1,INDEX(contents_raw,2,0),0)),0),MATCH($AG15,INDEX(contents_raw,2,0),0)) = "", "-",
TEXT(INDEX(contents_raw,MATCH('월간 Top 집계'!Q$4,INDEX(contents_raw,0,MATCH($A$1,INDEX(contents_raw,2,0),0)),0),MATCH($AG15,INDEX(contents_raw,2,0),0)),"#,##0")&amp;"회")</f>
        <v>157회</v>
      </c>
      <c r="T15" s="4" t="s">
        <v>976</v>
      </c>
      <c r="U15" s="143" t="str">
        <f>IF(INDEX(contents_raw,MATCH('월간 Top 집계'!T$4,INDEX(contents_raw,0,MATCH($A$1,INDEX(contents_raw,2,0),0)),0),MATCH($AG15,INDEX(contents_raw,2,0),0)) = "", "-",
TEXT(INDEX(contents_raw,MATCH('월간 Top 집계'!T$4,INDEX(contents_raw,0,MATCH($A$1,INDEX(contents_raw,2,0),0)),0),MATCH($AG15,INDEX(contents_raw,2,0),0)),"#,##0")&amp;"회")</f>
        <v>156회</v>
      </c>
      <c r="W15" s="4" t="s">
        <v>976</v>
      </c>
      <c r="X15" s="143" t="str">
        <f>IF(INDEX(contents_raw,MATCH('월간 Top 집계'!W$4,INDEX(contents_raw,0,MATCH($A$1,INDEX(contents_raw,2,0),0)),0),MATCH($AG15,INDEX(contents_raw,2,0),0)) = "", "-",
TEXT(INDEX(contents_raw,MATCH('월간 Top 집계'!W$4,INDEX(contents_raw,0,MATCH($A$1,INDEX(contents_raw,2,0),0)),0),MATCH($AG15,INDEX(contents_raw,2,0),0)),"#,##0")&amp;"회")</f>
        <v>70회</v>
      </c>
      <c r="Z15" s="4" t="s">
        <v>976</v>
      </c>
      <c r="AA15" s="143" t="e">
        <f>IF(INDEX(contents_raw,MATCH('월간 Top 집계'!Z$4,INDEX(contents_raw,0,MATCH($A$1,INDEX(contents_raw,2,0),0)),0),MATCH($AG15,INDEX(contents_raw,2,0),0)) = "", "-",
TEXT(INDEX(contents_raw,MATCH('월간 Top 집계'!Z$4,INDEX(contents_raw,0,MATCH($A$1,INDEX(contents_raw,2,0),0)),0),MATCH($AG15,INDEX(contents_raw,2,0),0)),"#,##0")&amp;"회")</f>
        <v>#N/A</v>
      </c>
      <c r="AC15" s="4" t="s">
        <v>976</v>
      </c>
      <c r="AD15" s="143" t="e">
        <f>IF(INDEX(contents_raw,MATCH('월간 Top 집계'!AC$4,INDEX(contents_raw,0,MATCH($A$1,INDEX(contents_raw,2,0),0)),0),MATCH($AG15,INDEX(contents_raw,2,0),0)) = "", "-",
TEXT(INDEX(contents_raw,MATCH('월간 Top 집계'!AC$4,INDEX(contents_raw,0,MATCH($A$1,INDEX(contents_raw,2,0),0)),0),MATCH($AG15,INDEX(contents_raw,2,0),0)),"#,##0")&amp;"회")</f>
        <v>#N/A</v>
      </c>
      <c r="AG15" s="52" t="s">
        <v>30</v>
      </c>
      <c r="AI15" s="341" t="s">
        <v>1021</v>
      </c>
    </row>
    <row r="16" spans="1:35" hidden="1">
      <c r="B16" s="4" t="s">
        <v>977</v>
      </c>
      <c r="C16" s="143" t="str">
        <f>IF(INDEX(contents_raw,MATCH('월간 Top 집계'!B$4,INDEX(contents_raw,0,MATCH($A$1,INDEX(contents_raw,2,0),0)),0),MATCH($AG16,INDEX(contents_raw,2,0),0)) = "", "-",
TEXT(INDEX(contents_raw,MATCH('월간 Top 집계'!B$4,INDEX(contents_raw,0,MATCH($A$1,INDEX(contents_raw,2,0),0)),0),MATCH($AG16,INDEX(contents_raw,2,0),0)),"#,##0")&amp;"회")</f>
        <v>3회</v>
      </c>
      <c r="E16" s="4" t="s">
        <v>977</v>
      </c>
      <c r="F16" s="143" t="str">
        <f>IF(INDEX(contents_raw,MATCH('월간 Top 집계'!E$4,INDEX(contents_raw,0,MATCH($A$1,INDEX(contents_raw,2,0),0)),0),MATCH($AG16,INDEX(contents_raw,2,0),0)) = "", "-",
TEXT(INDEX(contents_raw,MATCH('월간 Top 집계'!E$4,INDEX(contents_raw,0,MATCH($A$1,INDEX(contents_raw,2,0),0)),0),MATCH($AG16,INDEX(contents_raw,2,0),0)),"#,##0")&amp;"회")</f>
        <v>4회</v>
      </c>
      <c r="H16" s="4" t="s">
        <v>977</v>
      </c>
      <c r="I16" s="143" t="str">
        <f>IF(INDEX(contents_raw,MATCH('월간 Top 집계'!H$4,INDEX(contents_raw,0,MATCH($A$1,INDEX(contents_raw,2,0),0)),0),MATCH($AG16,INDEX(contents_raw,2,0),0)) = "", "-",
TEXT(INDEX(contents_raw,MATCH('월간 Top 집계'!H$4,INDEX(contents_raw,0,MATCH($A$1,INDEX(contents_raw,2,0),0)),0),MATCH($AG16,INDEX(contents_raw,2,0),0)),"#,##0")&amp;"회")</f>
        <v>1회</v>
      </c>
      <c r="K16" s="4" t="s">
        <v>977</v>
      </c>
      <c r="L16" s="143" t="str">
        <f>IF(INDEX(contents_raw,MATCH('월간 Top 집계'!K$4,INDEX(contents_raw,0,MATCH($A$1,INDEX(contents_raw,2,0),0)),0),MATCH($AG16,INDEX(contents_raw,2,0),0)) = "", "-",
TEXT(INDEX(contents_raw,MATCH('월간 Top 집계'!K$4,INDEX(contents_raw,0,MATCH($A$1,INDEX(contents_raw,2,0),0)),0),MATCH($AG16,INDEX(contents_raw,2,0),0)),"#,##0")&amp;"회")</f>
        <v>4회</v>
      </c>
      <c r="N16" s="4" t="s">
        <v>977</v>
      </c>
      <c r="O16" s="143" t="str">
        <f>IF(INDEX(contents_raw,MATCH('월간 Top 집계'!N$4,INDEX(contents_raw,0,MATCH($A$1,INDEX(contents_raw,2,0),0)),0),MATCH($AG16,INDEX(contents_raw,2,0),0)) = "", "-",
TEXT(INDEX(contents_raw,MATCH('월간 Top 집계'!N$4,INDEX(contents_raw,0,MATCH($A$1,INDEX(contents_raw,2,0),0)),0),MATCH($AG16,INDEX(contents_raw,2,0),0)),"#,##0")&amp;"회")</f>
        <v>2회</v>
      </c>
      <c r="Q16" s="4" t="s">
        <v>977</v>
      </c>
      <c r="R16" s="143" t="str">
        <f>IF(INDEX(contents_raw,MATCH('월간 Top 집계'!Q$4,INDEX(contents_raw,0,MATCH($A$1,INDEX(contents_raw,2,0),0)),0),MATCH($AG16,INDEX(contents_raw,2,0),0)) = "", "-",
TEXT(INDEX(contents_raw,MATCH('월간 Top 집계'!Q$4,INDEX(contents_raw,0,MATCH($A$1,INDEX(contents_raw,2,0),0)),0),MATCH($AG16,INDEX(contents_raw,2,0),0)),"#,##0")&amp;"회")</f>
        <v>3회</v>
      </c>
      <c r="T16" s="4" t="s">
        <v>977</v>
      </c>
      <c r="U16" s="143" t="str">
        <f>IF(INDEX(contents_raw,MATCH('월간 Top 집계'!T$4,INDEX(contents_raw,0,MATCH($A$1,INDEX(contents_raw,2,0),0)),0),MATCH($AG16,INDEX(contents_raw,2,0),0)) = "", "-",
TEXT(INDEX(contents_raw,MATCH('월간 Top 집계'!T$4,INDEX(contents_raw,0,MATCH($A$1,INDEX(contents_raw,2,0),0)),0),MATCH($AG16,INDEX(contents_raw,2,0),0)),"#,##0")&amp;"회")</f>
        <v>1회</v>
      </c>
      <c r="W16" s="4" t="s">
        <v>977</v>
      </c>
      <c r="X16" s="143" t="str">
        <f>IF(INDEX(contents_raw,MATCH('월간 Top 집계'!W$4,INDEX(contents_raw,0,MATCH($A$1,INDEX(contents_raw,2,0),0)),0),MATCH($AG16,INDEX(contents_raw,2,0),0)) = "", "-",
TEXT(INDEX(contents_raw,MATCH('월간 Top 집계'!W$4,INDEX(contents_raw,0,MATCH($A$1,INDEX(contents_raw,2,0),0)),0),MATCH($AG16,INDEX(contents_raw,2,0),0)),"#,##0")&amp;"회")</f>
        <v>1회</v>
      </c>
      <c r="Z16" s="4" t="s">
        <v>977</v>
      </c>
      <c r="AA16" s="143" t="e">
        <f>IF(INDEX(contents_raw,MATCH('월간 Top 집계'!Z$4,INDEX(contents_raw,0,MATCH($A$1,INDEX(contents_raw,2,0),0)),0),MATCH($AG16,INDEX(contents_raw,2,0),0)) = "", "-",
TEXT(INDEX(contents_raw,MATCH('월간 Top 집계'!Z$4,INDEX(contents_raw,0,MATCH($A$1,INDEX(contents_raw,2,0),0)),0),MATCH($AG16,INDEX(contents_raw,2,0),0)),"#,##0")&amp;"회")</f>
        <v>#N/A</v>
      </c>
      <c r="AC16" s="4" t="s">
        <v>977</v>
      </c>
      <c r="AD16" s="143" t="e">
        <f>IF(INDEX(contents_raw,MATCH('월간 Top 집계'!AC$4,INDEX(contents_raw,0,MATCH($A$1,INDEX(contents_raw,2,0),0)),0),MATCH($AG16,INDEX(contents_raw,2,0),0)) = "", "-",
TEXT(INDEX(contents_raw,MATCH('월간 Top 집계'!AC$4,INDEX(contents_raw,0,MATCH($A$1,INDEX(contents_raw,2,0),0)),0),MATCH($AG16,INDEX(contents_raw,2,0),0)),"#,##0")&amp;"회")</f>
        <v>#N/A</v>
      </c>
      <c r="AG16" s="52" t="s">
        <v>952</v>
      </c>
    </row>
    <row r="17" spans="2:35" ht="17.25" hidden="1" thickBot="1">
      <c r="B17" s="5" t="s">
        <v>978</v>
      </c>
      <c r="C17" s="144" t="str">
        <f>IF(INDEX(contents_raw,MATCH('월간 Top 집계'!B$4,INDEX(contents_raw,0,MATCH($A$1,INDEX(contents_raw,2,0),0)),0),MATCH($AG17,INDEX(contents_raw,2,0),0)) = "", "-",
TEXT(INDEX(contents_raw,MATCH('월간 Top 집계'!B$4,INDEX(contents_raw,0,MATCH($A$1,INDEX(contents_raw,2,0),0)),0),MATCH($AG17,INDEX(contents_raw,2,0),0)),"#,##0")&amp;"회")</f>
        <v>0회</v>
      </c>
      <c r="E17" s="5" t="s">
        <v>978</v>
      </c>
      <c r="F17" s="144" t="str">
        <f>IF(INDEX(contents_raw,MATCH('월간 Top 집계'!E$4,INDEX(contents_raw,0,MATCH($A$1,INDEX(contents_raw,2,0),0)),0),MATCH($AG17,INDEX(contents_raw,2,0),0)) = "", "-",
TEXT(INDEX(contents_raw,MATCH('월간 Top 집계'!E$4,INDEX(contents_raw,0,MATCH($A$1,INDEX(contents_raw,2,0),0)),0),MATCH($AG17,INDEX(contents_raw,2,0),0)),"#,##0")&amp;"회")</f>
        <v>0회</v>
      </c>
      <c r="H17" s="5" t="s">
        <v>978</v>
      </c>
      <c r="I17" s="144" t="str">
        <f>IF(INDEX(contents_raw,MATCH('월간 Top 집계'!H$4,INDEX(contents_raw,0,MATCH($A$1,INDEX(contents_raw,2,0),0)),0),MATCH($AG17,INDEX(contents_raw,2,0),0)) = "", "-",
TEXT(INDEX(contents_raw,MATCH('월간 Top 집계'!H$4,INDEX(contents_raw,0,MATCH($A$1,INDEX(contents_raw,2,0),0)),0),MATCH($AG17,INDEX(contents_raw,2,0),0)),"#,##0")&amp;"회")</f>
        <v>0회</v>
      </c>
      <c r="K17" s="5" t="s">
        <v>978</v>
      </c>
      <c r="L17" s="144" t="str">
        <f>IF(INDEX(contents_raw,MATCH('월간 Top 집계'!K$4,INDEX(contents_raw,0,MATCH($A$1,INDEX(contents_raw,2,0),0)),0),MATCH($AG17,INDEX(contents_raw,2,0),0)) = "", "-",
TEXT(INDEX(contents_raw,MATCH('월간 Top 집계'!K$4,INDEX(contents_raw,0,MATCH($A$1,INDEX(contents_raw,2,0),0)),0),MATCH($AG17,INDEX(contents_raw,2,0),0)),"#,##0")&amp;"회")</f>
        <v>0회</v>
      </c>
      <c r="N17" s="5" t="s">
        <v>978</v>
      </c>
      <c r="O17" s="144" t="str">
        <f>IF(INDEX(contents_raw,MATCH('월간 Top 집계'!N$4,INDEX(contents_raw,0,MATCH($A$1,INDEX(contents_raw,2,0),0)),0),MATCH($AG17,INDEX(contents_raw,2,0),0)) = "", "-",
TEXT(INDEX(contents_raw,MATCH('월간 Top 집계'!N$4,INDEX(contents_raw,0,MATCH($A$1,INDEX(contents_raw,2,0),0)),0),MATCH($AG17,INDEX(contents_raw,2,0),0)),"#,##0")&amp;"회")</f>
        <v>0회</v>
      </c>
      <c r="Q17" s="5" t="s">
        <v>978</v>
      </c>
      <c r="R17" s="144" t="str">
        <f>IF(INDEX(contents_raw,MATCH('월간 Top 집계'!Q$4,INDEX(contents_raw,0,MATCH($A$1,INDEX(contents_raw,2,0),0)),0),MATCH($AG17,INDEX(contents_raw,2,0),0)) = "", "-",
TEXT(INDEX(contents_raw,MATCH('월간 Top 집계'!Q$4,INDEX(contents_raw,0,MATCH($A$1,INDEX(contents_raw,2,0),0)),0),MATCH($AG17,INDEX(contents_raw,2,0),0)),"#,##0")&amp;"회")</f>
        <v>0회</v>
      </c>
      <c r="T17" s="5" t="s">
        <v>978</v>
      </c>
      <c r="U17" s="144" t="str">
        <f>IF(INDEX(contents_raw,MATCH('월간 Top 집계'!T$4,INDEX(contents_raw,0,MATCH($A$1,INDEX(contents_raw,2,0),0)),0),MATCH($AG17,INDEX(contents_raw,2,0),0)) = "", "-",
TEXT(INDEX(contents_raw,MATCH('월간 Top 집계'!T$4,INDEX(contents_raw,0,MATCH($A$1,INDEX(contents_raw,2,0),0)),0),MATCH($AG17,INDEX(contents_raw,2,0),0)),"#,##0")&amp;"회")</f>
        <v>0회</v>
      </c>
      <c r="W17" s="5" t="s">
        <v>978</v>
      </c>
      <c r="X17" s="144" t="str">
        <f>IF(INDEX(contents_raw,MATCH('월간 Top 집계'!W$4,INDEX(contents_raw,0,MATCH($A$1,INDEX(contents_raw,2,0),0)),0),MATCH($AG17,INDEX(contents_raw,2,0),0)) = "", "-",
TEXT(INDEX(contents_raw,MATCH('월간 Top 집계'!W$4,INDEX(contents_raw,0,MATCH($A$1,INDEX(contents_raw,2,0),0)),0),MATCH($AG17,INDEX(contents_raw,2,0),0)),"#,##0")&amp;"회")</f>
        <v>4회</v>
      </c>
      <c r="Z17" s="5" t="s">
        <v>978</v>
      </c>
      <c r="AA17" s="144" t="e">
        <f>IF(INDEX(contents_raw,MATCH('월간 Top 집계'!Z$4,INDEX(contents_raw,0,MATCH($A$1,INDEX(contents_raw,2,0),0)),0),MATCH($AG17,INDEX(contents_raw,2,0),0)) = "", "-",
TEXT(INDEX(contents_raw,MATCH('월간 Top 집계'!Z$4,INDEX(contents_raw,0,MATCH($A$1,INDEX(contents_raw,2,0),0)),0),MATCH($AG17,INDEX(contents_raw,2,0),0)),"#,##0")&amp;"회")</f>
        <v>#N/A</v>
      </c>
      <c r="AC17" s="5" t="s">
        <v>978</v>
      </c>
      <c r="AD17" s="144" t="e">
        <f>IF(INDEX(contents_raw,MATCH('월간 Top 집계'!AC$4,INDEX(contents_raw,0,MATCH($A$1,INDEX(contents_raw,2,0),0)),0),MATCH($AG17,INDEX(contents_raw,2,0),0)) = "", "-",
TEXT(INDEX(contents_raw,MATCH('월간 Top 집계'!AC$4,INDEX(contents_raw,0,MATCH($A$1,INDEX(contents_raw,2,0),0)),0),MATCH($AG17,INDEX(contents_raw,2,0),0)),"#,##0")&amp;"회")</f>
        <v>#N/A</v>
      </c>
      <c r="AG17" s="52" t="s">
        <v>33</v>
      </c>
      <c r="AI17" t="s">
        <v>1027</v>
      </c>
    </row>
    <row r="18" spans="2:35">
      <c r="AI18" t="s">
        <v>1028</v>
      </c>
    </row>
    <row r="21" spans="2:35">
      <c r="AI21" t="s">
        <v>998</v>
      </c>
    </row>
    <row r="22" spans="2:35">
      <c r="AG22" t="s">
        <v>1029</v>
      </c>
      <c r="AI22" t="s">
        <v>1001</v>
      </c>
    </row>
    <row r="23" spans="2:35">
      <c r="AG23" t="s">
        <v>462</v>
      </c>
    </row>
    <row r="24" spans="2:35">
      <c r="AG24" t="s">
        <v>1002</v>
      </c>
    </row>
    <row r="25" spans="2:35">
      <c r="AG25" s="341" t="s">
        <v>1003</v>
      </c>
    </row>
    <row r="26" spans="2:35">
      <c r="AG26" s="341" t="s">
        <v>649</v>
      </c>
    </row>
    <row r="27" spans="2:35">
      <c r="AG27" s="341"/>
    </row>
    <row r="30" spans="2:35">
      <c r="AG30" s="341"/>
    </row>
  </sheetData>
  <dataConsolidate/>
  <mergeCells count="40">
    <mergeCell ref="B6:C6"/>
    <mergeCell ref="E6:F6"/>
    <mergeCell ref="H6:I6"/>
    <mergeCell ref="K6:L6"/>
    <mergeCell ref="N6:O6"/>
    <mergeCell ref="B7:C7"/>
    <mergeCell ref="E7:F7"/>
    <mergeCell ref="H7:I7"/>
    <mergeCell ref="K7:L7"/>
    <mergeCell ref="N7:O7"/>
    <mergeCell ref="B4:C4"/>
    <mergeCell ref="E4:F4"/>
    <mergeCell ref="H4:I4"/>
    <mergeCell ref="K4:L4"/>
    <mergeCell ref="N4:O4"/>
    <mergeCell ref="B5:C5"/>
    <mergeCell ref="E5:F5"/>
    <mergeCell ref="H5:I5"/>
    <mergeCell ref="K5:L5"/>
    <mergeCell ref="N5:O5"/>
    <mergeCell ref="Q4:R4"/>
    <mergeCell ref="Q5:R5"/>
    <mergeCell ref="Q6:R6"/>
    <mergeCell ref="Q7:R7"/>
    <mergeCell ref="T4:U4"/>
    <mergeCell ref="T5:U5"/>
    <mergeCell ref="T6:U6"/>
    <mergeCell ref="T7:U7"/>
    <mergeCell ref="AC4:AD4"/>
    <mergeCell ref="AC5:AD5"/>
    <mergeCell ref="AC6:AD6"/>
    <mergeCell ref="AC7:AD7"/>
    <mergeCell ref="W4:X4"/>
    <mergeCell ref="W5:X5"/>
    <mergeCell ref="W6:X6"/>
    <mergeCell ref="W7:X7"/>
    <mergeCell ref="Z4:AA4"/>
    <mergeCell ref="Z5:AA5"/>
    <mergeCell ref="Z6:AA6"/>
    <mergeCell ref="Z7:AA7"/>
  </mergeCells>
  <phoneticPr fontId="2" type="noConversion"/>
  <dataValidations count="1">
    <dataValidation type="list" allowBlank="1" showInputMessage="1" showErrorMessage="1" sqref="A1" xr:uid="{076567F9-014E-477B-9083-8B2AFF1F5D99}">
      <formula1>장표기준</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8">
    <tabColor theme="7" tint="0.79998168889431442"/>
  </sheetPr>
  <dimension ref="A1:AA32"/>
  <sheetViews>
    <sheetView zoomScale="70" zoomScaleNormal="70" workbookViewId="0">
      <selection activeCell="A2" sqref="A2:T31"/>
    </sheetView>
  </sheetViews>
  <sheetFormatPr defaultRowHeight="16.5"/>
  <cols>
    <col min="1" max="20" width="8.875"/>
    <col min="22" max="22" width="9" customWidth="1"/>
    <col min="23" max="23" width="18.375" customWidth="1"/>
    <col min="24" max="24" width="11.125" customWidth="1"/>
    <col min="25" max="25" width="10.625" customWidth="1"/>
    <col min="27" max="29" width="8.375" customWidth="1"/>
  </cols>
  <sheetData>
    <row r="1" spans="1:27">
      <c r="A1" s="2" t="s">
        <v>0</v>
      </c>
      <c r="B1" s="2" t="s">
        <v>91</v>
      </c>
      <c r="C1" s="2" t="s">
        <v>92</v>
      </c>
      <c r="D1" s="2" t="s">
        <v>93</v>
      </c>
      <c r="E1" s="2" t="s">
        <v>94</v>
      </c>
      <c r="F1" s="2" t="s">
        <v>95</v>
      </c>
      <c r="G1" s="2" t="s">
        <v>96</v>
      </c>
      <c r="H1" s="2" t="s">
        <v>97</v>
      </c>
      <c r="I1" s="2" t="s">
        <v>98</v>
      </c>
      <c r="J1" s="2" t="s">
        <v>99</v>
      </c>
      <c r="K1" s="2" t="s">
        <v>100</v>
      </c>
      <c r="L1" s="2" t="s">
        <v>101</v>
      </c>
      <c r="M1" s="2" t="s">
        <v>102</v>
      </c>
      <c r="N1" s="2" t="s">
        <v>103</v>
      </c>
      <c r="O1" s="2" t="s">
        <v>104</v>
      </c>
      <c r="P1" s="2" t="s">
        <v>105</v>
      </c>
      <c r="Q1" s="2" t="s">
        <v>106</v>
      </c>
      <c r="R1" s="2" t="s">
        <v>107</v>
      </c>
      <c r="S1" s="2" t="s">
        <v>108</v>
      </c>
      <c r="T1" s="2" t="s">
        <v>109</v>
      </c>
      <c r="U1" s="2" t="s">
        <v>968</v>
      </c>
      <c r="W1" s="40"/>
      <c r="X1" s="88" t="str">
        <f>MONTH(followers!H1)&amp;"월"</f>
        <v>9월</v>
      </c>
      <c r="Y1" s="89" t="str">
        <f>IF(MONTH(followers!H1)-1=0,"12월",MONTH(followers!H1)-1&amp;"월")</f>
        <v>8월</v>
      </c>
    </row>
    <row r="2" spans="1:27">
      <c r="A2" s="2" t="s">
        <v>1051</v>
      </c>
      <c r="B2" s="2">
        <v>4069</v>
      </c>
      <c r="C2" s="2">
        <v>10044</v>
      </c>
      <c r="D2" s="2">
        <v>14113</v>
      </c>
      <c r="E2" s="2">
        <v>1681</v>
      </c>
      <c r="F2" s="2">
        <v>616</v>
      </c>
      <c r="G2" s="2">
        <v>462</v>
      </c>
      <c r="H2" s="2">
        <v>1078</v>
      </c>
      <c r="I2" s="2">
        <v>40</v>
      </c>
      <c r="J2" s="2">
        <v>32</v>
      </c>
      <c r="K2" s="2">
        <v>72</v>
      </c>
      <c r="L2" s="2">
        <v>1</v>
      </c>
      <c r="M2" s="2">
        <v>0</v>
      </c>
      <c r="N2" s="2">
        <v>1</v>
      </c>
      <c r="O2" s="2">
        <v>0</v>
      </c>
      <c r="P2" s="2">
        <v>0</v>
      </c>
      <c r="Q2" s="2">
        <v>0</v>
      </c>
      <c r="R2" s="2">
        <v>0.16146473334971737</v>
      </c>
      <c r="S2" s="2">
        <v>5.824372759856631E-2</v>
      </c>
      <c r="T2" s="2">
        <v>8.8003967972791045E-2</v>
      </c>
      <c r="U2" s="236">
        <f>IF(F2="","",SUM(F2,I2,L2,O2))</f>
        <v>657</v>
      </c>
      <c r="W2" s="41" t="s">
        <v>967</v>
      </c>
      <c r="X2" s="20">
        <f ca="1" xml:space="preserve"> SUM(INDIRECT(CHAR(MATCH($W2, $1:$1, 0) + 64) &amp; ":" &amp; CHAR(MATCH($W2, $1:$1, 0) + 64)))</f>
        <v>209273</v>
      </c>
      <c r="Y2" s="42">
        <v>239939</v>
      </c>
      <c r="AA2" t="s">
        <v>962</v>
      </c>
    </row>
    <row r="3" spans="1:27">
      <c r="A3" s="2" t="s">
        <v>1052</v>
      </c>
      <c r="B3" s="2">
        <v>6188</v>
      </c>
      <c r="C3" s="2">
        <v>13555</v>
      </c>
      <c r="D3" s="2">
        <v>19743</v>
      </c>
      <c r="E3" s="2">
        <v>2179</v>
      </c>
      <c r="F3" s="2">
        <v>853</v>
      </c>
      <c r="G3" s="2">
        <v>592</v>
      </c>
      <c r="H3" s="2">
        <v>1445</v>
      </c>
      <c r="I3" s="2">
        <v>48</v>
      </c>
      <c r="J3" s="2">
        <v>53</v>
      </c>
      <c r="K3" s="2">
        <v>101</v>
      </c>
      <c r="L3" s="2">
        <v>0</v>
      </c>
      <c r="M3" s="2">
        <v>1</v>
      </c>
      <c r="N3" s="2">
        <v>1</v>
      </c>
      <c r="O3" s="2">
        <v>0</v>
      </c>
      <c r="P3" s="2">
        <v>0</v>
      </c>
      <c r="Q3" s="2">
        <v>0</v>
      </c>
      <c r="R3" s="2">
        <v>0.14560439560439561</v>
      </c>
      <c r="S3" s="2">
        <v>6.1600885282183694E-2</v>
      </c>
      <c r="T3" s="2">
        <v>8.7929899204781448E-2</v>
      </c>
      <c r="U3" s="236">
        <f t="shared" ref="U3:U32" si="0">IF(F3="","",SUM(F3,I3,L3,O3))</f>
        <v>901</v>
      </c>
      <c r="W3" s="41" t="s">
        <v>968</v>
      </c>
      <c r="X3" s="20">
        <f t="shared" ref="X3:X4" ca="1" si="1" xml:space="preserve"> SUM(INDIRECT(CHAR(MATCH($W3, $1:$1, 0) + 64) &amp; ":" &amp; CHAR(MATCH($W3, $1:$1, 0) + 64)))</f>
        <v>25532</v>
      </c>
      <c r="Y3" s="42">
        <v>25963</v>
      </c>
      <c r="AA3" t="s">
        <v>970</v>
      </c>
    </row>
    <row r="4" spans="1:27" ht="17.25" thickBot="1">
      <c r="A4" s="2" t="s">
        <v>1053</v>
      </c>
      <c r="B4" s="2">
        <v>12336</v>
      </c>
      <c r="C4" s="2">
        <v>20901</v>
      </c>
      <c r="D4" s="2">
        <v>33237</v>
      </c>
      <c r="E4" s="2">
        <v>4173</v>
      </c>
      <c r="F4" s="2">
        <v>875</v>
      </c>
      <c r="G4" s="2">
        <v>1426</v>
      </c>
      <c r="H4" s="2">
        <v>2301</v>
      </c>
      <c r="I4" s="2">
        <v>120</v>
      </c>
      <c r="J4" s="2">
        <v>65</v>
      </c>
      <c r="K4" s="2">
        <v>185</v>
      </c>
      <c r="L4" s="2">
        <v>3</v>
      </c>
      <c r="M4" s="2">
        <v>0</v>
      </c>
      <c r="N4" s="2">
        <v>3</v>
      </c>
      <c r="O4" s="2">
        <v>2</v>
      </c>
      <c r="P4" s="2">
        <v>0</v>
      </c>
      <c r="Q4" s="2">
        <v>2</v>
      </c>
      <c r="R4" s="2">
        <v>8.1063553826199744E-2</v>
      </c>
      <c r="S4" s="2">
        <v>0.11544902157791494</v>
      </c>
      <c r="T4" s="2">
        <v>0.10268676475012788</v>
      </c>
      <c r="U4" s="236">
        <f t="shared" si="0"/>
        <v>1000</v>
      </c>
      <c r="W4" s="43" t="s">
        <v>969</v>
      </c>
      <c r="X4" s="20">
        <f t="shared" ca="1" si="1"/>
        <v>23360</v>
      </c>
      <c r="Y4" s="44">
        <v>23296</v>
      </c>
    </row>
    <row r="5" spans="1:27">
      <c r="A5" s="2" t="s">
        <v>1054</v>
      </c>
      <c r="B5" s="48">
        <v>11344</v>
      </c>
      <c r="C5" s="2">
        <v>19652</v>
      </c>
      <c r="D5" s="2">
        <v>30996</v>
      </c>
      <c r="E5" s="2">
        <v>5068</v>
      </c>
      <c r="F5" s="2">
        <v>1300</v>
      </c>
      <c r="G5" s="2">
        <v>1322</v>
      </c>
      <c r="H5" s="2">
        <v>2622</v>
      </c>
      <c r="I5" s="2">
        <v>170</v>
      </c>
      <c r="J5" s="2">
        <v>34</v>
      </c>
      <c r="K5" s="2">
        <v>204</v>
      </c>
      <c r="L5" s="2">
        <v>0</v>
      </c>
      <c r="M5" s="2">
        <v>0</v>
      </c>
      <c r="N5" s="2">
        <v>0</v>
      </c>
      <c r="O5" s="2">
        <v>0</v>
      </c>
      <c r="P5" s="2">
        <v>1</v>
      </c>
      <c r="Q5" s="2">
        <v>1</v>
      </c>
      <c r="R5" s="2">
        <v>0.1295839210155148</v>
      </c>
      <c r="S5" s="2">
        <v>0.11958070425401995</v>
      </c>
      <c r="T5" s="2">
        <v>0.12324170860756227</v>
      </c>
      <c r="U5" s="236">
        <f t="shared" si="0"/>
        <v>1470</v>
      </c>
    </row>
    <row r="6" spans="1:27">
      <c r="A6" s="2" t="s">
        <v>1055</v>
      </c>
      <c r="B6" s="48">
        <v>10650</v>
      </c>
      <c r="C6" s="2">
        <v>21203</v>
      </c>
      <c r="D6" s="2">
        <v>31853</v>
      </c>
      <c r="E6" s="2">
        <v>4786</v>
      </c>
      <c r="F6" s="2">
        <v>1547</v>
      </c>
      <c r="G6" s="2">
        <v>1566</v>
      </c>
      <c r="H6" s="2">
        <v>3113</v>
      </c>
      <c r="I6" s="2">
        <v>137</v>
      </c>
      <c r="J6" s="2">
        <v>56</v>
      </c>
      <c r="K6" s="2">
        <v>193</v>
      </c>
      <c r="L6" s="2">
        <v>3</v>
      </c>
      <c r="M6" s="2">
        <v>0</v>
      </c>
      <c r="N6" s="2">
        <v>3</v>
      </c>
      <c r="O6" s="2">
        <v>0</v>
      </c>
      <c r="P6" s="2">
        <v>0</v>
      </c>
      <c r="Q6" s="2">
        <v>0</v>
      </c>
      <c r="R6" s="2">
        <v>0.1584037558685446</v>
      </c>
      <c r="S6" s="2">
        <v>0.1245578455878885</v>
      </c>
      <c r="T6" s="2">
        <v>0.13587417197752175</v>
      </c>
      <c r="U6" s="236">
        <f t="shared" si="0"/>
        <v>1687</v>
      </c>
    </row>
    <row r="7" spans="1:27">
      <c r="A7" s="2" t="s">
        <v>1056</v>
      </c>
      <c r="B7" s="2">
        <v>11983</v>
      </c>
      <c r="C7" s="2">
        <v>18062</v>
      </c>
      <c r="D7" s="2">
        <v>30045</v>
      </c>
      <c r="E7" s="2">
        <v>5799</v>
      </c>
      <c r="F7" s="2">
        <v>781</v>
      </c>
      <c r="G7" s="2">
        <v>1327</v>
      </c>
      <c r="H7" s="2">
        <v>2108</v>
      </c>
      <c r="I7" s="2">
        <v>101</v>
      </c>
      <c r="J7" s="2">
        <v>48</v>
      </c>
      <c r="K7" s="2">
        <v>149</v>
      </c>
      <c r="L7" s="2">
        <v>0</v>
      </c>
      <c r="M7" s="2">
        <v>1</v>
      </c>
      <c r="N7" s="2">
        <v>1</v>
      </c>
      <c r="O7" s="2">
        <v>1</v>
      </c>
      <c r="P7" s="2">
        <v>0</v>
      </c>
      <c r="Q7" s="2">
        <v>1</v>
      </c>
      <c r="R7" s="2">
        <v>7.3687724276057742E-2</v>
      </c>
      <c r="S7" s="2">
        <v>0.12274388218358985</v>
      </c>
      <c r="T7" s="2">
        <v>0.10317856548510568</v>
      </c>
      <c r="U7" s="236">
        <f t="shared" si="0"/>
        <v>883</v>
      </c>
    </row>
    <row r="8" spans="1:27">
      <c r="A8" s="2" t="s">
        <v>1057</v>
      </c>
      <c r="B8" s="2">
        <v>6785</v>
      </c>
      <c r="C8" s="2">
        <v>11524</v>
      </c>
      <c r="D8" s="2">
        <v>18309</v>
      </c>
      <c r="E8" s="2">
        <v>3393</v>
      </c>
      <c r="F8" s="2">
        <v>498</v>
      </c>
      <c r="G8" s="2">
        <v>734</v>
      </c>
      <c r="H8" s="2">
        <v>1232</v>
      </c>
      <c r="I8" s="2">
        <v>47</v>
      </c>
      <c r="J8" s="2">
        <v>33</v>
      </c>
      <c r="K8" s="2">
        <v>80</v>
      </c>
      <c r="L8" s="2">
        <v>0</v>
      </c>
      <c r="M8" s="2">
        <v>2</v>
      </c>
      <c r="N8" s="2">
        <v>2</v>
      </c>
      <c r="O8" s="2">
        <v>1</v>
      </c>
      <c r="P8" s="2">
        <v>0</v>
      </c>
      <c r="Q8" s="2">
        <v>1</v>
      </c>
      <c r="R8" s="2">
        <v>8.0471628592483413E-2</v>
      </c>
      <c r="S8" s="2">
        <v>0.10699409927108643</v>
      </c>
      <c r="T8" s="2">
        <v>9.7165328526953962E-2</v>
      </c>
      <c r="U8" s="236">
        <f t="shared" si="0"/>
        <v>546</v>
      </c>
      <c r="X8" s="50"/>
    </row>
    <row r="9" spans="1:27">
      <c r="A9" s="2" t="s">
        <v>1058</v>
      </c>
      <c r="B9" s="2">
        <v>5299</v>
      </c>
      <c r="C9" s="2">
        <v>12521</v>
      </c>
      <c r="D9" s="2">
        <v>17820</v>
      </c>
      <c r="E9" s="2">
        <v>2420</v>
      </c>
      <c r="F9" s="2">
        <v>413</v>
      </c>
      <c r="G9" s="2">
        <v>808</v>
      </c>
      <c r="H9" s="2">
        <v>1221</v>
      </c>
      <c r="I9" s="2">
        <v>42</v>
      </c>
      <c r="J9" s="2">
        <v>39</v>
      </c>
      <c r="K9" s="2">
        <v>81</v>
      </c>
      <c r="L9" s="2">
        <v>2</v>
      </c>
      <c r="M9" s="2">
        <v>0</v>
      </c>
      <c r="N9" s="2">
        <v>2</v>
      </c>
      <c r="O9" s="2">
        <v>0</v>
      </c>
      <c r="P9" s="2">
        <v>0</v>
      </c>
      <c r="Q9" s="2">
        <v>0</v>
      </c>
      <c r="R9" s="2">
        <v>8.6242687299490473E-2</v>
      </c>
      <c r="S9" s="2">
        <v>0.1047040971168437</v>
      </c>
      <c r="T9" s="2">
        <v>9.9214365881032551E-2</v>
      </c>
      <c r="U9" s="236">
        <f t="shared" si="0"/>
        <v>457</v>
      </c>
    </row>
    <row r="10" spans="1:27">
      <c r="A10" s="2" t="s">
        <v>1059</v>
      </c>
      <c r="B10" s="2">
        <v>8261</v>
      </c>
      <c r="C10" s="2">
        <v>16103</v>
      </c>
      <c r="D10" s="2">
        <v>24364</v>
      </c>
      <c r="E10" s="2">
        <v>3947</v>
      </c>
      <c r="F10" s="2">
        <v>1300</v>
      </c>
      <c r="G10" s="2">
        <v>990</v>
      </c>
      <c r="H10" s="2">
        <v>2290</v>
      </c>
      <c r="I10" s="2">
        <v>55</v>
      </c>
      <c r="J10" s="2">
        <v>36</v>
      </c>
      <c r="K10" s="2">
        <v>91</v>
      </c>
      <c r="L10" s="2">
        <v>1</v>
      </c>
      <c r="M10" s="2">
        <v>0</v>
      </c>
      <c r="N10" s="2">
        <v>1</v>
      </c>
      <c r="O10" s="2">
        <v>0</v>
      </c>
      <c r="P10" s="2">
        <v>0</v>
      </c>
      <c r="Q10" s="2">
        <v>0</v>
      </c>
      <c r="R10" s="2">
        <v>0.16414477666142113</v>
      </c>
      <c r="S10" s="2">
        <v>9.5944854995963488E-2</v>
      </c>
      <c r="T10" s="2">
        <v>0.11906911837136759</v>
      </c>
      <c r="U10" s="236">
        <f t="shared" si="0"/>
        <v>1356</v>
      </c>
    </row>
    <row r="11" spans="1:27">
      <c r="A11" s="2" t="s">
        <v>1060</v>
      </c>
      <c r="B11" s="2">
        <v>8198</v>
      </c>
      <c r="C11" s="2">
        <v>16581</v>
      </c>
      <c r="D11" s="2">
        <v>24779</v>
      </c>
      <c r="E11" s="2">
        <v>3405</v>
      </c>
      <c r="F11" s="2">
        <v>1352</v>
      </c>
      <c r="G11" s="2">
        <v>1122</v>
      </c>
      <c r="H11" s="2">
        <v>2474</v>
      </c>
      <c r="I11" s="2">
        <v>20</v>
      </c>
      <c r="J11" s="2">
        <v>48</v>
      </c>
      <c r="K11" s="2">
        <v>68</v>
      </c>
      <c r="L11" s="2">
        <v>1</v>
      </c>
      <c r="M11" s="2">
        <v>1</v>
      </c>
      <c r="N11" s="2">
        <v>2</v>
      </c>
      <c r="O11" s="2">
        <v>0</v>
      </c>
      <c r="P11" s="2">
        <v>1</v>
      </c>
      <c r="Q11" s="2">
        <v>1</v>
      </c>
      <c r="R11" s="2">
        <v>0.16747987313979018</v>
      </c>
      <c r="S11" s="2">
        <v>9.975272902719981E-2</v>
      </c>
      <c r="T11" s="2">
        <v>0.12215989345817023</v>
      </c>
      <c r="U11" s="236">
        <f t="shared" si="0"/>
        <v>1373</v>
      </c>
    </row>
    <row r="12" spans="1:27">
      <c r="A12" s="2" t="s">
        <v>1061</v>
      </c>
      <c r="B12" s="48">
        <v>8265</v>
      </c>
      <c r="C12" s="2">
        <v>12440</v>
      </c>
      <c r="D12" s="2">
        <v>20705</v>
      </c>
      <c r="E12" s="2">
        <v>3175</v>
      </c>
      <c r="F12" s="2">
        <v>1317</v>
      </c>
      <c r="G12" s="2">
        <v>699</v>
      </c>
      <c r="H12" s="2">
        <v>2016</v>
      </c>
      <c r="I12" s="2">
        <v>150</v>
      </c>
      <c r="J12" s="2">
        <v>30</v>
      </c>
      <c r="K12" s="2">
        <v>180</v>
      </c>
      <c r="L12" s="2">
        <v>0</v>
      </c>
      <c r="M12" s="2">
        <v>0</v>
      </c>
      <c r="N12" s="2">
        <v>0</v>
      </c>
      <c r="O12" s="2">
        <v>0</v>
      </c>
      <c r="P12" s="2">
        <v>2</v>
      </c>
      <c r="Q12" s="2">
        <v>2</v>
      </c>
      <c r="R12" s="2">
        <v>0.17749546279491832</v>
      </c>
      <c r="S12" s="2">
        <v>8.6414790996784563E-2</v>
      </c>
      <c r="T12" s="2">
        <v>0.12277227722772277</v>
      </c>
      <c r="U12" s="236">
        <f t="shared" si="0"/>
        <v>1467</v>
      </c>
    </row>
    <row r="13" spans="1:27">
      <c r="A13" s="2" t="s">
        <v>1062</v>
      </c>
      <c r="B13" s="2">
        <v>7404</v>
      </c>
      <c r="C13" s="2">
        <v>14310</v>
      </c>
      <c r="D13" s="2">
        <v>21714</v>
      </c>
      <c r="E13" s="2">
        <v>3236</v>
      </c>
      <c r="F13" s="2">
        <v>1175</v>
      </c>
      <c r="G13" s="2">
        <v>709</v>
      </c>
      <c r="H13" s="2">
        <v>1884</v>
      </c>
      <c r="I13" s="2">
        <v>63</v>
      </c>
      <c r="J13" s="2">
        <v>42</v>
      </c>
      <c r="K13" s="2">
        <v>105</v>
      </c>
      <c r="L13" s="2">
        <v>0</v>
      </c>
      <c r="M13" s="2">
        <v>0</v>
      </c>
      <c r="N13" s="2">
        <v>0</v>
      </c>
      <c r="O13" s="2">
        <v>0</v>
      </c>
      <c r="P13" s="2">
        <v>1</v>
      </c>
      <c r="Q13" s="2">
        <v>1</v>
      </c>
      <c r="R13" s="2">
        <v>0.16720691518098324</v>
      </c>
      <c r="S13" s="2">
        <v>6.9671558350803631E-2</v>
      </c>
      <c r="T13" s="2">
        <v>0.10292898590770931</v>
      </c>
      <c r="U13" s="236">
        <f t="shared" si="0"/>
        <v>1238</v>
      </c>
    </row>
    <row r="14" spans="1:27">
      <c r="A14" s="2" t="s">
        <v>1063</v>
      </c>
      <c r="B14" s="48">
        <v>6860</v>
      </c>
      <c r="C14" s="2">
        <v>14057</v>
      </c>
      <c r="D14" s="2">
        <v>20917</v>
      </c>
      <c r="E14" s="2">
        <v>2960</v>
      </c>
      <c r="F14" s="2">
        <v>899</v>
      </c>
      <c r="G14" s="2">
        <v>793</v>
      </c>
      <c r="H14" s="2">
        <v>1692</v>
      </c>
      <c r="I14" s="2">
        <v>106</v>
      </c>
      <c r="J14" s="2">
        <v>33</v>
      </c>
      <c r="K14" s="2">
        <v>139</v>
      </c>
      <c r="L14" s="2">
        <v>0</v>
      </c>
      <c r="M14" s="2">
        <v>1</v>
      </c>
      <c r="N14" s="2">
        <v>1</v>
      </c>
      <c r="O14" s="2">
        <v>1</v>
      </c>
      <c r="P14" s="2">
        <v>0</v>
      </c>
      <c r="Q14" s="2">
        <v>1</v>
      </c>
      <c r="R14" s="2">
        <v>0.14664723032069971</v>
      </c>
      <c r="S14" s="2">
        <v>8.1809774489578144E-2</v>
      </c>
      <c r="T14" s="2">
        <v>0.10307405459673949</v>
      </c>
      <c r="U14" s="236">
        <f t="shared" si="0"/>
        <v>1006</v>
      </c>
    </row>
    <row r="15" spans="1:27">
      <c r="A15" s="2" t="s">
        <v>1064</v>
      </c>
      <c r="B15" s="48">
        <v>4073</v>
      </c>
      <c r="C15" s="2">
        <v>11823</v>
      </c>
      <c r="D15" s="2">
        <v>15896</v>
      </c>
      <c r="E15" s="2">
        <v>1830</v>
      </c>
      <c r="F15" s="2">
        <v>440</v>
      </c>
      <c r="G15" s="2">
        <v>679</v>
      </c>
      <c r="H15" s="2">
        <v>1119</v>
      </c>
      <c r="I15" s="2">
        <v>49</v>
      </c>
      <c r="J15" s="2">
        <v>42</v>
      </c>
      <c r="K15" s="2">
        <v>91</v>
      </c>
      <c r="L15" s="2">
        <v>3</v>
      </c>
      <c r="M15" s="2">
        <v>0</v>
      </c>
      <c r="N15" s="2">
        <v>3</v>
      </c>
      <c r="O15" s="2">
        <v>0</v>
      </c>
      <c r="P15" s="2">
        <v>0</v>
      </c>
      <c r="Q15" s="2">
        <v>0</v>
      </c>
      <c r="R15" s="2">
        <v>0.12079548244537196</v>
      </c>
      <c r="S15" s="2">
        <v>7.8406495813245367E-2</v>
      </c>
      <c r="T15" s="2">
        <v>8.9267740312028179E-2</v>
      </c>
      <c r="U15" s="236">
        <f t="shared" si="0"/>
        <v>492</v>
      </c>
    </row>
    <row r="16" spans="1:27">
      <c r="A16" s="2" t="s">
        <v>991</v>
      </c>
      <c r="B16" s="2">
        <v>3053</v>
      </c>
      <c r="C16" s="2">
        <v>10750</v>
      </c>
      <c r="D16" s="2">
        <v>13803</v>
      </c>
      <c r="E16" s="2">
        <v>1329</v>
      </c>
      <c r="F16" s="2">
        <v>381</v>
      </c>
      <c r="G16" s="2">
        <v>559</v>
      </c>
      <c r="H16" s="2">
        <v>940</v>
      </c>
      <c r="I16" s="2">
        <v>20</v>
      </c>
      <c r="J16" s="2">
        <v>24</v>
      </c>
      <c r="K16" s="2">
        <v>44</v>
      </c>
      <c r="L16" s="2">
        <v>1</v>
      </c>
      <c r="M16" s="2">
        <v>1</v>
      </c>
      <c r="N16" s="2">
        <v>2</v>
      </c>
      <c r="O16" s="2">
        <v>0</v>
      </c>
      <c r="P16" s="2">
        <v>1</v>
      </c>
      <c r="Q16" s="2">
        <v>1</v>
      </c>
      <c r="R16" s="2">
        <v>0.13167376351130036</v>
      </c>
      <c r="S16" s="2">
        <v>0.08</v>
      </c>
      <c r="T16" s="2">
        <v>9.1429399405926245E-2</v>
      </c>
      <c r="U16" s="236">
        <f t="shared" si="0"/>
        <v>402</v>
      </c>
    </row>
    <row r="17" spans="1:21">
      <c r="A17" s="2" t="s">
        <v>1065</v>
      </c>
      <c r="B17" s="2">
        <v>4453</v>
      </c>
      <c r="C17" s="2">
        <v>14852</v>
      </c>
      <c r="D17" s="2">
        <v>19305</v>
      </c>
      <c r="E17" s="2">
        <v>2128</v>
      </c>
      <c r="F17" s="2">
        <v>293</v>
      </c>
      <c r="G17" s="2">
        <v>881</v>
      </c>
      <c r="H17" s="2">
        <v>1174</v>
      </c>
      <c r="I17" s="2">
        <v>53</v>
      </c>
      <c r="J17" s="2">
        <v>54</v>
      </c>
      <c r="K17" s="2">
        <v>107</v>
      </c>
      <c r="L17" s="2">
        <v>0</v>
      </c>
      <c r="M17" s="2">
        <v>0</v>
      </c>
      <c r="N17" s="2">
        <v>0</v>
      </c>
      <c r="O17" s="2">
        <v>0</v>
      </c>
      <c r="P17" s="2">
        <v>0</v>
      </c>
      <c r="Q17" s="2">
        <v>0</v>
      </c>
      <c r="R17" s="2">
        <v>7.7700426678643617E-2</v>
      </c>
      <c r="S17" s="2">
        <v>8.6385671963371935E-2</v>
      </c>
      <c r="T17" s="2">
        <v>8.4382284382284387E-2</v>
      </c>
      <c r="U17" s="236">
        <f t="shared" si="0"/>
        <v>346</v>
      </c>
    </row>
    <row r="18" spans="1:21">
      <c r="A18" s="2" t="s">
        <v>1066</v>
      </c>
      <c r="B18" s="2">
        <v>4795</v>
      </c>
      <c r="C18" s="2">
        <v>17132</v>
      </c>
      <c r="D18" s="2">
        <v>21927</v>
      </c>
      <c r="E18" s="2">
        <v>2161</v>
      </c>
      <c r="F18" s="2">
        <v>392</v>
      </c>
      <c r="G18" s="2">
        <v>977</v>
      </c>
      <c r="H18" s="2">
        <v>1369</v>
      </c>
      <c r="I18" s="2">
        <v>53</v>
      </c>
      <c r="J18" s="2">
        <v>60</v>
      </c>
      <c r="K18" s="2">
        <v>113</v>
      </c>
      <c r="L18" s="2">
        <v>0</v>
      </c>
      <c r="M18" s="2">
        <v>0</v>
      </c>
      <c r="N18" s="2">
        <v>0</v>
      </c>
      <c r="O18" s="2">
        <v>0</v>
      </c>
      <c r="P18" s="2">
        <v>0</v>
      </c>
      <c r="Q18" s="2">
        <v>0</v>
      </c>
      <c r="R18" s="2">
        <v>9.2805005213764336E-2</v>
      </c>
      <c r="S18" s="2">
        <v>8.6796637870651408E-2</v>
      </c>
      <c r="T18" s="2">
        <v>8.811054863866466E-2</v>
      </c>
      <c r="U18" s="236">
        <f t="shared" si="0"/>
        <v>445</v>
      </c>
    </row>
    <row r="19" spans="1:21">
      <c r="A19" s="2" t="s">
        <v>1067</v>
      </c>
      <c r="B19" s="48">
        <v>4451</v>
      </c>
      <c r="C19" s="2">
        <v>19742</v>
      </c>
      <c r="D19" s="2">
        <v>24193</v>
      </c>
      <c r="E19" s="2">
        <v>1932</v>
      </c>
      <c r="F19" s="2">
        <v>193</v>
      </c>
      <c r="G19" s="2">
        <v>1142</v>
      </c>
      <c r="H19" s="2">
        <v>1335</v>
      </c>
      <c r="I19" s="2">
        <v>55</v>
      </c>
      <c r="J19" s="2">
        <v>70</v>
      </c>
      <c r="K19" s="2">
        <v>125</v>
      </c>
      <c r="L19" s="2">
        <v>0</v>
      </c>
      <c r="M19" s="2">
        <v>1</v>
      </c>
      <c r="N19" s="2">
        <v>1</v>
      </c>
      <c r="O19" s="2">
        <v>0</v>
      </c>
      <c r="P19" s="2">
        <v>0</v>
      </c>
      <c r="Q19" s="2">
        <v>0</v>
      </c>
      <c r="R19" s="2">
        <v>5.5717816221073913E-2</v>
      </c>
      <c r="S19" s="2">
        <v>0.10449802451625975</v>
      </c>
      <c r="T19" s="2">
        <v>9.5523498532633408E-2</v>
      </c>
      <c r="U19" s="236">
        <f t="shared" si="0"/>
        <v>248</v>
      </c>
    </row>
    <row r="20" spans="1:21">
      <c r="A20" s="2" t="s">
        <v>1068</v>
      </c>
      <c r="B20" s="2">
        <v>5172</v>
      </c>
      <c r="C20" s="2">
        <v>20240</v>
      </c>
      <c r="D20" s="2">
        <v>25412</v>
      </c>
      <c r="E20" s="2">
        <v>2105</v>
      </c>
      <c r="F20" s="2">
        <v>266</v>
      </c>
      <c r="G20" s="2">
        <v>1333</v>
      </c>
      <c r="H20" s="2">
        <v>1599</v>
      </c>
      <c r="I20" s="2">
        <v>102</v>
      </c>
      <c r="J20" s="2">
        <v>52</v>
      </c>
      <c r="K20" s="2">
        <v>154</v>
      </c>
      <c r="L20" s="2">
        <v>0</v>
      </c>
      <c r="M20" s="2">
        <v>1</v>
      </c>
      <c r="N20" s="2">
        <v>1</v>
      </c>
      <c r="O20" s="2">
        <v>0</v>
      </c>
      <c r="P20" s="2">
        <v>2</v>
      </c>
      <c r="Q20" s="2">
        <v>2</v>
      </c>
      <c r="R20" s="2">
        <v>7.1152358855375103E-2</v>
      </c>
      <c r="S20" s="2">
        <v>0.1099308300395257</v>
      </c>
      <c r="T20" s="2">
        <v>0.10203840705178656</v>
      </c>
      <c r="U20" s="236">
        <f t="shared" si="0"/>
        <v>368</v>
      </c>
    </row>
    <row r="21" spans="1:21">
      <c r="A21" s="2" t="s">
        <v>1069</v>
      </c>
      <c r="B21" s="48">
        <v>11465</v>
      </c>
      <c r="C21" s="2">
        <v>22117</v>
      </c>
      <c r="D21" s="2">
        <v>33582</v>
      </c>
      <c r="E21" s="2">
        <v>4537</v>
      </c>
      <c r="F21" s="2">
        <v>1174</v>
      </c>
      <c r="G21" s="2">
        <v>1433</v>
      </c>
      <c r="H21" s="2">
        <v>2607</v>
      </c>
      <c r="I21" s="2">
        <v>97</v>
      </c>
      <c r="J21" s="2">
        <v>50</v>
      </c>
      <c r="K21" s="2">
        <v>147</v>
      </c>
      <c r="L21" s="2">
        <v>0</v>
      </c>
      <c r="M21" s="2">
        <v>0</v>
      </c>
      <c r="N21" s="2">
        <v>0</v>
      </c>
      <c r="O21" s="2">
        <v>0</v>
      </c>
      <c r="P21" s="2">
        <v>0</v>
      </c>
      <c r="Q21" s="2">
        <v>0</v>
      </c>
      <c r="R21" s="2">
        <v>0.11085913650239861</v>
      </c>
      <c r="S21" s="2">
        <v>0.11534114029931727</v>
      </c>
      <c r="T21" s="2">
        <v>0.11381097016258709</v>
      </c>
      <c r="U21" s="236">
        <f t="shared" si="0"/>
        <v>1271</v>
      </c>
    </row>
    <row r="22" spans="1:21">
      <c r="A22" s="2" t="s">
        <v>1070</v>
      </c>
      <c r="B22" s="48">
        <v>6919</v>
      </c>
      <c r="C22" s="2">
        <v>16054</v>
      </c>
      <c r="D22" s="2">
        <v>22973</v>
      </c>
      <c r="E22" s="2">
        <v>3378</v>
      </c>
      <c r="F22" s="2">
        <v>964</v>
      </c>
      <c r="G22" s="2">
        <v>987</v>
      </c>
      <c r="H22" s="2">
        <v>1951</v>
      </c>
      <c r="I22" s="2">
        <v>51</v>
      </c>
      <c r="J22" s="2">
        <v>30</v>
      </c>
      <c r="K22" s="2">
        <v>81</v>
      </c>
      <c r="L22" s="2">
        <v>1</v>
      </c>
      <c r="M22" s="2">
        <v>0</v>
      </c>
      <c r="N22" s="2">
        <v>1</v>
      </c>
      <c r="O22" s="2">
        <v>1</v>
      </c>
      <c r="P22" s="2">
        <v>0</v>
      </c>
      <c r="Q22" s="2">
        <v>1</v>
      </c>
      <c r="R22" s="2">
        <v>0.14698655875126462</v>
      </c>
      <c r="S22" s="2">
        <v>0.10489597608072754</v>
      </c>
      <c r="T22" s="2">
        <v>0.11757280285552606</v>
      </c>
      <c r="U22" s="236">
        <f t="shared" si="0"/>
        <v>1017</v>
      </c>
    </row>
    <row r="23" spans="1:21">
      <c r="A23" s="2" t="s">
        <v>1071</v>
      </c>
      <c r="B23" s="2">
        <v>5276</v>
      </c>
      <c r="C23" s="2">
        <v>19477</v>
      </c>
      <c r="D23" s="2">
        <v>24753</v>
      </c>
      <c r="E23" s="2">
        <v>2502</v>
      </c>
      <c r="F23" s="2">
        <v>690</v>
      </c>
      <c r="G23" s="2">
        <v>1364</v>
      </c>
      <c r="H23" s="2">
        <v>2054</v>
      </c>
      <c r="I23" s="2">
        <v>46</v>
      </c>
      <c r="J23" s="2">
        <v>23</v>
      </c>
      <c r="K23" s="2">
        <v>69</v>
      </c>
      <c r="L23" s="2">
        <v>0</v>
      </c>
      <c r="M23" s="2">
        <v>1</v>
      </c>
      <c r="N23" s="2">
        <v>1</v>
      </c>
      <c r="O23" s="2">
        <v>0</v>
      </c>
      <c r="P23" s="2">
        <v>1</v>
      </c>
      <c r="Q23" s="2">
        <v>1</v>
      </c>
      <c r="R23" s="2">
        <v>0.13949962092494314</v>
      </c>
      <c r="S23" s="2">
        <v>0.14935565025414591</v>
      </c>
      <c r="T23" s="2">
        <v>0.14725487819658223</v>
      </c>
      <c r="U23" s="236">
        <f t="shared" si="0"/>
        <v>736</v>
      </c>
    </row>
    <row r="24" spans="1:21">
      <c r="A24" s="2" t="s">
        <v>1072</v>
      </c>
      <c r="B24" s="2">
        <v>5662</v>
      </c>
      <c r="C24" s="2">
        <v>21569</v>
      </c>
      <c r="D24" s="2">
        <v>27231</v>
      </c>
      <c r="E24" s="2">
        <v>2312</v>
      </c>
      <c r="F24" s="2">
        <v>586</v>
      </c>
      <c r="G24" s="2">
        <v>1584</v>
      </c>
      <c r="H24" s="2">
        <v>2170</v>
      </c>
      <c r="I24" s="2">
        <v>46</v>
      </c>
      <c r="J24" s="2">
        <v>41</v>
      </c>
      <c r="K24" s="2">
        <v>87</v>
      </c>
      <c r="L24" s="2">
        <v>0</v>
      </c>
      <c r="M24" s="2">
        <v>2</v>
      </c>
      <c r="N24" s="2">
        <v>2</v>
      </c>
      <c r="O24" s="2">
        <v>0</v>
      </c>
      <c r="P24" s="2">
        <v>3</v>
      </c>
      <c r="Q24" s="2">
        <v>3</v>
      </c>
      <c r="R24" s="2">
        <v>0.11162133521723773</v>
      </c>
      <c r="S24" s="2">
        <v>0.12712689508090314</v>
      </c>
      <c r="T24" s="2">
        <v>0.12390290477764311</v>
      </c>
      <c r="U24" s="236">
        <f t="shared" si="0"/>
        <v>632</v>
      </c>
    </row>
    <row r="25" spans="1:21">
      <c r="A25" s="2" t="s">
        <v>1073</v>
      </c>
      <c r="B25" s="2">
        <v>8627</v>
      </c>
      <c r="C25" s="2">
        <v>26311</v>
      </c>
      <c r="D25" s="2">
        <v>34938</v>
      </c>
      <c r="E25" s="2">
        <v>3459</v>
      </c>
      <c r="F25" s="2">
        <v>453</v>
      </c>
      <c r="G25" s="2">
        <v>1916</v>
      </c>
      <c r="H25" s="2">
        <v>2369</v>
      </c>
      <c r="I25" s="2">
        <v>82</v>
      </c>
      <c r="J25" s="2">
        <v>64</v>
      </c>
      <c r="K25" s="2">
        <v>146</v>
      </c>
      <c r="L25" s="2">
        <v>1</v>
      </c>
      <c r="M25" s="2">
        <v>0</v>
      </c>
      <c r="N25" s="2">
        <v>1</v>
      </c>
      <c r="O25" s="2">
        <v>0</v>
      </c>
      <c r="P25" s="2">
        <v>1</v>
      </c>
      <c r="Q25" s="2">
        <v>1</v>
      </c>
      <c r="R25" s="2">
        <v>6.2130520459023994E-2</v>
      </c>
      <c r="S25" s="2">
        <v>0.13663486754589335</v>
      </c>
      <c r="T25" s="2">
        <v>0.11823802163833076</v>
      </c>
      <c r="U25" s="236">
        <f t="shared" si="0"/>
        <v>536</v>
      </c>
    </row>
    <row r="26" spans="1:21">
      <c r="A26" s="2" t="s">
        <v>1074</v>
      </c>
      <c r="B26" s="2">
        <v>5979</v>
      </c>
      <c r="C26" s="2">
        <v>17104</v>
      </c>
      <c r="D26" s="2">
        <v>23083</v>
      </c>
      <c r="E26" s="2">
        <v>2450</v>
      </c>
      <c r="F26" s="2">
        <v>421</v>
      </c>
      <c r="G26" s="2">
        <v>1172</v>
      </c>
      <c r="H26" s="2">
        <v>1593</v>
      </c>
      <c r="I26" s="2">
        <v>51</v>
      </c>
      <c r="J26" s="2">
        <v>27</v>
      </c>
      <c r="K26" s="2">
        <v>78</v>
      </c>
      <c r="L26" s="2">
        <v>3</v>
      </c>
      <c r="M26" s="2">
        <v>1</v>
      </c>
      <c r="N26" s="2">
        <v>4</v>
      </c>
      <c r="O26" s="2">
        <v>0</v>
      </c>
      <c r="P26" s="2">
        <v>0</v>
      </c>
      <c r="Q26" s="2">
        <v>0</v>
      </c>
      <c r="R26" s="2">
        <v>7.9444723197859168E-2</v>
      </c>
      <c r="S26" s="2">
        <v>0.12190130963517305</v>
      </c>
      <c r="T26" s="2">
        <v>0.11090412857947407</v>
      </c>
      <c r="U26" s="236">
        <f t="shared" si="0"/>
        <v>475</v>
      </c>
    </row>
    <row r="27" spans="1:21">
      <c r="A27" s="2" t="s">
        <v>1075</v>
      </c>
      <c r="B27" s="48">
        <v>10352</v>
      </c>
      <c r="C27" s="2">
        <v>17415</v>
      </c>
      <c r="D27" s="2">
        <v>27767</v>
      </c>
      <c r="E27" s="2">
        <v>3174</v>
      </c>
      <c r="F27" s="2">
        <v>1591</v>
      </c>
      <c r="G27" s="2">
        <v>1385</v>
      </c>
      <c r="H27" s="2">
        <v>2976</v>
      </c>
      <c r="I27" s="2">
        <v>106</v>
      </c>
      <c r="J27" s="2">
        <v>41</v>
      </c>
      <c r="K27" s="2">
        <v>147</v>
      </c>
      <c r="L27" s="2">
        <v>4</v>
      </c>
      <c r="M27" s="2">
        <v>0</v>
      </c>
      <c r="N27" s="2">
        <v>4</v>
      </c>
      <c r="O27" s="2">
        <v>0</v>
      </c>
      <c r="P27" s="2">
        <v>1</v>
      </c>
      <c r="Q27" s="2">
        <v>1</v>
      </c>
      <c r="R27" s="2">
        <v>0.16431607418856259</v>
      </c>
      <c r="S27" s="2">
        <v>0.12070054550674705</v>
      </c>
      <c r="T27" s="2">
        <v>0.136961140922678</v>
      </c>
      <c r="U27" s="236">
        <f t="shared" si="0"/>
        <v>1701</v>
      </c>
    </row>
    <row r="28" spans="1:21">
      <c r="A28" s="2" t="s">
        <v>1076</v>
      </c>
      <c r="B28" s="2">
        <v>8806</v>
      </c>
      <c r="C28" s="2">
        <v>16044</v>
      </c>
      <c r="D28" s="2">
        <v>24850</v>
      </c>
      <c r="E28" s="2">
        <v>2946</v>
      </c>
      <c r="F28" s="2">
        <v>1238</v>
      </c>
      <c r="G28" s="2">
        <v>1260</v>
      </c>
      <c r="H28" s="2">
        <v>2498</v>
      </c>
      <c r="I28" s="2">
        <v>96</v>
      </c>
      <c r="J28" s="2">
        <v>38</v>
      </c>
      <c r="K28" s="2">
        <v>134</v>
      </c>
      <c r="L28" s="2">
        <v>1</v>
      </c>
      <c r="M28" s="2">
        <v>0</v>
      </c>
      <c r="N28" s="2">
        <v>1</v>
      </c>
      <c r="O28" s="2">
        <v>0</v>
      </c>
      <c r="P28" s="2">
        <v>1</v>
      </c>
      <c r="Q28" s="2">
        <v>1</v>
      </c>
      <c r="R28" s="2">
        <v>0.15160118101294573</v>
      </c>
      <c r="S28" s="2">
        <v>0.12540513587634006</v>
      </c>
      <c r="T28" s="2">
        <v>0.13468812877263581</v>
      </c>
      <c r="U28" s="236">
        <f t="shared" si="0"/>
        <v>1335</v>
      </c>
    </row>
    <row r="29" spans="1:21">
      <c r="A29" s="2" t="s">
        <v>1077</v>
      </c>
      <c r="B29" s="2">
        <v>4386</v>
      </c>
      <c r="C29" s="2">
        <v>13685</v>
      </c>
      <c r="D29" s="2">
        <v>18071</v>
      </c>
      <c r="E29" s="2">
        <v>1658</v>
      </c>
      <c r="F29" s="2">
        <v>512</v>
      </c>
      <c r="G29" s="2">
        <v>981</v>
      </c>
      <c r="H29" s="2">
        <v>1493</v>
      </c>
      <c r="I29" s="2">
        <v>52</v>
      </c>
      <c r="J29" s="2">
        <v>32</v>
      </c>
      <c r="K29" s="2">
        <v>84</v>
      </c>
      <c r="L29" s="2">
        <v>1</v>
      </c>
      <c r="M29" s="2">
        <v>0</v>
      </c>
      <c r="N29" s="2">
        <v>1</v>
      </c>
      <c r="O29" s="2">
        <v>0</v>
      </c>
      <c r="P29" s="2">
        <v>0</v>
      </c>
      <c r="Q29" s="2">
        <v>0</v>
      </c>
      <c r="R29" s="2">
        <v>0.12881896944824442</v>
      </c>
      <c r="S29" s="2">
        <v>0.10968213372305444</v>
      </c>
      <c r="T29" s="2">
        <v>0.11432682197996791</v>
      </c>
      <c r="U29" s="236">
        <f t="shared" si="0"/>
        <v>565</v>
      </c>
    </row>
    <row r="30" spans="1:21">
      <c r="A30" s="2" t="s">
        <v>1078</v>
      </c>
      <c r="B30" s="2">
        <v>3731</v>
      </c>
      <c r="C30" s="2">
        <v>13562</v>
      </c>
      <c r="D30" s="2">
        <v>17293</v>
      </c>
      <c r="E30" s="2">
        <v>1637</v>
      </c>
      <c r="F30" s="2">
        <v>400</v>
      </c>
      <c r="G30" s="2">
        <v>862</v>
      </c>
      <c r="H30" s="2">
        <v>1262</v>
      </c>
      <c r="I30" s="2">
        <v>43</v>
      </c>
      <c r="J30" s="2">
        <v>35</v>
      </c>
      <c r="K30" s="2">
        <v>78</v>
      </c>
      <c r="L30" s="2">
        <v>0</v>
      </c>
      <c r="M30" s="2">
        <v>1</v>
      </c>
      <c r="N30" s="2">
        <v>1</v>
      </c>
      <c r="O30" s="2">
        <v>0</v>
      </c>
      <c r="P30" s="2">
        <v>0</v>
      </c>
      <c r="Q30" s="2">
        <v>0</v>
      </c>
      <c r="R30" s="2">
        <v>0.11873492361297239</v>
      </c>
      <c r="S30" s="2">
        <v>9.9469104851791765E-2</v>
      </c>
      <c r="T30" s="2">
        <v>0.10362574452090441</v>
      </c>
      <c r="U30" s="236">
        <f t="shared" si="0"/>
        <v>443</v>
      </c>
    </row>
    <row r="31" spans="1:21">
      <c r="A31" s="2" t="s">
        <v>1079</v>
      </c>
      <c r="B31" s="2">
        <v>4431</v>
      </c>
      <c r="C31" s="2">
        <v>15157</v>
      </c>
      <c r="D31" s="2">
        <v>19588</v>
      </c>
      <c r="E31" s="2">
        <v>1856</v>
      </c>
      <c r="F31" s="2">
        <v>440</v>
      </c>
      <c r="G31" s="2">
        <v>1206</v>
      </c>
      <c r="H31" s="2">
        <v>1646</v>
      </c>
      <c r="I31" s="2">
        <v>39</v>
      </c>
      <c r="J31" s="2">
        <v>37</v>
      </c>
      <c r="K31" s="2">
        <v>76</v>
      </c>
      <c r="L31" s="2">
        <v>0</v>
      </c>
      <c r="M31" s="2">
        <v>0</v>
      </c>
      <c r="N31" s="2">
        <v>0</v>
      </c>
      <c r="O31" s="2">
        <v>0</v>
      </c>
      <c r="P31" s="2">
        <v>4</v>
      </c>
      <c r="Q31" s="2">
        <v>4</v>
      </c>
      <c r="R31" s="2">
        <v>0.10810200857594222</v>
      </c>
      <c r="S31" s="2">
        <v>0.12225374414461965</v>
      </c>
      <c r="T31" s="2">
        <v>0.11905248111088422</v>
      </c>
      <c r="U31" s="236">
        <f t="shared" si="0"/>
        <v>479</v>
      </c>
    </row>
    <row r="32" spans="1:21">
      <c r="A32" s="2"/>
      <c r="B32" s="2"/>
      <c r="C32" s="2"/>
      <c r="D32" s="2"/>
      <c r="E32" s="2"/>
      <c r="F32" s="2"/>
      <c r="G32" s="2"/>
      <c r="H32" s="2"/>
      <c r="I32" s="2"/>
      <c r="J32" s="2"/>
      <c r="K32" s="2"/>
      <c r="L32" s="2"/>
      <c r="M32" s="2"/>
      <c r="N32" s="2"/>
      <c r="O32" s="2"/>
      <c r="P32" s="2"/>
      <c r="Q32" s="2"/>
      <c r="R32" s="2"/>
      <c r="S32" s="2"/>
      <c r="T32" s="2"/>
      <c r="U32" s="236" t="str">
        <f t="shared" si="0"/>
        <v/>
      </c>
    </row>
  </sheetData>
  <phoneticPr fontId="2"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DCAF-1C7E-4694-B82F-3CEBE3480FE1}">
  <sheetPr codeName="Sheet19">
    <tabColor theme="9" tint="0.79998168889431442"/>
  </sheetPr>
  <dimension ref="A1:O11"/>
  <sheetViews>
    <sheetView workbookViewId="0">
      <selection activeCell="H13" sqref="H13"/>
    </sheetView>
  </sheetViews>
  <sheetFormatPr defaultRowHeight="16.5"/>
  <cols>
    <col min="2" max="3" width="16.125" customWidth="1"/>
    <col min="5" max="6" width="16.125" customWidth="1"/>
    <col min="8" max="9" width="16.125" customWidth="1"/>
    <col min="11" max="12" width="16.125" customWidth="1"/>
    <col min="14" max="15" width="16.125" customWidth="1"/>
  </cols>
  <sheetData>
    <row r="1" spans="1:15">
      <c r="A1" t="s">
        <v>462</v>
      </c>
    </row>
    <row r="3" spans="1:15" ht="17.25" thickBot="1"/>
    <row r="4" spans="1:15">
      <c r="B4" s="438">
        <v>1</v>
      </c>
      <c r="C4" s="439"/>
      <c r="D4" s="82"/>
      <c r="E4" s="438">
        <v>2</v>
      </c>
      <c r="F4" s="439"/>
      <c r="G4" s="82"/>
      <c r="H4" s="438">
        <v>3</v>
      </c>
      <c r="I4" s="439"/>
      <c r="J4" s="82"/>
      <c r="K4" s="438">
        <v>4</v>
      </c>
      <c r="L4" s="439"/>
      <c r="M4" s="82"/>
      <c r="N4" s="438">
        <v>5</v>
      </c>
      <c r="O4" s="439"/>
    </row>
    <row r="5" spans="1:15">
      <c r="B5" s="440" t="s">
        <v>172</v>
      </c>
      <c r="C5" s="441"/>
      <c r="D5" s="82"/>
      <c r="E5" s="440" t="s">
        <v>173</v>
      </c>
      <c r="F5" s="441"/>
      <c r="G5" s="82"/>
      <c r="H5" s="440" t="s">
        <v>174</v>
      </c>
      <c r="I5" s="441"/>
      <c r="J5" s="82"/>
      <c r="K5" s="440" t="s">
        <v>175</v>
      </c>
      <c r="L5" s="441"/>
      <c r="M5" s="82"/>
      <c r="N5" s="440" t="s">
        <v>176</v>
      </c>
      <c r="O5" s="441"/>
    </row>
    <row r="6" spans="1:15">
      <c r="B6" s="442">
        <f>HYPERLINK(INDEX('contents 추가정보'!$G:$G,MATCH('영상 콘텐츠 지표'!B4,'contents 추가정보'!$H:$H,0)),INDEX('contents 추가정보'!$C:$C,MATCH('영상 콘텐츠 지표'!B4,'contents 추가정보'!$H:$H,0)))</f>
        <v>0</v>
      </c>
      <c r="C6" s="443"/>
      <c r="D6" s="82"/>
      <c r="E6" s="442">
        <f>HYPERLINK(INDEX('contents 추가정보'!$G:$G,MATCH('영상 콘텐츠 지표'!E4,'contents 추가정보'!$H:$H,0)),INDEX('contents 추가정보'!$C:$C,MATCH('영상 콘텐츠 지표'!E4,'contents 추가정보'!$H:$H,0)))</f>
        <v>0</v>
      </c>
      <c r="F6" s="443"/>
      <c r="G6" s="82"/>
      <c r="H6" s="442">
        <f>HYPERLINK(INDEX('contents 추가정보'!$G:$G,MATCH('영상 콘텐츠 지표'!H4,'contents 추가정보'!$H:$H,0)),INDEX('contents 추가정보'!$C:$C,MATCH('영상 콘텐츠 지표'!H4,'contents 추가정보'!$H:$H,0)))</f>
        <v>0</v>
      </c>
      <c r="I6" s="443"/>
      <c r="J6" s="82"/>
      <c r="K6" s="442">
        <f>HYPERLINK(INDEX('contents 추가정보'!$G:$G,MATCH('영상 콘텐츠 지표'!K4,'contents 추가정보'!$H:$H,0)),INDEX('contents 추가정보'!$C:$C,MATCH('영상 콘텐츠 지표'!K4,'contents 추가정보'!$H:$H,0)))</f>
        <v>0</v>
      </c>
      <c r="L6" s="443"/>
      <c r="M6" s="82"/>
      <c r="N6" s="442">
        <f>HYPERLINK(INDEX('contents 추가정보'!$G:$G,MATCH('영상 콘텐츠 지표'!N4,'contents 추가정보'!$H:$H,0)),INDEX('contents 추가정보'!$C:$C,MATCH('영상 콘텐츠 지표'!N4,'contents 추가정보'!$H:$H,0)))</f>
        <v>0</v>
      </c>
      <c r="O6" s="443"/>
    </row>
    <row r="7" spans="1:15" ht="192" customHeight="1">
      <c r="B7" s="444"/>
      <c r="C7" s="445"/>
      <c r="E7" s="444"/>
      <c r="F7" s="445"/>
      <c r="H7" s="444"/>
      <c r="I7" s="445"/>
      <c r="K7" s="444"/>
      <c r="L7" s="445"/>
      <c r="N7" s="444"/>
      <c r="O7" s="445"/>
    </row>
    <row r="8" spans="1:15">
      <c r="B8" s="4" t="s">
        <v>161</v>
      </c>
      <c r="C8" s="143" t="str">
        <f>TEXT(INDEX(contents!$AF:$AF,MATCH('영상 콘텐츠 지표'!B4,contents!$AB:$AB,0)),"#,###")&amp;"회"</f>
        <v>11,357회</v>
      </c>
      <c r="E8" s="4" t="s">
        <v>161</v>
      </c>
      <c r="F8" s="143" t="str">
        <f>TEXT(INDEX(contents!$AF:$AF,MATCH('영상 콘텐츠 지표'!E4,contents!$AB:$AB,0)),"#,###")&amp;"회"</f>
        <v>1,979회</v>
      </c>
      <c r="H8" s="4" t="s">
        <v>161</v>
      </c>
      <c r="I8" s="143" t="str">
        <f>TEXT(INDEX(contents!$AF:$AF,MATCH('영상 콘텐츠 지표'!H4,contents!$AB:$AB,0)),"#,###")&amp;"회"</f>
        <v>1,824회</v>
      </c>
      <c r="K8" s="4" t="s">
        <v>161</v>
      </c>
      <c r="L8" s="143" t="str">
        <f>TEXT(INDEX(contents!$AF:$AF,MATCH('영상 콘텐츠 지표'!K4,contents!$AB:$AB,0)),"#,###")&amp;"회"</f>
        <v>1,649회</v>
      </c>
      <c r="N8" s="4" t="s">
        <v>161</v>
      </c>
      <c r="O8" s="143" t="str">
        <f>TEXT(INDEX(contents!$AF:$AF,MATCH('영상 콘텐츠 지표'!N4,contents!$AB:$AB,0)),"#,###")&amp;"회"</f>
        <v>1,531회</v>
      </c>
    </row>
    <row r="9" spans="1:15">
      <c r="B9" s="4" t="s">
        <v>163</v>
      </c>
      <c r="C9" s="143" t="str">
        <f>TEXT(INDEX(contents!$AC:$AC,MATCH('영상 콘텐츠 지표'!B4,contents!$AB:$AB,0)),"#.0%")</f>
        <v>370.6%</v>
      </c>
      <c r="E9" s="4" t="s">
        <v>163</v>
      </c>
      <c r="F9" s="143" t="str">
        <f>TEXT(INDEX(contents!$AC:$AC,MATCH('영상 콘텐츠 지표'!E4,contents!$AB:$AB,0)),"#.0%")</f>
        <v>32.0%</v>
      </c>
      <c r="H9" s="4" t="s">
        <v>163</v>
      </c>
      <c r="I9" s="143" t="str">
        <f>TEXT(INDEX(contents!$AC:$AC,MATCH('영상 콘텐츠 지표'!H4,contents!$AB:$AB,0)),"#.0%")</f>
        <v>30.4%</v>
      </c>
      <c r="K9" s="4" t="s">
        <v>163</v>
      </c>
      <c r="L9" s="143" t="str">
        <f>TEXT(INDEX(contents!$AC:$AC,MATCH('영상 콘텐츠 지표'!K4,contents!$AB:$AB,0)),"#.0%")</f>
        <v>27.0%</v>
      </c>
      <c r="N9" s="4" t="s">
        <v>163</v>
      </c>
      <c r="O9" s="143" t="str">
        <f>TEXT(INDEX(contents!$AC:$AC,MATCH('영상 콘텐츠 지표'!N4,contents!$AB:$AB,0)),"#.0%")</f>
        <v>24.9%</v>
      </c>
    </row>
    <row r="10" spans="1:15">
      <c r="B10" s="4" t="s">
        <v>113</v>
      </c>
      <c r="C10" s="143" t="str">
        <f>TEXT(INDEX(contents!$O:$O,MATCH('영상 콘텐츠 지표'!B4,contents!$AB:$AB,0)),"#,###")&amp;"회"</f>
        <v>70회</v>
      </c>
      <c r="E10" s="4" t="s">
        <v>113</v>
      </c>
      <c r="F10" s="143" t="str">
        <f>TEXT(INDEX(contents!$O:$O,MATCH('영상 콘텐츠 지표'!E4,contents!$AB:$AB,0)),"#,###")&amp;"회"</f>
        <v>57회</v>
      </c>
      <c r="H10" s="4" t="s">
        <v>113</v>
      </c>
      <c r="I10" s="143" t="str">
        <f>TEXT(INDEX(contents!$O:$O,MATCH('영상 콘텐츠 지표'!H4,contents!$AB:$AB,0)),"#,###")&amp;"회"</f>
        <v>47회</v>
      </c>
      <c r="K10" s="4" t="s">
        <v>113</v>
      </c>
      <c r="L10" s="143" t="str">
        <f>TEXT(INDEX(contents!$O:$O,MATCH('영상 콘텐츠 지표'!K4,contents!$AB:$AB,0)),"#,###")&amp;"회"</f>
        <v>58회</v>
      </c>
      <c r="N10" s="4" t="s">
        <v>113</v>
      </c>
      <c r="O10" s="143" t="str">
        <f>TEXT(INDEX(contents!$O:$O,MATCH('영상 콘텐츠 지표'!N4,contents!$AB:$AB,0)),"#,###")&amp;"회"</f>
        <v>46회</v>
      </c>
    </row>
    <row r="11" spans="1:15" ht="17.25" thickBot="1">
      <c r="B11" s="5" t="s">
        <v>162</v>
      </c>
      <c r="C11" s="144" t="str">
        <f>TEXT(INDEX(contents!$J:$J,MATCH('영상 콘텐츠 지표'!B4,contents!$AB:$AB,0)),"#,###")&amp;"회"</f>
        <v>1,880회</v>
      </c>
      <c r="E11" s="5" t="s">
        <v>162</v>
      </c>
      <c r="F11" s="144" t="str">
        <f>TEXT(INDEX(contents!$J:$J,MATCH('영상 콘텐츠 지표'!E4,contents!$AB:$AB,0)),"#,###")&amp;"회"</f>
        <v>4,782회</v>
      </c>
      <c r="H11" s="5" t="s">
        <v>162</v>
      </c>
      <c r="I11" s="144" t="str">
        <f>TEXT(INDEX(contents!$J:$J,MATCH('영상 콘텐츠 지표'!H4,contents!$AB:$AB,0)),"#,###")&amp;"회"</f>
        <v>4,934회</v>
      </c>
      <c r="K11" s="5" t="s">
        <v>162</v>
      </c>
      <c r="L11" s="144" t="str">
        <f>TEXT(INDEX(contents!$J:$J,MATCH('영상 콘텐츠 지표'!K4,contents!$AB:$AB,0)),"#,###")&amp;"회"</f>
        <v>4,652회</v>
      </c>
      <c r="N11" s="5" t="s">
        <v>162</v>
      </c>
      <c r="O11" s="144" t="str">
        <f>TEXT(INDEX(contents!$J:$J,MATCH('영상 콘텐츠 지표'!N4,contents!$AB:$AB,0)),"#,###")&amp;"회"</f>
        <v>4,602회</v>
      </c>
    </row>
  </sheetData>
  <mergeCells count="20">
    <mergeCell ref="B6:C6"/>
    <mergeCell ref="E6:F6"/>
    <mergeCell ref="H6:I6"/>
    <mergeCell ref="K6:L6"/>
    <mergeCell ref="N6:O6"/>
    <mergeCell ref="B7:C7"/>
    <mergeCell ref="E7:F7"/>
    <mergeCell ref="H7:I7"/>
    <mergeCell ref="K7:L7"/>
    <mergeCell ref="N7:O7"/>
    <mergeCell ref="B4:C4"/>
    <mergeCell ref="E4:F4"/>
    <mergeCell ref="H4:I4"/>
    <mergeCell ref="K4:L4"/>
    <mergeCell ref="N4:O4"/>
    <mergeCell ref="B5:C5"/>
    <mergeCell ref="E5:F5"/>
    <mergeCell ref="H5:I5"/>
    <mergeCell ref="K5:L5"/>
    <mergeCell ref="N5:O5"/>
  </mergeCells>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5F80-C7F1-46F2-B0CC-D3D603278165}">
  <sheetPr codeName="Sheet20">
    <tabColor theme="9" tint="0.79998168889431442"/>
  </sheetPr>
  <dimension ref="A1:M50"/>
  <sheetViews>
    <sheetView zoomScale="85" zoomScaleNormal="85" workbookViewId="0">
      <selection activeCell="A26" sqref="A26:D26"/>
    </sheetView>
  </sheetViews>
  <sheetFormatPr defaultRowHeight="16.5"/>
  <cols>
    <col min="1" max="3" width="12.625" style="52" customWidth="1"/>
    <col min="8" max="10" width="16.875" customWidth="1"/>
  </cols>
  <sheetData>
    <row r="1" spans="1:11" ht="17.25" thickBot="1">
      <c r="H1" s="117" t="s">
        <v>4</v>
      </c>
      <c r="I1" s="118" t="s">
        <v>152</v>
      </c>
      <c r="J1" s="118" t="s">
        <v>153</v>
      </c>
      <c r="K1" s="119" t="s">
        <v>1039</v>
      </c>
    </row>
    <row r="2" spans="1:11" ht="17.25" thickBot="1">
      <c r="A2" s="117" t="s">
        <v>4</v>
      </c>
      <c r="B2" s="118" t="s">
        <v>152</v>
      </c>
      <c r="C2" s="118" t="s">
        <v>153</v>
      </c>
      <c r="D2" s="119" t="s">
        <v>1039</v>
      </c>
      <c r="H2" s="10">
        <f>followers!H1</f>
        <v>45536</v>
      </c>
      <c r="I2" s="126">
        <f>SUM('contents(daily)'!B:B)</f>
        <v>209273</v>
      </c>
      <c r="J2" s="126">
        <f>SUM('contents(daily)'!U:U)</f>
        <v>25532</v>
      </c>
      <c r="K2" s="127">
        <f>SUM('contents(daily)'!F:F)</f>
        <v>23360</v>
      </c>
    </row>
    <row r="3" spans="1:11">
      <c r="A3" s="113">
        <v>44835</v>
      </c>
      <c r="B3" s="120">
        <v>71378</v>
      </c>
      <c r="C3" s="120">
        <v>4419</v>
      </c>
      <c r="D3" s="121" t="s">
        <v>949</v>
      </c>
    </row>
    <row r="4" spans="1:11">
      <c r="A4" s="113">
        <v>44866</v>
      </c>
      <c r="B4" s="120">
        <v>79940</v>
      </c>
      <c r="C4" s="120">
        <v>2632</v>
      </c>
      <c r="D4" s="121" t="s">
        <v>949</v>
      </c>
    </row>
    <row r="5" spans="1:11">
      <c r="A5" s="113">
        <v>44896</v>
      </c>
      <c r="B5" s="120">
        <v>82794</v>
      </c>
      <c r="C5" s="120">
        <v>7342</v>
      </c>
      <c r="D5" s="121" t="s">
        <v>949</v>
      </c>
    </row>
    <row r="6" spans="1:11">
      <c r="A6" s="113">
        <v>44927</v>
      </c>
      <c r="B6" s="120">
        <v>105299</v>
      </c>
      <c r="C6" s="120">
        <v>6498</v>
      </c>
      <c r="D6" s="121" t="s">
        <v>949</v>
      </c>
    </row>
    <row r="7" spans="1:11">
      <c r="A7" s="113">
        <v>44958</v>
      </c>
      <c r="B7" s="120">
        <v>137799</v>
      </c>
      <c r="C7" s="120">
        <v>9888</v>
      </c>
      <c r="D7" s="121" t="s">
        <v>949</v>
      </c>
    </row>
    <row r="8" spans="1:11">
      <c r="A8" s="113">
        <v>44986</v>
      </c>
      <c r="B8" s="120">
        <v>117990</v>
      </c>
      <c r="C8" s="120">
        <v>5736</v>
      </c>
      <c r="D8" s="121" t="s">
        <v>949</v>
      </c>
    </row>
    <row r="9" spans="1:11">
      <c r="A9" s="113">
        <v>45017</v>
      </c>
      <c r="B9" s="120">
        <v>120798</v>
      </c>
      <c r="C9" s="120">
        <v>10610</v>
      </c>
      <c r="D9" s="121" t="s">
        <v>949</v>
      </c>
    </row>
    <row r="10" spans="1:11">
      <c r="A10" s="113">
        <v>45047</v>
      </c>
      <c r="B10" s="120">
        <v>128565</v>
      </c>
      <c r="C10" s="120">
        <v>12673</v>
      </c>
      <c r="D10" s="121" t="s">
        <v>949</v>
      </c>
    </row>
    <row r="11" spans="1:11">
      <c r="A11" s="113">
        <v>45078</v>
      </c>
      <c r="B11" s="120">
        <v>145916</v>
      </c>
      <c r="C11" s="120">
        <v>12283</v>
      </c>
      <c r="D11" s="121" t="s">
        <v>949</v>
      </c>
    </row>
    <row r="12" spans="1:11">
      <c r="A12" s="113">
        <v>45108</v>
      </c>
      <c r="B12" s="120">
        <v>111215</v>
      </c>
      <c r="C12" s="120">
        <v>6177</v>
      </c>
      <c r="D12" s="121" t="s">
        <v>949</v>
      </c>
    </row>
    <row r="13" spans="1:11">
      <c r="A13" s="113">
        <v>45139</v>
      </c>
      <c r="B13" s="120">
        <v>114968</v>
      </c>
      <c r="C13" s="120">
        <v>9620</v>
      </c>
      <c r="D13" s="121" t="s">
        <v>949</v>
      </c>
    </row>
    <row r="14" spans="1:11">
      <c r="A14" s="113">
        <v>45170</v>
      </c>
      <c r="B14" s="120">
        <v>132612</v>
      </c>
      <c r="C14" s="120">
        <v>12295</v>
      </c>
      <c r="D14" s="121" t="s">
        <v>949</v>
      </c>
    </row>
    <row r="15" spans="1:11">
      <c r="A15" s="113">
        <v>45200</v>
      </c>
      <c r="B15" s="120">
        <v>138632</v>
      </c>
      <c r="C15" s="120">
        <v>16261</v>
      </c>
      <c r="D15" s="121" t="s">
        <v>949</v>
      </c>
    </row>
    <row r="16" spans="1:11">
      <c r="A16" s="113">
        <v>45231</v>
      </c>
      <c r="B16" s="120">
        <v>160929</v>
      </c>
      <c r="C16" s="120">
        <v>20617</v>
      </c>
      <c r="D16" s="121" t="s">
        <v>949</v>
      </c>
    </row>
    <row r="17" spans="1:13">
      <c r="A17" s="113">
        <v>45261</v>
      </c>
      <c r="B17" s="120">
        <v>96535</v>
      </c>
      <c r="C17" s="120">
        <v>5071</v>
      </c>
      <c r="D17" s="121" t="s">
        <v>949</v>
      </c>
    </row>
    <row r="18" spans="1:13">
      <c r="A18" s="113">
        <v>45292</v>
      </c>
      <c r="B18" s="120">
        <v>120721</v>
      </c>
      <c r="C18" s="120">
        <v>7086</v>
      </c>
      <c r="D18" s="121" t="s">
        <v>949</v>
      </c>
    </row>
    <row r="19" spans="1:13">
      <c r="A19" s="113">
        <v>45323</v>
      </c>
      <c r="B19" s="120">
        <v>139143</v>
      </c>
      <c r="C19" s="120">
        <v>9922</v>
      </c>
      <c r="D19" s="121" t="s">
        <v>949</v>
      </c>
    </row>
    <row r="20" spans="1:13">
      <c r="A20" s="113">
        <v>45352</v>
      </c>
      <c r="B20" s="120">
        <v>170500</v>
      </c>
      <c r="C20" s="120">
        <v>20307</v>
      </c>
      <c r="D20" s="121" t="s">
        <v>949</v>
      </c>
    </row>
    <row r="21" spans="1:13">
      <c r="A21" s="113">
        <v>45383</v>
      </c>
      <c r="B21" s="120">
        <v>191459</v>
      </c>
      <c r="C21" s="120">
        <v>19100</v>
      </c>
      <c r="D21" s="121" t="s">
        <v>949</v>
      </c>
    </row>
    <row r="22" spans="1:13">
      <c r="A22" s="113">
        <v>45413</v>
      </c>
      <c r="B22" s="120">
        <v>220430</v>
      </c>
      <c r="C22" s="120">
        <v>20060</v>
      </c>
      <c r="D22" s="121" t="s">
        <v>949</v>
      </c>
    </row>
    <row r="23" spans="1:13">
      <c r="A23" s="113">
        <v>45444</v>
      </c>
      <c r="B23" s="120">
        <v>200257</v>
      </c>
      <c r="C23" s="120">
        <v>22647</v>
      </c>
      <c r="D23" s="121" t="s">
        <v>949</v>
      </c>
    </row>
    <row r="24" spans="1:13" ht="17.25" thickBot="1">
      <c r="A24" s="113">
        <v>45474</v>
      </c>
      <c r="B24" s="120">
        <v>209300</v>
      </c>
      <c r="C24" s="120">
        <v>19684</v>
      </c>
      <c r="D24" s="121">
        <v>15644</v>
      </c>
    </row>
    <row r="25" spans="1:13" ht="17.25" thickBot="1">
      <c r="A25" s="113">
        <v>45505</v>
      </c>
      <c r="B25" s="120">
        <v>239939</v>
      </c>
      <c r="C25" s="120">
        <v>25963</v>
      </c>
      <c r="D25" s="121">
        <v>23296</v>
      </c>
      <c r="H25" s="389" t="s">
        <v>4</v>
      </c>
      <c r="I25" s="390" t="s">
        <v>152</v>
      </c>
      <c r="J25" s="390" t="s">
        <v>153</v>
      </c>
      <c r="K25" s="391" t="s">
        <v>1039</v>
      </c>
      <c r="M25" t="s">
        <v>1037</v>
      </c>
    </row>
    <row r="26" spans="1:13">
      <c r="A26" s="113">
        <v>45536</v>
      </c>
      <c r="B26" s="120">
        <v>209273</v>
      </c>
      <c r="C26" s="120">
        <v>25532</v>
      </c>
      <c r="D26" s="121">
        <v>23360</v>
      </c>
      <c r="H26" s="386" cm="1">
        <f t="array" ref="H26">INDEX(A:A,COUNTA(A:A)-13)</f>
        <v>45108</v>
      </c>
      <c r="I26" s="387" cm="1">
        <f t="array" ref="I26">INDEX(B:B,COUNTA(B:B)-13)</f>
        <v>111215</v>
      </c>
      <c r="J26" s="387" cm="1">
        <f t="array" ref="J26">INDEX(C:C,COUNTA(C:C)-13)</f>
        <v>6177</v>
      </c>
      <c r="K26" s="388" t="str" cm="1">
        <f t="array" ref="K26">INDEX(D:D,COUNTA(D:D)-13)</f>
        <v>-</v>
      </c>
      <c r="M26" t="s">
        <v>1038</v>
      </c>
    </row>
    <row r="27" spans="1:13">
      <c r="A27" s="113"/>
      <c r="B27" s="120"/>
      <c r="C27" s="120"/>
      <c r="D27" s="121"/>
      <c r="H27" s="115" cm="1">
        <f t="array" ref="H27">INDEX(A:A,COUNTA(A:A)-12)</f>
        <v>45139</v>
      </c>
      <c r="I27" s="124" cm="1">
        <f t="array" ref="I27">INDEX(B:B,COUNTA(B:B)-12)</f>
        <v>114968</v>
      </c>
      <c r="J27" s="124" cm="1">
        <f t="array" ref="J27">INDEX(C:C,COUNTA(C:C)-12)</f>
        <v>9620</v>
      </c>
      <c r="K27" s="125" t="str" cm="1">
        <f t="array" ref="K27">INDEX(D:D,COUNTA(D:D)-12)</f>
        <v>-</v>
      </c>
    </row>
    <row r="28" spans="1:13">
      <c r="A28" s="113"/>
      <c r="B28" s="120"/>
      <c r="C28" s="120"/>
      <c r="D28" s="121"/>
      <c r="H28" s="115" cm="1">
        <f t="array" ref="H28">INDEX(A:A,COUNTA(A:A)-11)</f>
        <v>45170</v>
      </c>
      <c r="I28" s="124" cm="1">
        <f t="array" ref="I28">INDEX(B:B,COUNTA(B:B)-11)</f>
        <v>132612</v>
      </c>
      <c r="J28" s="124" cm="1">
        <f t="array" ref="J28">INDEX(C:C,COUNTA(C:C)-11)</f>
        <v>12295</v>
      </c>
      <c r="K28" s="125" t="str" cm="1">
        <f t="array" ref="K28">INDEX(D:D,COUNTA(D:D)-11)</f>
        <v>-</v>
      </c>
      <c r="M28" t="str">
        <f>MONTH(followers!H1) &amp; "월 총 오가닉 Impression "&amp;TEXT($I$40, "#,###") &amp; "회 (전월 대비 약 " &amp;
TEXT(ABS($I$40 - $I$39) / $I$39, "0.0%") &amp; IF($I$40 &gt;= $I$39, " 증가)", " 감소)") &amp;
" 총 오가닉 Engagement " &amp; TEXT($J$40, "#,###") &amp; "회 (전월 대비 약 " &amp;
TEXT(ABS($J$40 - $J$39) /$J$39, "0.0%") &amp; IF($J$40 &gt;= $J$39, " 증가)", " 감소)")</f>
        <v>9월 총 오가닉 Impression 209,273회 (전월 대비 약 12.8% 감소) 총 오가닉 Engagement 25,532회 (전월 대비 약 1.7% 감소)</v>
      </c>
    </row>
    <row r="29" spans="1:13">
      <c r="A29" s="113"/>
      <c r="B29" s="120"/>
      <c r="C29" s="120"/>
      <c r="D29" s="121"/>
      <c r="H29" s="115" cm="1">
        <f t="array" ref="H29">INDEX(A:A,COUNTA(A:A)-10)</f>
        <v>45200</v>
      </c>
      <c r="I29" s="124" cm="1">
        <f t="array" ref="I29">INDEX(B:B,COUNTA(B:B)-10)</f>
        <v>138632</v>
      </c>
      <c r="J29" s="124" cm="1">
        <f t="array" ref="J29">INDEX(C:C,COUNTA(C:C)-10)</f>
        <v>16261</v>
      </c>
      <c r="K29" s="125" t="str" cm="1">
        <f t="array" ref="K29">INDEX(D:D,COUNTA(D:D)-10)</f>
        <v>-</v>
      </c>
      <c r="M29" t="str">
        <f>MONTH(followers!H1)&amp;"월 총 오가닉 클릭 수 " &amp; TEXT($K$40, "#,###") &amp; "회 (전월 대비 약 " &amp;
TEXT(ABS($K$40 - $K$39) / $K$39, "0.0%") &amp; IF($K$40 &gt;= $K$39, " 증가", " 감소") &amp; "), 일 평균 오가닉 클릭 수 " &amp;
TEXT($L$40, "#,###.0") &amp; "회 (전월 대비 약 " &amp; TEXT(ABS($L$40 - $L$39) / $L$39, "0.0%") &amp;
IF($L$40 &gt;= $L$39, " 증가)", " 감소)")</f>
        <v>9월 총 오가닉 클릭 수 23,360회 (전월 대비 약 0.3% 증가), 일 평균 오가닉 클릭 수 778.7회 (전월 대비 약 3.6% 증가)</v>
      </c>
    </row>
    <row r="30" spans="1:13">
      <c r="A30" s="113"/>
      <c r="B30" s="120"/>
      <c r="C30" s="120"/>
      <c r="D30" s="121"/>
      <c r="H30" s="115" cm="1">
        <f t="array" ref="H30">INDEX(A:A,COUNTA(A:A)-9)</f>
        <v>45231</v>
      </c>
      <c r="I30" s="124" cm="1">
        <f t="array" ref="I30">INDEX(B:B,COUNTA(B:B)-9)</f>
        <v>160929</v>
      </c>
      <c r="J30" s="124" cm="1">
        <f t="array" ref="J30">INDEX(C:C,COUNTA(C:C)-9)</f>
        <v>20617</v>
      </c>
      <c r="K30" s="125" t="str" cm="1">
        <f t="array" ref="K30">INDEX(D:D,COUNTA(D:D)-9)</f>
        <v>-</v>
      </c>
    </row>
    <row r="31" spans="1:13">
      <c r="A31" s="113"/>
      <c r="B31" s="120"/>
      <c r="C31" s="120"/>
      <c r="D31" s="121"/>
      <c r="H31" s="115" cm="1">
        <f t="array" ref="H31">INDEX(A:A,COUNTA(A:A)-8)</f>
        <v>45261</v>
      </c>
      <c r="I31" s="124" cm="1">
        <f t="array" ref="I31">INDEX(B:B,COUNTA(B:B)-8)</f>
        <v>96535</v>
      </c>
      <c r="J31" s="124" cm="1">
        <f t="array" ref="J31">INDEX(C:C,COUNTA(C:C)-8)</f>
        <v>5071</v>
      </c>
      <c r="K31" s="125" t="str" cm="1">
        <f t="array" ref="K31">INDEX(D:D,COUNTA(D:D)-8)</f>
        <v>-</v>
      </c>
    </row>
    <row r="32" spans="1:13">
      <c r="A32" s="113"/>
      <c r="B32" s="120"/>
      <c r="C32" s="120"/>
      <c r="D32" s="121"/>
      <c r="H32" s="115" cm="1">
        <f t="array" ref="H32">INDEX(A:A,COUNTA(A:A)-7)</f>
        <v>45292</v>
      </c>
      <c r="I32" s="124" cm="1">
        <f t="array" ref="I32">INDEX(B:B,COUNTA(B:B)-7)</f>
        <v>120721</v>
      </c>
      <c r="J32" s="124" cm="1">
        <f t="array" ref="J32">INDEX(C:C,COUNTA(C:C)-7)</f>
        <v>7086</v>
      </c>
      <c r="K32" s="125" t="str" cm="1">
        <f t="array" ref="K32">INDEX(D:D,COUNTA(D:D)-7)</f>
        <v>-</v>
      </c>
    </row>
    <row r="33" spans="1:12">
      <c r="A33" s="113"/>
      <c r="B33" s="120"/>
      <c r="C33" s="120"/>
      <c r="D33" s="121"/>
      <c r="H33" s="115" cm="1">
        <f t="array" ref="H33">INDEX(A:A,COUNTA(A:A)-6)</f>
        <v>45323</v>
      </c>
      <c r="I33" s="124" cm="1">
        <f t="array" ref="I33">INDEX(B:B,COUNTA(B:B)-6)</f>
        <v>139143</v>
      </c>
      <c r="J33" s="124" cm="1">
        <f t="array" ref="J33">INDEX(C:C,COUNTA(C:C)-6)</f>
        <v>9922</v>
      </c>
      <c r="K33" s="125" t="str" cm="1">
        <f t="array" ref="K33">INDEX(D:D,COUNTA(D:D)-6)</f>
        <v>-</v>
      </c>
    </row>
    <row r="34" spans="1:12">
      <c r="A34" s="113"/>
      <c r="B34" s="120"/>
      <c r="C34" s="120"/>
      <c r="D34" s="121"/>
      <c r="H34" s="115" cm="1">
        <f t="array" ref="H34">INDEX(A:A,COUNTA(A:A)-5)</f>
        <v>45352</v>
      </c>
      <c r="I34" s="124" cm="1">
        <f t="array" ref="I34">INDEX(B:B,COUNTA(B:B)-5)</f>
        <v>170500</v>
      </c>
      <c r="J34" s="124" cm="1">
        <f t="array" ref="J34">INDEX(C:C,COUNTA(C:C)-5)</f>
        <v>20307</v>
      </c>
      <c r="K34" s="125" t="str" cm="1">
        <f t="array" ref="K34">INDEX(D:D,COUNTA(D:D)-5)</f>
        <v>-</v>
      </c>
    </row>
    <row r="35" spans="1:12">
      <c r="A35" s="113"/>
      <c r="B35" s="120"/>
      <c r="C35" s="120"/>
      <c r="D35" s="121"/>
      <c r="H35" s="115" cm="1">
        <f t="array" ref="H35">INDEX(A:A,COUNTA(A:A)-4)</f>
        <v>45383</v>
      </c>
      <c r="I35" s="124" cm="1">
        <f t="array" ref="I35">INDEX(B:B,COUNTA(B:B)-4)</f>
        <v>191459</v>
      </c>
      <c r="J35" s="124" cm="1">
        <f t="array" ref="J35">INDEX(C:C,COUNTA(C:C)-4)</f>
        <v>19100</v>
      </c>
      <c r="K35" s="125" t="str" cm="1">
        <f t="array" ref="K35">INDEX(D:D,COUNTA(D:D)-4)</f>
        <v>-</v>
      </c>
    </row>
    <row r="36" spans="1:12">
      <c r="A36" s="113"/>
      <c r="B36" s="120"/>
      <c r="C36" s="120"/>
      <c r="D36" s="121"/>
      <c r="H36" s="115" cm="1">
        <f t="array" ref="H36">INDEX(A:A,COUNTA(A:A)-3)</f>
        <v>45413</v>
      </c>
      <c r="I36" s="124" cm="1">
        <f t="array" ref="I36">INDEX(B:B,COUNTA(B:B)-3)</f>
        <v>220430</v>
      </c>
      <c r="J36" s="124" cm="1">
        <f t="array" ref="J36">INDEX(C:C,COUNTA(C:C)-3)</f>
        <v>20060</v>
      </c>
      <c r="K36" s="125" t="str" cm="1">
        <f t="array" ref="K36">INDEX(D:D,COUNTA(D:D)-3)</f>
        <v>-</v>
      </c>
    </row>
    <row r="37" spans="1:12">
      <c r="A37" s="113"/>
      <c r="B37" s="120"/>
      <c r="C37" s="120"/>
      <c r="D37" s="121"/>
      <c r="H37" s="115" cm="1">
        <f t="array" ref="H37">INDEX(A:A,COUNTA(A:A)-2)</f>
        <v>45444</v>
      </c>
      <c r="I37" s="124" cm="1">
        <f t="array" ref="I37">INDEX(B:B,COUNTA(B:B)-2)</f>
        <v>200257</v>
      </c>
      <c r="J37" s="124" cm="1">
        <f t="array" ref="J37">INDEX(C:C,COUNTA(C:C)-2)</f>
        <v>22647</v>
      </c>
      <c r="K37" s="125" t="str" cm="1">
        <f t="array" ref="K37">INDEX(D:D,COUNTA(D:D)-2)</f>
        <v>-</v>
      </c>
    </row>
    <row r="38" spans="1:12">
      <c r="A38" s="113"/>
      <c r="B38" s="120"/>
      <c r="C38" s="120"/>
      <c r="D38" s="121"/>
      <c r="H38" s="115" cm="1">
        <f t="array" ref="H38">INDEX(A:A,COUNTA(A:A)-1)</f>
        <v>45474</v>
      </c>
      <c r="I38" s="124" cm="1">
        <f t="array" ref="I38">INDEX(B:B,COUNTA(B:B)-1)</f>
        <v>209300</v>
      </c>
      <c r="J38" s="124" cm="1">
        <f t="array" ref="J38">INDEX(C:C,COUNTA(C:C)-1)</f>
        <v>19684</v>
      </c>
      <c r="K38" s="125" cm="1">
        <f t="array" ref="K38">INDEX(D:D,COUNTA(D:D)-1)</f>
        <v>15644</v>
      </c>
    </row>
    <row r="39" spans="1:12">
      <c r="A39" s="113"/>
      <c r="B39" s="120"/>
      <c r="C39" s="120"/>
      <c r="D39" s="121"/>
      <c r="H39" s="115" cm="1">
        <f t="array" ref="H39">INDEX(A:A,COUNTA(A:A))</f>
        <v>45505</v>
      </c>
      <c r="I39" s="124" cm="1">
        <f t="array" ref="I39">INDEX(B:B,COUNTA(B:B))</f>
        <v>239939</v>
      </c>
      <c r="J39" s="124" cm="1">
        <f t="array" ref="J39">INDEX(C:C,COUNTA(C:C))</f>
        <v>25963</v>
      </c>
      <c r="K39" s="125" cm="1">
        <f t="array" ref="K39">INDEX(D:D,COUNTA(D:D))</f>
        <v>23296</v>
      </c>
      <c r="L39" s="392">
        <f>K39 / DAY(EOMONTH(H39,0))</f>
        <v>751.48387096774195</v>
      </c>
    </row>
    <row r="40" spans="1:12" ht="17.25" thickBot="1">
      <c r="A40" s="113"/>
      <c r="B40" s="120"/>
      <c r="C40" s="120"/>
      <c r="D40" s="121"/>
      <c r="H40" s="10" cm="1">
        <f t="array" ref="H40">INDEX(A:A,COUNTA(A:A)+1)</f>
        <v>45536</v>
      </c>
      <c r="I40" s="126" cm="1">
        <f t="array" ref="I40">INDEX(B:B,COUNTA(B:B)+1)</f>
        <v>209273</v>
      </c>
      <c r="J40" s="126" cm="1">
        <f t="array" ref="J40">INDEX(C:C,COUNTA(C:C)+1)</f>
        <v>25532</v>
      </c>
      <c r="K40" s="127" cm="1">
        <f t="array" ref="K40">INDEX(D:D,COUNTA(D:D)+1)</f>
        <v>23360</v>
      </c>
      <c r="L40" s="392">
        <f>K40 / DAY(EOMONTH(H40,0))</f>
        <v>778.66666666666663</v>
      </c>
    </row>
    <row r="41" spans="1:12">
      <c r="A41" s="113"/>
      <c r="B41" s="120"/>
      <c r="C41" s="120"/>
      <c r="D41" s="121"/>
    </row>
    <row r="42" spans="1:12">
      <c r="A42" s="113"/>
      <c r="B42" s="120"/>
      <c r="C42" s="120"/>
      <c r="D42" s="121"/>
    </row>
    <row r="43" spans="1:12">
      <c r="A43" s="113"/>
      <c r="B43" s="120"/>
      <c r="C43" s="120"/>
      <c r="D43" s="121"/>
    </row>
    <row r="44" spans="1:12">
      <c r="A44" s="113"/>
      <c r="B44" s="120"/>
      <c r="C44" s="120"/>
      <c r="D44" s="121"/>
    </row>
    <row r="45" spans="1:12">
      <c r="A45" s="113"/>
      <c r="B45" s="120"/>
      <c r="C45" s="120"/>
      <c r="D45" s="121"/>
    </row>
    <row r="46" spans="1:12">
      <c r="A46" s="113"/>
      <c r="B46" s="120"/>
      <c r="C46" s="120"/>
      <c r="D46" s="121"/>
    </row>
    <row r="47" spans="1:12">
      <c r="A47" s="113"/>
      <c r="B47" s="120"/>
      <c r="C47" s="120"/>
      <c r="D47" s="121"/>
    </row>
    <row r="48" spans="1:12">
      <c r="A48" s="113"/>
      <c r="B48" s="120"/>
      <c r="C48" s="120"/>
      <c r="D48" s="121"/>
    </row>
    <row r="49" spans="1:4">
      <c r="A49" s="113"/>
      <c r="B49" s="120"/>
      <c r="C49" s="120"/>
      <c r="D49" s="121"/>
    </row>
    <row r="50" spans="1:4" ht="17.25" thickBot="1">
      <c r="A50" s="114"/>
      <c r="B50" s="122"/>
      <c r="C50" s="122"/>
      <c r="D50" s="123"/>
    </row>
  </sheetData>
  <phoneticPr fontId="2"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8D42-A1E0-4575-8822-E752BCFD6B5D}">
  <sheetPr codeName="Sheet21">
    <tabColor theme="9" tint="0.79998168889431442"/>
  </sheetPr>
  <dimension ref="B1:O50"/>
  <sheetViews>
    <sheetView workbookViewId="0">
      <selection activeCell="O2" sqref="O2"/>
    </sheetView>
  </sheetViews>
  <sheetFormatPr defaultRowHeight="16.5"/>
  <cols>
    <col min="4" max="8" width="27.25" customWidth="1"/>
    <col min="9" max="9" width="8.625" customWidth="1"/>
    <col min="13" max="13" width="11.125" bestFit="1" customWidth="1"/>
  </cols>
  <sheetData>
    <row r="1" spans="2:15">
      <c r="M1" s="3">
        <f>'PC 모바일 비교'!F11</f>
        <v>45536</v>
      </c>
      <c r="N1">
        <f>'PC 모바일 비교'!C11</f>
        <v>102</v>
      </c>
      <c r="O1">
        <f>'PC 모바일 비교'!D11</f>
        <v>135</v>
      </c>
    </row>
    <row r="2" spans="2:15">
      <c r="M2" s="3">
        <f>'PC 모바일 비교'!F12</f>
        <v>45537</v>
      </c>
      <c r="N2">
        <f>'PC 모바일 비교'!C12</f>
        <v>313</v>
      </c>
      <c r="O2">
        <f>'PC 모바일 비교'!D12</f>
        <v>195</v>
      </c>
    </row>
    <row r="3" spans="2:15" ht="17.25" thickBot="1">
      <c r="M3" s="3">
        <f>'PC 모바일 비교'!F13</f>
        <v>45538</v>
      </c>
      <c r="N3">
        <f>'PC 모바일 비교'!C13</f>
        <v>480</v>
      </c>
      <c r="O3">
        <f>'PC 모바일 비교'!D13</f>
        <v>189</v>
      </c>
    </row>
    <row r="4" spans="2:15">
      <c r="B4" s="95">
        <f>B32</f>
        <v>8</v>
      </c>
      <c r="C4" s="92" t="s">
        <v>125</v>
      </c>
      <c r="D4" s="92" t="s">
        <v>4</v>
      </c>
      <c r="E4" s="92" t="s">
        <v>126</v>
      </c>
      <c r="F4" s="92" t="s">
        <v>170</v>
      </c>
      <c r="G4" s="92" t="s">
        <v>120</v>
      </c>
      <c r="H4" s="92" t="s">
        <v>121</v>
      </c>
      <c r="I4" s="93" t="s">
        <v>123</v>
      </c>
      <c r="M4" s="3">
        <f>'PC 모바일 비교'!F14</f>
        <v>45539</v>
      </c>
      <c r="N4">
        <f>'PC 모바일 비교'!C14</f>
        <v>422</v>
      </c>
      <c r="O4">
        <f>'PC 모바일 비교'!D14</f>
        <v>185</v>
      </c>
    </row>
    <row r="5" spans="2:15">
      <c r="B5" s="187" t="s">
        <v>164</v>
      </c>
      <c r="C5" s="394" t="str" cm="1">
        <f t="array" aca="1" ref="C5" ca="1">IF(C33 = "", "",
C33 &amp; "(" &amp; INDIRECT("N" &amp; C33) &amp; "/" &amp;
INDIRECT("O" &amp; C33) &amp; ")")</f>
        <v/>
      </c>
      <c r="D5" s="393" t="str" cm="1">
        <f t="array" aca="1" ref="D5" ca="1">IF(D33 = "", "",
D33 &amp; "(" &amp; INDIRECT("N" &amp; D33) &amp; "/" &amp;
INDIRECT("O" &amp; D33) &amp; ")")</f>
        <v/>
      </c>
      <c r="E5" s="393" t="str" cm="1">
        <f t="array" aca="1" ref="E5" ca="1">IF(E33 = "", "",
E33 &amp; "(" &amp; INDIRECT("N" &amp; E33) &amp; "/" &amp;
INDIRECT("O" &amp; E33) &amp; ")")</f>
        <v/>
      </c>
      <c r="F5" s="393" t="str" cm="1">
        <f t="array" aca="1" ref="F5" ca="1">IF(F33 = "", "",
F33 &amp; "(" &amp; INDIRECT("N" &amp; F33) &amp; "/" &amp;
INDIRECT("O" &amp; F33) &amp; ")")</f>
        <v/>
      </c>
      <c r="G5" s="393" t="str" cm="1">
        <f t="array" aca="1" ref="G5" ca="1">IF(G33 = "", "",
G33 &amp; "(" &amp; INDIRECT("N" &amp; G33) &amp; "/" &amp;
INDIRECT("O" &amp; G33) &amp; ")")</f>
        <v>1(102/135)</v>
      </c>
      <c r="H5" s="393" t="str" cm="1">
        <f t="array" aca="1" ref="H5" ca="1">IF(H33 = "", "",
H33 &amp; "(" &amp; INDIRECT("N" &amp; H33) &amp; "/" &amp;
INDIRECT("O" &amp; H33) &amp; ")")</f>
        <v>2(313/195)</v>
      </c>
      <c r="I5" s="396" t="str" cm="1">
        <f t="array" aca="1" ref="I5" ca="1">IF(I33 = "", "",
I33 &amp; "(" &amp; INDIRECT("N" &amp; I33) &amp; "/" &amp;
INDIRECT("O" &amp; I33) &amp; ")")</f>
        <v>3(480/189)</v>
      </c>
      <c r="M5" s="3">
        <f>'PC 모바일 비교'!F15</f>
        <v>45540</v>
      </c>
      <c r="N5">
        <f>'PC 모바일 비교'!C15</f>
        <v>382</v>
      </c>
      <c r="O5">
        <f>'PC 모바일 비교'!D15</f>
        <v>209</v>
      </c>
    </row>
    <row r="6" spans="2:15">
      <c r="B6" s="187" t="s">
        <v>110</v>
      </c>
      <c r="C6" s="190"/>
      <c r="D6" s="190"/>
      <c r="E6" s="190"/>
      <c r="F6" s="190"/>
      <c r="G6" s="190"/>
      <c r="H6" s="190"/>
      <c r="I6" s="191"/>
      <c r="M6" s="3">
        <f>'PC 모바일 비교'!F16</f>
        <v>45541</v>
      </c>
      <c r="N6">
        <f>'PC 모바일 비교'!C16</f>
        <v>316</v>
      </c>
      <c r="O6">
        <f>'PC 모바일 비교'!D16</f>
        <v>123</v>
      </c>
    </row>
    <row r="7" spans="2:15">
      <c r="B7" s="187" t="s">
        <v>165</v>
      </c>
      <c r="C7" s="190"/>
      <c r="D7" s="190"/>
      <c r="E7" s="190"/>
      <c r="F7" s="190"/>
      <c r="G7" s="190"/>
      <c r="H7" s="190"/>
      <c r="I7" s="191"/>
      <c r="M7" s="3">
        <f>'PC 모바일 비교'!F17</f>
        <v>45542</v>
      </c>
      <c r="N7">
        <f>'PC 모바일 비교'!C17</f>
        <v>165</v>
      </c>
      <c r="O7">
        <f>'PC 모바일 비교'!D17</f>
        <v>156</v>
      </c>
    </row>
    <row r="8" spans="2:15">
      <c r="B8" s="187" t="s">
        <v>166</v>
      </c>
      <c r="C8" s="394" t="str" cm="1">
        <f t="array" aca="1" ref="C8" ca="1">IF(C36 = "", "",
C36 &amp; "(" &amp; INDIRECT("N" &amp; C36) &amp; "/" &amp;
INDIRECT("O" &amp; C36) &amp; ")")</f>
        <v>4(422/185)</v>
      </c>
      <c r="D8" s="393" t="str" cm="1">
        <f t="array" aca="1" ref="D8" ca="1">IF(D36 = "", "",
D36 &amp; "(" &amp; INDIRECT("N" &amp; D36) &amp; "/" &amp;
INDIRECT("O" &amp; D36) &amp; ")")</f>
        <v>5(382/209)</v>
      </c>
      <c r="E8" s="393" t="str" cm="1">
        <f t="array" aca="1" ref="E8" ca="1">IF(E36 = "", "",
E36 &amp; "(" &amp; INDIRECT("N" &amp; E36) &amp; "/" &amp;
INDIRECT("O" &amp; E36) &amp; ")")</f>
        <v>6(316/123)</v>
      </c>
      <c r="F8" s="393" t="str" cm="1">
        <f t="array" aca="1" ref="F8" ca="1">IF(F36 = "", "",
F36 &amp; "(" &amp; INDIRECT("N" &amp; F36) &amp; "/" &amp;
INDIRECT("O" &amp; F36) &amp; ")")</f>
        <v>7(165/156)</v>
      </c>
      <c r="G8" s="393" t="str" cm="1">
        <f t="array" aca="1" ref="G8" ca="1">IF(G36 = "", "",
G36 &amp; "(" &amp; INDIRECT("N" &amp; G36) &amp; "/" &amp;
INDIRECT("O" &amp; G36) &amp; ")")</f>
        <v>8(134/125)</v>
      </c>
      <c r="H8" s="393" t="str" cm="1">
        <f t="array" aca="1" ref="H8" ca="1">IF(H36 = "", "",
H36 &amp; "(" &amp; INDIRECT("N" &amp; H36) &amp; "/" &amp;
INDIRECT("O" &amp; H36) &amp; ")")</f>
        <v>9(458/167)</v>
      </c>
      <c r="I8" s="396" t="str" cm="1">
        <f t="array" aca="1" ref="I8" ca="1">IF(I36 = "", "",
I36 &amp; "(" &amp; INDIRECT("N" &amp; I36) &amp; "/" &amp;
INDIRECT("O" &amp; I36) &amp; ")")</f>
        <v>10(420/205)</v>
      </c>
      <c r="M8" s="3">
        <f>'PC 모바일 비교'!F18</f>
        <v>45543</v>
      </c>
      <c r="N8">
        <f>'PC 모바일 비교'!C18</f>
        <v>134</v>
      </c>
      <c r="O8">
        <f>'PC 모바일 비교'!D18</f>
        <v>125</v>
      </c>
    </row>
    <row r="9" spans="2:15">
      <c r="B9" s="187" t="s">
        <v>110</v>
      </c>
      <c r="C9" s="190"/>
      <c r="D9" s="190"/>
      <c r="E9" s="190"/>
      <c r="F9" s="190"/>
      <c r="G9" s="190"/>
      <c r="H9" s="190"/>
      <c r="I9" s="191"/>
      <c r="M9" s="3">
        <f>'PC 모바일 비교'!F19</f>
        <v>45544</v>
      </c>
      <c r="N9">
        <f>'PC 모바일 비교'!C19</f>
        <v>458</v>
      </c>
      <c r="O9">
        <f>'PC 모바일 비교'!D19</f>
        <v>167</v>
      </c>
    </row>
    <row r="10" spans="2:15">
      <c r="B10" s="187" t="s">
        <v>165</v>
      </c>
      <c r="C10" s="190"/>
      <c r="D10" s="190"/>
      <c r="E10" s="190"/>
      <c r="F10" s="190"/>
      <c r="G10" s="190"/>
      <c r="H10" s="190"/>
      <c r="I10" s="191"/>
      <c r="M10" s="3">
        <f>'PC 모바일 비교'!F20</f>
        <v>45545</v>
      </c>
      <c r="N10">
        <f>'PC 모바일 비교'!C20</f>
        <v>420</v>
      </c>
      <c r="O10">
        <f>'PC 모바일 비교'!D20</f>
        <v>205</v>
      </c>
    </row>
    <row r="11" spans="2:15">
      <c r="B11" s="187" t="s">
        <v>167</v>
      </c>
      <c r="C11" s="394" t="str" cm="1">
        <f t="array" aca="1" ref="C11" ca="1">IF(C39 = "", "",
C39 &amp; "(" &amp; INDIRECT("N" &amp; C39) &amp; "/" &amp;
INDIRECT("O" &amp; C39) &amp; ")")</f>
        <v>11(423/209)</v>
      </c>
      <c r="D11" s="393" t="str" cm="1">
        <f t="array" aca="1" ref="D11" ca="1">IF(D39 = "", "",
D39 &amp; "(" &amp; INDIRECT("N" &amp; D39) &amp; "/" &amp;
INDIRECT("O" &amp; D39) &amp; ")")</f>
        <v>12(367/134)</v>
      </c>
      <c r="E11" s="393" t="str" cm="1">
        <f t="array" aca="1" ref="E11" ca="1">IF(E39 = "", "",
E39 &amp; "(" &amp; INDIRECT("N" &amp; E39) &amp; "/" &amp;
INDIRECT("O" &amp; E39) &amp; ")")</f>
        <v>13(338/168)</v>
      </c>
      <c r="F11" s="393" t="str" cm="1">
        <f t="array" aca="1" ref="F11" ca="1">IF(F39 = "", "",
F39 &amp; "(" &amp; INDIRECT("N" &amp; F39) &amp; "/" &amp;
INDIRECT("O" &amp; F39) &amp; ")")</f>
        <v>14(187/126)</v>
      </c>
      <c r="G11" s="393" t="str" cm="1">
        <f t="array" aca="1" ref="G11" ca="1">IF(G39 = "", "",
G39 &amp; "(" &amp; INDIRECT("N" &amp; G39) &amp; "/" &amp;
INDIRECT("O" &amp; G39) &amp; ")")</f>
        <v>15(118/130)</v>
      </c>
      <c r="H11" s="393" t="str" cm="1">
        <f t="array" aca="1" ref="H11" ca="1">IF(H39 = "", "",
H39 &amp; "(" &amp; INDIRECT("N" &amp; H39) &amp; "/" &amp;
INDIRECT("O" &amp; H39) &amp; ")")</f>
        <v>16(341/124)</v>
      </c>
      <c r="I11" s="396" t="str" cm="1">
        <f t="array" aca="1" ref="I11" ca="1">IF(I39 = "", "",
I39 &amp; "(" &amp; INDIRECT("N" &amp; I39) &amp; "/" &amp;
INDIRECT("O" &amp; I39) &amp; ")")</f>
        <v>17(396/181)</v>
      </c>
      <c r="M11" s="3">
        <f>'PC 모바일 비교'!F21</f>
        <v>45546</v>
      </c>
      <c r="N11">
        <f>'PC 모바일 비교'!C21</f>
        <v>423</v>
      </c>
      <c r="O11">
        <f>'PC 모바일 비교'!D21</f>
        <v>209</v>
      </c>
    </row>
    <row r="12" spans="2:15">
      <c r="B12" s="187" t="s">
        <v>110</v>
      </c>
      <c r="C12" s="190"/>
      <c r="D12" s="190"/>
      <c r="E12" s="190"/>
      <c r="F12" s="190"/>
      <c r="G12" s="190"/>
      <c r="H12" s="190"/>
      <c r="I12" s="191"/>
      <c r="M12" s="3">
        <f>'PC 모바일 비교'!F22</f>
        <v>45547</v>
      </c>
      <c r="N12">
        <f>'PC 모바일 비교'!C22</f>
        <v>367</v>
      </c>
      <c r="O12">
        <f>'PC 모바일 비교'!D22</f>
        <v>134</v>
      </c>
    </row>
    <row r="13" spans="2:15">
      <c r="B13" s="187" t="s">
        <v>165</v>
      </c>
      <c r="C13" s="190"/>
      <c r="D13" s="190"/>
      <c r="E13" s="190"/>
      <c r="F13" s="190"/>
      <c r="G13" s="190"/>
      <c r="H13" s="190"/>
      <c r="I13" s="191"/>
      <c r="M13" s="3">
        <f>'PC 모바일 비교'!F23</f>
        <v>45548</v>
      </c>
      <c r="N13">
        <f>'PC 모바일 비교'!C23</f>
        <v>338</v>
      </c>
      <c r="O13">
        <f>'PC 모바일 비교'!D23</f>
        <v>168</v>
      </c>
    </row>
    <row r="14" spans="2:15">
      <c r="B14" s="187" t="s">
        <v>168</v>
      </c>
      <c r="C14" s="394" t="str" cm="1">
        <f t="array" aca="1" ref="C14" ca="1">IF(C42 = "", "",
C42 &amp; "(" &amp; INDIRECT("N" &amp; C42) &amp; "/" &amp;
INDIRECT("O" &amp; C42) &amp; ")")</f>
        <v>18(338/165)</v>
      </c>
      <c r="D14" s="393" t="str" cm="1">
        <f t="array" aca="1" ref="D14" ca="1">IF(D42 = "", "",
D42 &amp; "(" &amp; INDIRECT("N" &amp; D42) &amp; "/" &amp;
INDIRECT("O" &amp; D42) &amp; ")")</f>
        <v>19(368/159)</v>
      </c>
      <c r="E14" s="393" t="str" cm="1">
        <f t="array" aca="1" ref="E14" ca="1">IF(E42 = "", "",
E42 &amp; "(" &amp; INDIRECT("N" &amp; E42) &amp; "/" &amp;
INDIRECT("O" &amp; E42) &amp; ")")</f>
        <v>20(376/196)</v>
      </c>
      <c r="F14" s="393" t="str" cm="1">
        <f t="array" aca="1" ref="F14" ca="1">IF(F42 = "", "",
F42 &amp; "(" &amp; INDIRECT("N" &amp; F42) &amp; "/" &amp;
INDIRECT("O" &amp; F42) &amp; ")")</f>
        <v>21(177/153)</v>
      </c>
      <c r="G14" s="393" t="str" cm="1">
        <f t="array" aca="1" ref="G14" ca="1">IF(G42 = "", "",
G42 &amp; "(" &amp; INDIRECT("N" &amp; G42) &amp; "/" &amp;
INDIRECT("O" &amp; G42) &amp; ")")</f>
        <v>22(143/126)</v>
      </c>
      <c r="H14" s="393" t="str" cm="1">
        <f t="array" aca="1" ref="H14" ca="1">IF(H42 = "", "",
H42 &amp; "(" &amp; INDIRECT("N" &amp; H42) &amp; "/" &amp;
INDIRECT("O" &amp; H42) &amp; ")")</f>
        <v>23(411/141)</v>
      </c>
      <c r="I14" s="396" t="str" cm="1">
        <f t="array" aca="1" ref="I14" ca="1">IF(I42 = "", "",
I42 &amp; "(" &amp; INDIRECT("N" &amp; I42) &amp; "/" &amp;
INDIRECT("O" &amp; I42) &amp; ")")</f>
        <v>24(493/233)</v>
      </c>
      <c r="M14" s="3">
        <f>'PC 모바일 비교'!F24</f>
        <v>45549</v>
      </c>
      <c r="N14">
        <f>'PC 모바일 비교'!C24</f>
        <v>187</v>
      </c>
      <c r="O14">
        <f>'PC 모바일 비교'!D24</f>
        <v>126</v>
      </c>
    </row>
    <row r="15" spans="2:15">
      <c r="B15" s="187" t="s">
        <v>110</v>
      </c>
      <c r="C15" s="190"/>
      <c r="D15" s="190"/>
      <c r="E15" s="190"/>
      <c r="F15" s="190"/>
      <c r="G15" s="190"/>
      <c r="H15" s="190"/>
      <c r="I15" s="191"/>
      <c r="M15" s="3">
        <f>'PC 모바일 비교'!F25</f>
        <v>45550</v>
      </c>
      <c r="N15">
        <f>'PC 모바일 비교'!C25</f>
        <v>118</v>
      </c>
      <c r="O15">
        <f>'PC 모바일 비교'!D25</f>
        <v>130</v>
      </c>
    </row>
    <row r="16" spans="2:15">
      <c r="B16" s="187" t="s">
        <v>165</v>
      </c>
      <c r="C16" s="190"/>
      <c r="D16" s="190"/>
      <c r="E16" s="190"/>
      <c r="F16" s="190"/>
      <c r="G16" s="190"/>
      <c r="H16" s="190"/>
      <c r="I16" s="191"/>
      <c r="M16" s="3">
        <f>'PC 모바일 비교'!F26</f>
        <v>45551</v>
      </c>
      <c r="N16">
        <f>'PC 모바일 비교'!C26</f>
        <v>341</v>
      </c>
      <c r="O16">
        <f>'PC 모바일 비교'!D26</f>
        <v>124</v>
      </c>
    </row>
    <row r="17" spans="2:15">
      <c r="B17" s="187" t="s">
        <v>169</v>
      </c>
      <c r="C17" s="394" t="str" cm="1">
        <f t="array" aca="1" ref="C17" ca="1">IF(C45 = "", "",
C45 &amp; "(" &amp; INDIRECT("N" &amp; C45) &amp; "/" &amp;
INDIRECT("O" &amp; C45) &amp; ")")</f>
        <v>25(428/205)</v>
      </c>
      <c r="D17" s="393" t="str" cm="1">
        <f t="array" aca="1" ref="D17" ca="1">IF(D45 = "", "",
D45 &amp; "(" &amp; INDIRECT("N" &amp; D45) &amp; "/" &amp;
INDIRECT("O" &amp; D45) &amp; ")")</f>
        <v>26(474/247)</v>
      </c>
      <c r="E17" s="393" t="str" cm="1">
        <f t="array" aca="1" ref="E17" ca="1">IF(E45 = "", "",
E45 &amp; "(" &amp; INDIRECT("N" &amp; E45) &amp; "/" &amp;
INDIRECT("O" &amp; E45) &amp; ")")</f>
        <v>27(368/158)</v>
      </c>
      <c r="F17" s="393" t="str" cm="1">
        <f t="array" aca="1" ref="F17" ca="1">IF(F45 = "", "",
F45 &amp; "(" &amp; INDIRECT("N" &amp; F45) &amp; "/" &amp;
INDIRECT("O" &amp; F45) &amp; ")")</f>
        <v>28(165/78)</v>
      </c>
      <c r="G17" s="393" t="str" cm="1">
        <f t="array" aca="1" ref="G17" ca="1">IF(G45 = "", "",
G45 &amp; "(" &amp; INDIRECT("N" &amp; G45) &amp; "/" &amp;
INDIRECT("O" &amp; G45) &amp; ")")</f>
        <v>29(150/176)</v>
      </c>
      <c r="H17" s="393" t="str" cm="1">
        <f t="array" aca="1" ref="H17" ca="1">IF(H45 = "", "",
H45 &amp; "(" &amp; INDIRECT("N" &amp; H45) &amp; "/" &amp;
INDIRECT("O" &amp; H45) &amp; ")")</f>
        <v>30(360/134)</v>
      </c>
      <c r="I17" s="396" t="e" cm="1">
        <f t="array" aca="1" ref="I17" ca="1">IF(I45 = "", "",
I45 &amp; "(" &amp; INDIRECT("N" &amp; I45) &amp; "/" &amp;
INDIRECT("O" &amp; I45) &amp; ")")</f>
        <v>#N/A</v>
      </c>
      <c r="M17" s="3">
        <f>'PC 모바일 비교'!F27</f>
        <v>45552</v>
      </c>
      <c r="N17">
        <f>'PC 모바일 비교'!C27</f>
        <v>396</v>
      </c>
      <c r="O17">
        <f>'PC 모바일 비교'!D27</f>
        <v>181</v>
      </c>
    </row>
    <row r="18" spans="2:15">
      <c r="B18" s="187" t="s">
        <v>110</v>
      </c>
      <c r="C18" s="190"/>
      <c r="D18" s="190"/>
      <c r="E18" s="190"/>
      <c r="F18" s="190"/>
      <c r="G18" s="190"/>
      <c r="H18" s="190"/>
      <c r="I18" s="191"/>
      <c r="M18" s="3">
        <f>'PC 모바일 비교'!F28</f>
        <v>45553</v>
      </c>
      <c r="N18">
        <f>'PC 모바일 비교'!C28</f>
        <v>338</v>
      </c>
      <c r="O18">
        <f>'PC 모바일 비교'!D28</f>
        <v>165</v>
      </c>
    </row>
    <row r="19" spans="2:15">
      <c r="B19" s="187" t="s">
        <v>165</v>
      </c>
      <c r="C19" s="190"/>
      <c r="D19" s="190"/>
      <c r="E19" s="190"/>
      <c r="F19" s="190"/>
      <c r="G19" s="190"/>
      <c r="H19" s="190"/>
      <c r="I19" s="191"/>
      <c r="M19" s="3">
        <f>'PC 모바일 비교'!F29</f>
        <v>45554</v>
      </c>
      <c r="N19">
        <f>'PC 모바일 비교'!C29</f>
        <v>368</v>
      </c>
      <c r="O19">
        <f>'PC 모바일 비교'!D29</f>
        <v>159</v>
      </c>
    </row>
    <row r="20" spans="2:15">
      <c r="B20" s="187" t="s">
        <v>171</v>
      </c>
      <c r="C20" s="395" t="str" cm="1">
        <f t="array" aca="1" ref="C20" ca="1">IF(C48 = "", "",
C48 &amp; "(" &amp; INDIRECT("N" &amp; C48) &amp; "/" &amp;
INDIRECT("O" &amp; C48) &amp; ")")</f>
        <v/>
      </c>
      <c r="D20" s="188" t="str" cm="1">
        <f t="array" aca="1" ref="D20" ca="1">IF(D48 = "", "",
D48 &amp; "(" &amp; INDIRECT("N" &amp; D48) &amp; "/" &amp;
INDIRECT("O" &amp; D48) &amp; ")")</f>
        <v/>
      </c>
      <c r="E20" s="188" t="str" cm="1">
        <f t="array" aca="1" ref="E20" ca="1">IF(E48 = "", "",
E48 &amp; "(" &amp; INDIRECT("N" &amp; E48) &amp; "/" &amp;
INDIRECT("O" &amp; E48) &amp; ")")</f>
        <v/>
      </c>
      <c r="F20" s="188" t="str" cm="1">
        <f t="array" aca="1" ref="F20" ca="1">IF(F48 = "", "",
F48 &amp; "(" &amp; INDIRECT("N" &amp; F48) &amp; "/" &amp;
INDIRECT("O" &amp; F48) &amp; ")")</f>
        <v/>
      </c>
      <c r="G20" s="188" t="str" cm="1">
        <f t="array" aca="1" ref="G20" ca="1">IF(G48 = "", "",
G48 &amp; "(" &amp; INDIRECT("N" &amp; G48) &amp; "/" &amp;
INDIRECT("O" &amp; G48) &amp; ")")</f>
        <v/>
      </c>
      <c r="H20" s="188" t="str" cm="1">
        <f t="array" aca="1" ref="H20" ca="1">IF(H48 = "", "",
H48 &amp; "(" &amp; INDIRECT("N" &amp; H48) &amp; "/" &amp;
INDIRECT("O" &amp; H48) &amp; ")")</f>
        <v/>
      </c>
      <c r="I20" s="397" t="str" cm="1">
        <f t="array" aca="1" ref="I20" ca="1">IF(I48 = "", "",
I48 &amp; "(" &amp; INDIRECT("N" &amp; I48) &amp; "/" &amp;
INDIRECT("O" &amp; I48) &amp; ")")</f>
        <v/>
      </c>
      <c r="M20" s="3">
        <f>'PC 모바일 비교'!F30</f>
        <v>45555</v>
      </c>
      <c r="N20">
        <f>'PC 모바일 비교'!C30</f>
        <v>376</v>
      </c>
      <c r="O20">
        <f>'PC 모바일 비교'!D30</f>
        <v>196</v>
      </c>
    </row>
    <row r="21" spans="2:15">
      <c r="B21" s="187" t="s">
        <v>110</v>
      </c>
      <c r="C21" s="190"/>
      <c r="D21" s="190"/>
      <c r="E21" s="190"/>
      <c r="F21" s="190"/>
      <c r="G21" s="190"/>
      <c r="H21" s="190"/>
      <c r="I21" s="191"/>
      <c r="M21" s="3">
        <f>'PC 모바일 비교'!F31</f>
        <v>45556</v>
      </c>
      <c r="N21">
        <f>'PC 모바일 비교'!C31</f>
        <v>177</v>
      </c>
      <c r="O21">
        <f>'PC 모바일 비교'!D31</f>
        <v>153</v>
      </c>
    </row>
    <row r="22" spans="2:15" ht="17.25" thickBot="1">
      <c r="B22" s="193" t="s">
        <v>165</v>
      </c>
      <c r="C22" s="194"/>
      <c r="D22" s="194"/>
      <c r="E22" s="194"/>
      <c r="F22" s="194"/>
      <c r="G22" s="194"/>
      <c r="H22" s="194"/>
      <c r="I22" s="195"/>
      <c r="M22" s="3">
        <f>'PC 모바일 비교'!F32</f>
        <v>45557</v>
      </c>
      <c r="N22">
        <f>'PC 모바일 비교'!C32</f>
        <v>143</v>
      </c>
      <c r="O22">
        <f>'PC 모바일 비교'!D32</f>
        <v>126</v>
      </c>
    </row>
    <row r="23" spans="2:15">
      <c r="M23" s="3">
        <f>'PC 모바일 비교'!F33</f>
        <v>45558</v>
      </c>
      <c r="N23">
        <f>'PC 모바일 비교'!C33</f>
        <v>411</v>
      </c>
      <c r="O23">
        <f>'PC 모바일 비교'!D33</f>
        <v>141</v>
      </c>
    </row>
    <row r="24" spans="2:15">
      <c r="M24" s="3">
        <f>'PC 모바일 비교'!F34</f>
        <v>45559</v>
      </c>
      <c r="N24">
        <f>'PC 모바일 비교'!C34</f>
        <v>493</v>
      </c>
      <c r="O24">
        <f>'PC 모바일 비교'!D34</f>
        <v>233</v>
      </c>
    </row>
    <row r="25" spans="2:15">
      <c r="C25" t="s">
        <v>979</v>
      </c>
      <c r="M25" s="3">
        <f>'PC 모바일 비교'!F35</f>
        <v>45560</v>
      </c>
      <c r="N25">
        <f>'PC 모바일 비교'!C35</f>
        <v>428</v>
      </c>
      <c r="O25">
        <f>'PC 모바일 비교'!D35</f>
        <v>205</v>
      </c>
    </row>
    <row r="26" spans="2:15">
      <c r="C26" t="s">
        <v>980</v>
      </c>
      <c r="M26" s="3">
        <f>'PC 모바일 비교'!F36</f>
        <v>45561</v>
      </c>
      <c r="N26">
        <f>'PC 모바일 비교'!C36</f>
        <v>474</v>
      </c>
      <c r="O26">
        <f>'PC 모바일 비교'!D36</f>
        <v>247</v>
      </c>
    </row>
    <row r="27" spans="2:15">
      <c r="C27" t="s">
        <v>981</v>
      </c>
      <c r="M27" s="3">
        <f>'PC 모바일 비교'!F37</f>
        <v>45562</v>
      </c>
      <c r="N27">
        <f>'PC 모바일 비교'!C37</f>
        <v>368</v>
      </c>
      <c r="O27">
        <f>'PC 모바일 비교'!D37</f>
        <v>158</v>
      </c>
    </row>
    <row r="28" spans="2:15">
      <c r="M28" s="3">
        <f>'PC 모바일 비교'!F38</f>
        <v>45563</v>
      </c>
      <c r="N28">
        <f>'PC 모바일 비교'!C38</f>
        <v>165</v>
      </c>
      <c r="O28">
        <f>'PC 모바일 비교'!D38</f>
        <v>78</v>
      </c>
    </row>
    <row r="29" spans="2:15">
      <c r="M29" s="3">
        <f>'PC 모바일 비교'!F39</f>
        <v>45564</v>
      </c>
      <c r="N29">
        <f>'PC 모바일 비교'!C39</f>
        <v>150</v>
      </c>
      <c r="O29">
        <f>'PC 모바일 비교'!D39</f>
        <v>176</v>
      </c>
    </row>
    <row r="30" spans="2:15">
      <c r="M30" s="3">
        <f>'PC 모바일 비교'!F40</f>
        <v>45565</v>
      </c>
      <c r="N30">
        <f>'PC 모바일 비교'!C40</f>
        <v>360</v>
      </c>
      <c r="O30">
        <f>'PC 모바일 비교'!D40</f>
        <v>134</v>
      </c>
    </row>
    <row r="31" spans="2:15" ht="17.25" thickBot="1">
      <c r="M31" s="3" t="e">
        <f>'PC 모바일 비교'!F41</f>
        <v>#VALUE!</v>
      </c>
      <c r="N31" t="e">
        <f>'PC 모바일 비교'!C41</f>
        <v>#N/A</v>
      </c>
      <c r="O31" t="e">
        <f>'PC 모바일 비교'!D41</f>
        <v>#N/A</v>
      </c>
    </row>
    <row r="32" spans="2:15">
      <c r="B32" s="196">
        <v>8</v>
      </c>
      <c r="C32" s="92" t="s">
        <v>125</v>
      </c>
      <c r="D32" s="92" t="s">
        <v>4</v>
      </c>
      <c r="E32" s="92" t="s">
        <v>126</v>
      </c>
      <c r="F32" s="92" t="s">
        <v>170</v>
      </c>
      <c r="G32" s="92" t="s">
        <v>120</v>
      </c>
      <c r="H32" s="92" t="s">
        <v>121</v>
      </c>
      <c r="I32" s="93" t="s">
        <v>123</v>
      </c>
    </row>
    <row r="33" spans="2:9">
      <c r="B33" s="187" t="s">
        <v>164</v>
      </c>
      <c r="C33" s="188" t="str">
        <f>IF(ISNUMBER(B33)=TRUE,B33+1,IF(TEXT(DATE(YEAR(followers!$H$1),'일일 업로드 현황'!$B$32,1),"aaa")='일일 업로드 현황'!C32,DAY(DATE(YEAR(followers!$H$1),'일일 업로드 현황'!$B$32,1)),""))</f>
        <v/>
      </c>
      <c r="D33" s="188" t="str">
        <f>IF(ISNUMBER(C33)=TRUE,C33+1,IF(TEXT(DATE(YEAR(followers!$H$1),'일일 업로드 현황'!$B$32,1),"aaa")='일일 업로드 현황'!D32,DAY(DATE(YEAR(followers!$H$1),'일일 업로드 현황'!$B$32,1)),""))</f>
        <v/>
      </c>
      <c r="E33" s="188" t="str">
        <f>IF(ISNUMBER(D33)=TRUE,D33+1,IF(TEXT(DATE(YEAR(followers!$H$1),'일일 업로드 현황'!$B$32,1),"aaa")='일일 업로드 현황'!E32,DAY(DATE(YEAR(followers!$H$1),'일일 업로드 현황'!$B$32,1)),""))</f>
        <v/>
      </c>
      <c r="F33" s="188" t="str">
        <f>IF(ISNUMBER(E33)=TRUE,E33+1,IF(TEXT(DATE(YEAR(followers!$H$1),'일일 업로드 현황'!$B$32,1),"aaa")='일일 업로드 현황'!F32,DAY(DATE(YEAR(followers!$H$1),'일일 업로드 현황'!$B$32,1)),""))</f>
        <v/>
      </c>
      <c r="G33" s="188">
        <f>IF(ISNUMBER(F33)=TRUE,F33+1,IF(TEXT(DATE(YEAR(followers!$H$1),'일일 업로드 현황'!$B$32,1),"aaa")='일일 업로드 현황'!G32,DAY(DATE(YEAR(followers!$H$1),'일일 업로드 현황'!$B$32,1)),""))</f>
        <v>1</v>
      </c>
      <c r="H33" s="188">
        <f>IF(ISNUMBER(G33)=TRUE,G33+1,IF(TEXT(DATE(YEAR(followers!$H$1),'일일 업로드 현황'!$B$32,1),"aaa")='일일 업로드 현황'!H32,DAY(DATE(YEAR(followers!$H$1),'일일 업로드 현황'!$B$32,1)),""))</f>
        <v>2</v>
      </c>
      <c r="I33" s="189">
        <f>IF(ISNUMBER(H33)=TRUE,H33+1,IF(TEXT(DATE(YEAR(followers!$H$1),'일일 업로드 현황'!$B$32,1),"aaa")='일일 업로드 현황'!I32,DAY(DATE(YEAR(followers!$H$1),'일일 업로드 현황'!$B$32,1)),""))</f>
        <v>3</v>
      </c>
    </row>
    <row r="34" spans="2:9">
      <c r="B34" s="187" t="s">
        <v>110</v>
      </c>
      <c r="C34" s="190" t="str">
        <f>IF(ISERROR(INDEX('contents 추가정보'!$C:$C,MATCH(DATE(YEAR(followers!$H$1),'일일 업로드 현황'!$B$32,'일일 업로드 현황'!C33),'contents 추가정보'!$F:$F,0)))=TRUE,"",INDEX('contents 추가정보'!$C:$C,MATCH(DATE(YEAR(followers!$H$1),'일일 업로드 현황'!$B$32,'일일 업로드 현황'!C33),'contents 추가정보'!$F:$F,0)))</f>
        <v/>
      </c>
      <c r="D34" s="190" t="str">
        <f>IF(ISERROR(INDEX('contents 추가정보'!$C:$C,MATCH(DATE(YEAR(followers!$H$1),'일일 업로드 현황'!$B$32,'일일 업로드 현황'!D33),'contents 추가정보'!$F:$F,0)))=TRUE,"",INDEX('contents 추가정보'!$C:$C,MATCH(DATE(YEAR(followers!$H$1),'일일 업로드 현황'!$B$32,'일일 업로드 현황'!D33),'contents 추가정보'!$F:$F,0)))</f>
        <v/>
      </c>
      <c r="E34" s="190" t="str">
        <f>IF(ISERROR(INDEX('contents 추가정보'!$C:$C,MATCH(DATE(YEAR(followers!$H$1),'일일 업로드 현황'!$B$32,'일일 업로드 현황'!E33),'contents 추가정보'!$F:$F,0)))=TRUE,"",INDEX('contents 추가정보'!$C:$C,MATCH(DATE(YEAR(followers!$H$1),'일일 업로드 현황'!$B$32,'일일 업로드 현황'!E33),'contents 추가정보'!$F:$F,0)))</f>
        <v/>
      </c>
      <c r="F34" s="190" t="str">
        <f>IF(ISERROR(INDEX('contents 추가정보'!$C:$C,MATCH(DATE(YEAR(followers!$H$1),'일일 업로드 현황'!$B$32,'일일 업로드 현황'!F33),'contents 추가정보'!$F:$F,0)))=TRUE,"",INDEX('contents 추가정보'!$C:$C,MATCH(DATE(YEAR(followers!$H$1),'일일 업로드 현황'!$B$32,'일일 업로드 현황'!F33),'contents 추가정보'!$F:$F,0)))</f>
        <v/>
      </c>
      <c r="G34" s="190" t="str">
        <f>IF(ISERROR(INDEX('contents 추가정보'!$C:$C,MATCH(DATE(YEAR(followers!$H$1),'일일 업로드 현황'!$B$32,'일일 업로드 현황'!G33),'contents 추가정보'!$F:$F,0)))=TRUE,"",INDEX('contents 추가정보'!$C:$C,MATCH(DATE(YEAR(followers!$H$1),'일일 업로드 현황'!$B$32,'일일 업로드 현황'!G33),'contents 추가정보'!$F:$F,0)))</f>
        <v/>
      </c>
      <c r="H34" s="190" t="str">
        <f>IF(ISERROR(INDEX('contents 추가정보'!$C:$C,MATCH(DATE(YEAR(followers!$H$1),'일일 업로드 현황'!$B$32,'일일 업로드 현황'!H33),'contents 추가정보'!$F:$F,0)))=TRUE,"",INDEX('contents 추가정보'!$C:$C,MATCH(DATE(YEAR(followers!$H$1),'일일 업로드 현황'!$B$32,'일일 업로드 현황'!H33),'contents 추가정보'!$F:$F,0)))</f>
        <v/>
      </c>
      <c r="I34" s="191" t="str">
        <f>IF(ISERROR(INDEX('contents 추가정보'!$C:$C,MATCH(DATE(YEAR(followers!$H$1),'일일 업로드 현황'!$B$32,'일일 업로드 현황'!I33),'contents 추가정보'!$F:$F,0)))=TRUE,"",INDEX('contents 추가정보'!$C:$C,MATCH(DATE(YEAR(followers!$H$1),'일일 업로드 현황'!$B$32,'일일 업로드 현황'!I33),'contents 추가정보'!$F:$F,0)))</f>
        <v/>
      </c>
    </row>
    <row r="35" spans="2:9">
      <c r="B35" s="187" t="s">
        <v>165</v>
      </c>
      <c r="C35" s="190" t="str">
        <f>IF(ISERROR(INDEX('contents 추가정보'!$C:$C,MATCH(DATE(YEAR(followers!$H$1),'일일 업로드 현황'!$B$32,'일일 업로드 현황'!C33),'contents 추가정보'!$F:$F,0)))=TRUE,"",INDEX('contents 추가정보'!$C:$C,MATCH(DATE(YEAR(followers!$H$1),'일일 업로드 현황'!$B$32,'일일 업로드 현황'!C33),'contents 추가정보'!$F:$F,0)))</f>
        <v/>
      </c>
      <c r="D35" s="190" t="str">
        <f>IF(ISERROR(INDEX('contents 추가정보'!$C:$C,MATCH(DATE(YEAR(followers!$H$1),'일일 업로드 현황'!$B$32,'일일 업로드 현황'!D33),'contents 추가정보'!$F:$F,0)))=TRUE,"",INDEX('contents 추가정보'!$C:$C,MATCH(DATE(YEAR(followers!$H$1),'일일 업로드 현황'!$B$32,'일일 업로드 현황'!D33),'contents 추가정보'!$F:$F,0)))</f>
        <v/>
      </c>
      <c r="E35" s="190" t="str">
        <f>IF(ISERROR(INDEX('contents 추가정보'!$C:$C,MATCH(DATE(YEAR(followers!$H$1),'일일 업로드 현황'!$B$32,'일일 업로드 현황'!E33),'contents 추가정보'!$F:$F,0)))=TRUE,"",INDEX('contents 추가정보'!$C:$C,MATCH(DATE(YEAR(followers!$H$1),'일일 업로드 현황'!$B$32,'일일 업로드 현황'!E33),'contents 추가정보'!$F:$F,0)))</f>
        <v/>
      </c>
      <c r="F35" s="190" t="str">
        <f>IF(ISERROR(INDEX('contents 추가정보'!$C:$C,MATCH(DATE(YEAR(followers!$H$1),'일일 업로드 현황'!$B$32,'일일 업로드 현황'!F33),'contents 추가정보'!$F:$F,0)))=TRUE,"",INDEX('contents 추가정보'!$C:$C,MATCH(DATE(YEAR(followers!$H$1),'일일 업로드 현황'!$B$32,'일일 업로드 현황'!F33),'contents 추가정보'!$F:$F,0)))</f>
        <v/>
      </c>
      <c r="G35" s="190" t="str">
        <f>IF(ISERROR(INDEX('contents 추가정보'!$C:$C,MATCH(DATE(YEAR(followers!$H$1),'일일 업로드 현황'!$B$32,'일일 업로드 현황'!G33),'contents 추가정보'!$F:$F,0)))=TRUE,"",INDEX('contents 추가정보'!$C:$C,MATCH(DATE(YEAR(followers!$H$1),'일일 업로드 현황'!$B$32,'일일 업로드 현황'!G33),'contents 추가정보'!$F:$F,0)))</f>
        <v/>
      </c>
      <c r="H35" s="190" t="str">
        <f>IF(ISERROR(INDEX('contents 추가정보'!$C:$C,MATCH(DATE(YEAR(followers!$H$1),'일일 업로드 현황'!$B$32,'일일 업로드 현황'!H33),'contents 추가정보'!$F:$F,0)))=TRUE,"",INDEX('contents 추가정보'!$C:$C,MATCH(DATE(YEAR(followers!$H$1),'일일 업로드 현황'!$B$32,'일일 업로드 현황'!H33),'contents 추가정보'!$F:$F,0)))</f>
        <v/>
      </c>
      <c r="I35" s="191" t="str">
        <f>IF(ISERROR(INDEX('contents 추가정보'!$C:$C,MATCH(DATE(YEAR(followers!$H$1),'일일 업로드 현황'!$B$32,'일일 업로드 현황'!I33),'contents 추가정보'!$F:$F,0)))=TRUE,"",INDEX('contents 추가정보'!$C:$C,MATCH(DATE(YEAR(followers!$H$1),'일일 업로드 현황'!$B$32,'일일 업로드 현황'!I33),'contents 추가정보'!$F:$F,0)))</f>
        <v/>
      </c>
    </row>
    <row r="36" spans="2:9">
      <c r="B36" s="187" t="s">
        <v>166</v>
      </c>
      <c r="C36" s="192">
        <f>IF(DAY(EOMONTH(DATE(YEAR(followers!$H$1),'일일 업로드 현황'!$B$32,1),0))='일일 업로드 현황'!I33,"",I33+1)</f>
        <v>4</v>
      </c>
      <c r="D36" s="188">
        <f>IF(C36="","",IF(DAY(EOMONTH(DATE(YEAR(followers!$H$1),'일일 업로드 현황'!$B$32,1),0))='일일 업로드 현황'!C36,"",C36+1))</f>
        <v>5</v>
      </c>
      <c r="E36" s="188">
        <f>IF(D36="","",IF(DAY(EOMONTH(DATE(YEAR(followers!$H$1),'일일 업로드 현황'!$B$32,1),0))='일일 업로드 현황'!D36,"",D36+1))</f>
        <v>6</v>
      </c>
      <c r="F36" s="188">
        <f>IF(E36="","",IF(DAY(EOMONTH(DATE(YEAR(followers!$H$1),'일일 업로드 현황'!$B$32,1),0))='일일 업로드 현황'!E36,"",E36+1))</f>
        <v>7</v>
      </c>
      <c r="G36" s="188">
        <f>IF(F36="","",IF(DAY(EOMONTH(DATE(YEAR(followers!$H$1),'일일 업로드 현황'!$B$32,1),0))='일일 업로드 현황'!F36,"",F36+1))</f>
        <v>8</v>
      </c>
      <c r="H36" s="188">
        <f>IF(G36="","",IF(DAY(EOMONTH(DATE(YEAR(followers!$H$1),'일일 업로드 현황'!$B$32,1),0))='일일 업로드 현황'!G36,"",G36+1))</f>
        <v>9</v>
      </c>
      <c r="I36" s="189">
        <f>IF(H36="","",IF(DAY(EOMONTH(DATE(YEAR(followers!$H$1),'일일 업로드 현황'!$B$32,1),0))='일일 업로드 현황'!H36,"",H36+1))</f>
        <v>10</v>
      </c>
    </row>
    <row r="37" spans="2:9">
      <c r="B37" s="187" t="s">
        <v>110</v>
      </c>
      <c r="C37" s="190" t="str">
        <f>IF(ISERROR(INDEX('contents 추가정보'!$C:$C,MATCH(DATE(YEAR(followers!$H$1),'일일 업로드 현황'!$B$32,'일일 업로드 현황'!C36),'contents 추가정보'!$F:$F,0)))=TRUE,"",INDEX('contents 추가정보'!$C:$C,MATCH(DATE(YEAR(followers!$H$1),'일일 업로드 현황'!$B$32,'일일 업로드 현황'!C36),'contents 추가정보'!$F:$F,0)))</f>
        <v/>
      </c>
      <c r="D37" s="190" t="str">
        <f>IF(ISERROR(INDEX('contents 추가정보'!$C:$C,MATCH(DATE(YEAR(followers!$H$1),'일일 업로드 현황'!$B$32,'일일 업로드 현황'!D36),'contents 추가정보'!$F:$F,0)))=TRUE,"",INDEX('contents 추가정보'!$C:$C,MATCH(DATE(YEAR(followers!$H$1),'일일 업로드 현황'!$B$32,'일일 업로드 현황'!D36),'contents 추가정보'!$F:$F,0)))</f>
        <v/>
      </c>
      <c r="E37" s="190" t="str">
        <f>IF(ISERROR(INDEX('contents 추가정보'!$C:$C,MATCH(DATE(YEAR(followers!$H$1),'일일 업로드 현황'!$B$32,'일일 업로드 현황'!E36),'contents 추가정보'!$F:$F,0)))=TRUE,"",INDEX('contents 추가정보'!$C:$C,MATCH(DATE(YEAR(followers!$H$1),'일일 업로드 현황'!$B$32,'일일 업로드 현황'!E36),'contents 추가정보'!$F:$F,0)))</f>
        <v/>
      </c>
      <c r="F37" s="190" t="str">
        <f>IF(ISERROR(INDEX('contents 추가정보'!$C:$C,MATCH(DATE(YEAR(followers!$H$1),'일일 업로드 현황'!$B$32,'일일 업로드 현황'!F36),'contents 추가정보'!$F:$F,0)))=TRUE,"",INDEX('contents 추가정보'!$C:$C,MATCH(DATE(YEAR(followers!$H$1),'일일 업로드 현황'!$B$32,'일일 업로드 현황'!F36),'contents 추가정보'!$F:$F,0)))</f>
        <v/>
      </c>
      <c r="G37" s="190" t="str">
        <f>IF(ISERROR(INDEX('contents 추가정보'!$C:$C,MATCH(DATE(YEAR(followers!$H$1),'일일 업로드 현황'!$B$32,'일일 업로드 현황'!G36),'contents 추가정보'!$F:$F,0)))=TRUE,"",INDEX('contents 추가정보'!$C:$C,MATCH(DATE(YEAR(followers!$H$1),'일일 업로드 현황'!$B$32,'일일 업로드 현황'!G36),'contents 추가정보'!$F:$F,0)))</f>
        <v/>
      </c>
      <c r="H37" s="190" t="str">
        <f>IF(ISERROR(INDEX('contents 추가정보'!$C:$C,MATCH(DATE(YEAR(followers!$H$1),'일일 업로드 현황'!$B$32,'일일 업로드 현황'!H36),'contents 추가정보'!$F:$F,0)))=TRUE,"",INDEX('contents 추가정보'!$C:$C,MATCH(DATE(YEAR(followers!$H$1),'일일 업로드 현황'!$B$32,'일일 업로드 현황'!H36),'contents 추가정보'!$F:$F,0)))</f>
        <v/>
      </c>
      <c r="I37" s="191" t="str">
        <f>IF(ISERROR(INDEX('contents 추가정보'!$C:$C,MATCH(DATE(YEAR(followers!$H$1),'일일 업로드 현황'!$B$32,'일일 업로드 현황'!I36),'contents 추가정보'!$F:$F,0)))=TRUE,"",INDEX('contents 추가정보'!$C:$C,MATCH(DATE(YEAR(followers!$H$1),'일일 업로드 현황'!$B$32,'일일 업로드 현황'!I36),'contents 추가정보'!$F:$F,0)))</f>
        <v/>
      </c>
    </row>
    <row r="38" spans="2:9">
      <c r="B38" s="187" t="s">
        <v>165</v>
      </c>
      <c r="C38" s="190" t="str">
        <f>IF(ISERROR(INDEX('contents 추가정보'!$C:$C,MATCH(DATE(YEAR(followers!$H$1),'일일 업로드 현황'!$B$32,'일일 업로드 현황'!C36),'contents 추가정보'!$F:$F,0)))=TRUE,"",INDEX('contents 추가정보'!$C:$C,MATCH(DATE(YEAR(followers!$H$1),'일일 업로드 현황'!$B$32,'일일 업로드 현황'!C36),'contents 추가정보'!$F:$F,0)))</f>
        <v/>
      </c>
      <c r="D38" s="190" t="str">
        <f>IF(ISERROR(INDEX('contents 추가정보'!$C:$C,MATCH(DATE(YEAR(followers!$H$1),'일일 업로드 현황'!$B$32,'일일 업로드 현황'!D36),'contents 추가정보'!$F:$F,0)))=TRUE,"",INDEX('contents 추가정보'!$C:$C,MATCH(DATE(YEAR(followers!$H$1),'일일 업로드 현황'!$B$32,'일일 업로드 현황'!D36),'contents 추가정보'!$F:$F,0)))</f>
        <v/>
      </c>
      <c r="E38" s="190" t="str">
        <f>IF(ISERROR(INDEX('contents 추가정보'!$C:$C,MATCH(DATE(YEAR(followers!$H$1),'일일 업로드 현황'!$B$32,'일일 업로드 현황'!E36),'contents 추가정보'!$F:$F,0)))=TRUE,"",INDEX('contents 추가정보'!$C:$C,MATCH(DATE(YEAR(followers!$H$1),'일일 업로드 현황'!$B$32,'일일 업로드 현황'!E36),'contents 추가정보'!$F:$F,0)))</f>
        <v/>
      </c>
      <c r="F38" s="190" t="str">
        <f>IF(ISERROR(INDEX('contents 추가정보'!$C:$C,MATCH(DATE(YEAR(followers!$H$1),'일일 업로드 현황'!$B$32,'일일 업로드 현황'!F36),'contents 추가정보'!$F:$F,0)))=TRUE,"",INDEX('contents 추가정보'!$C:$C,MATCH(DATE(YEAR(followers!$H$1),'일일 업로드 현황'!$B$32,'일일 업로드 현황'!F36),'contents 추가정보'!$F:$F,0)))</f>
        <v/>
      </c>
      <c r="G38" s="190" t="str">
        <f>IF(ISERROR(INDEX('contents 추가정보'!$C:$C,MATCH(DATE(YEAR(followers!$H$1),'일일 업로드 현황'!$B$32,'일일 업로드 현황'!G36),'contents 추가정보'!$F:$F,0)))=TRUE,"",INDEX('contents 추가정보'!$C:$C,MATCH(DATE(YEAR(followers!$H$1),'일일 업로드 현황'!$B$32,'일일 업로드 현황'!G36),'contents 추가정보'!$F:$F,0)))</f>
        <v/>
      </c>
      <c r="H38" s="190" t="str">
        <f>IF(ISERROR(INDEX('contents 추가정보'!$C:$C,MATCH(DATE(YEAR(followers!$H$1),'일일 업로드 현황'!$B$32,'일일 업로드 현황'!H36),'contents 추가정보'!$F:$F,0)))=TRUE,"",INDEX('contents 추가정보'!$C:$C,MATCH(DATE(YEAR(followers!$H$1),'일일 업로드 현황'!$B$32,'일일 업로드 현황'!H36),'contents 추가정보'!$F:$F,0)))</f>
        <v/>
      </c>
      <c r="I38" s="191" t="str">
        <f>IF(ISERROR(INDEX('contents 추가정보'!$C:$C,MATCH(DATE(YEAR(followers!$H$1),'일일 업로드 현황'!$B$32,'일일 업로드 현황'!I36),'contents 추가정보'!$F:$F,0)))=TRUE,"",INDEX('contents 추가정보'!$C:$C,MATCH(DATE(YEAR(followers!$H$1),'일일 업로드 현황'!$B$32,'일일 업로드 현황'!I36),'contents 추가정보'!$F:$F,0)))</f>
        <v/>
      </c>
    </row>
    <row r="39" spans="2:9">
      <c r="B39" s="187" t="s">
        <v>167</v>
      </c>
      <c r="C39" s="192">
        <f>IF(DAY(EOMONTH(DATE(YEAR(followers!$H$1),'일일 업로드 현황'!$B$32,1),0))='일일 업로드 현황'!I36,"",I36+1)</f>
        <v>11</v>
      </c>
      <c r="D39" s="188">
        <f>IF(C39="","",IF(DAY(EOMONTH(DATE(YEAR(followers!$H$1),'일일 업로드 현황'!$B$32,1),0))='일일 업로드 현황'!C39,"",C39+1))</f>
        <v>12</v>
      </c>
      <c r="E39" s="188">
        <f>IF(D39="","",IF(DAY(EOMONTH(DATE(YEAR(followers!$H$1),'일일 업로드 현황'!$B$32,1),0))='일일 업로드 현황'!D39,"",D39+1))</f>
        <v>13</v>
      </c>
      <c r="F39" s="188">
        <f>IF(E39="","",IF(DAY(EOMONTH(DATE(YEAR(followers!$H$1),'일일 업로드 현황'!$B$32,1),0))='일일 업로드 현황'!E39,"",E39+1))</f>
        <v>14</v>
      </c>
      <c r="G39" s="188">
        <f>IF(F39="","",IF(DAY(EOMONTH(DATE(YEAR(followers!$H$1),'일일 업로드 현황'!$B$32,1),0))='일일 업로드 현황'!F39,"",F39+1))</f>
        <v>15</v>
      </c>
      <c r="H39" s="188">
        <f>IF(G39="","",IF(DAY(EOMONTH(DATE(YEAR(followers!$H$1),'일일 업로드 현황'!$B$32,1),0))='일일 업로드 현황'!G39,"",G39+1))</f>
        <v>16</v>
      </c>
      <c r="I39" s="189">
        <f>IF(H39="","",IF(DAY(EOMONTH(DATE(YEAR(followers!$H$1),'일일 업로드 현황'!$B$32,1),0))='일일 업로드 현황'!H39,"",H39+1))</f>
        <v>17</v>
      </c>
    </row>
    <row r="40" spans="2:9">
      <c r="B40" s="187" t="s">
        <v>110</v>
      </c>
      <c r="C40" s="190" t="str">
        <f>IF(ISERROR(INDEX('contents 추가정보'!$C:$C,MATCH(DATE(YEAR(followers!$H$1),'일일 업로드 현황'!$B$32,'일일 업로드 현황'!C39),'contents 추가정보'!$F:$F,0)))=TRUE,"",INDEX('contents 추가정보'!$C:$C,MATCH(DATE(YEAR(followers!$H$1),'일일 업로드 현황'!$B$32,'일일 업로드 현황'!C39),'contents 추가정보'!$F:$F,0)))</f>
        <v/>
      </c>
      <c r="D40" s="190" t="str">
        <f>IF(ISERROR(INDEX('contents 추가정보'!$C:$C,MATCH(DATE(YEAR(followers!$H$1),'일일 업로드 현황'!$B$32,'일일 업로드 현황'!D39),'contents 추가정보'!$F:$F,0)))=TRUE,"",INDEX('contents 추가정보'!$C:$C,MATCH(DATE(YEAR(followers!$H$1),'일일 업로드 현황'!$B$32,'일일 업로드 현황'!D39),'contents 추가정보'!$F:$F,0)))</f>
        <v/>
      </c>
      <c r="E40" s="190" t="str">
        <f>IF(ISERROR(INDEX('contents 추가정보'!$C:$C,MATCH(DATE(YEAR(followers!$H$1),'일일 업로드 현황'!$B$32,'일일 업로드 현황'!E39),'contents 추가정보'!$F:$F,0)))=TRUE,"",INDEX('contents 추가정보'!$C:$C,MATCH(DATE(YEAR(followers!$H$1),'일일 업로드 현황'!$B$32,'일일 업로드 현황'!E39),'contents 추가정보'!$F:$F,0)))</f>
        <v/>
      </c>
      <c r="F40" s="190" t="str">
        <f>IF(ISERROR(INDEX('contents 추가정보'!$C:$C,MATCH(DATE(YEAR(followers!$H$1),'일일 업로드 현황'!$B$32,'일일 업로드 현황'!F39),'contents 추가정보'!$F:$F,0)))=TRUE,"",INDEX('contents 추가정보'!$C:$C,MATCH(DATE(YEAR(followers!$H$1),'일일 업로드 현황'!$B$32,'일일 업로드 현황'!F39),'contents 추가정보'!$F:$F,0)))</f>
        <v/>
      </c>
      <c r="G40" s="190" t="str">
        <f>IF(ISERROR(INDEX('contents 추가정보'!$C:$C,MATCH(DATE(YEAR(followers!$H$1),'일일 업로드 현황'!$B$32,'일일 업로드 현황'!G39),'contents 추가정보'!$F:$F,0)))=TRUE,"",INDEX('contents 추가정보'!$C:$C,MATCH(DATE(YEAR(followers!$H$1),'일일 업로드 현황'!$B$32,'일일 업로드 현황'!G39),'contents 추가정보'!$F:$F,0)))</f>
        <v/>
      </c>
      <c r="H40" s="190" t="str">
        <f>IF(ISERROR(INDEX('contents 추가정보'!$C:$C,MATCH(DATE(YEAR(followers!$H$1),'일일 업로드 현황'!$B$32,'일일 업로드 현황'!H39),'contents 추가정보'!$F:$F,0)))=TRUE,"",INDEX('contents 추가정보'!$C:$C,MATCH(DATE(YEAR(followers!$H$1),'일일 업로드 현황'!$B$32,'일일 업로드 현황'!H39),'contents 추가정보'!$F:$F,0)))</f>
        <v/>
      </c>
      <c r="I40" s="191" t="str">
        <f>IF(ISERROR(INDEX('contents 추가정보'!$C:$C,MATCH(DATE(YEAR(followers!$H$1),'일일 업로드 현황'!$B$32,'일일 업로드 현황'!I39),'contents 추가정보'!$F:$F,0)))=TRUE,"",INDEX('contents 추가정보'!$C:$C,MATCH(DATE(YEAR(followers!$H$1),'일일 업로드 현황'!$B$32,'일일 업로드 현황'!I39),'contents 추가정보'!$F:$F,0)))</f>
        <v/>
      </c>
    </row>
    <row r="41" spans="2:9">
      <c r="B41" s="187" t="s">
        <v>165</v>
      </c>
      <c r="C41" s="190" t="str">
        <f>IF(ISERROR(INDEX('contents 추가정보'!$C:$C,MATCH(DATE(YEAR(followers!$H$1),'일일 업로드 현황'!$B$32,'일일 업로드 현황'!C39),'contents 추가정보'!$F:$F,0)))=TRUE,"",INDEX('contents 추가정보'!$C:$C,MATCH(DATE(YEAR(followers!$H$1),'일일 업로드 현황'!$B$32,'일일 업로드 현황'!C39),'contents 추가정보'!$F:$F,0)))</f>
        <v/>
      </c>
      <c r="D41" s="190" t="str">
        <f>IF(ISERROR(INDEX('contents 추가정보'!$C:$C,MATCH(DATE(YEAR(followers!$H$1),'일일 업로드 현황'!$B$32,'일일 업로드 현황'!D39),'contents 추가정보'!$F:$F,0)))=TRUE,"",INDEX('contents 추가정보'!$C:$C,MATCH(DATE(YEAR(followers!$H$1),'일일 업로드 현황'!$B$32,'일일 업로드 현황'!D39),'contents 추가정보'!$F:$F,0)))</f>
        <v/>
      </c>
      <c r="E41" s="190" t="str">
        <f>IF(ISERROR(INDEX('contents 추가정보'!$C:$C,MATCH(DATE(YEAR(followers!$H$1),'일일 업로드 현황'!$B$32,'일일 업로드 현황'!E39),'contents 추가정보'!$F:$F,0)))=TRUE,"",INDEX('contents 추가정보'!$C:$C,MATCH(DATE(YEAR(followers!$H$1),'일일 업로드 현황'!$B$32,'일일 업로드 현황'!E39),'contents 추가정보'!$F:$F,0)))</f>
        <v/>
      </c>
      <c r="F41" s="190" t="str">
        <f>IF(ISERROR(INDEX('contents 추가정보'!$C:$C,MATCH(DATE(YEAR(followers!$H$1),'일일 업로드 현황'!$B$32,'일일 업로드 현황'!F39),'contents 추가정보'!$F:$F,0)))=TRUE,"",INDEX('contents 추가정보'!$C:$C,MATCH(DATE(YEAR(followers!$H$1),'일일 업로드 현황'!$B$32,'일일 업로드 현황'!F39),'contents 추가정보'!$F:$F,0)))</f>
        <v/>
      </c>
      <c r="G41" s="190" t="str">
        <f>IF(ISERROR(INDEX('contents 추가정보'!$C:$C,MATCH(DATE(YEAR(followers!$H$1),'일일 업로드 현황'!$B$32,'일일 업로드 현황'!G39),'contents 추가정보'!$F:$F,0)))=TRUE,"",INDEX('contents 추가정보'!$C:$C,MATCH(DATE(YEAR(followers!$H$1),'일일 업로드 현황'!$B$32,'일일 업로드 현황'!G39),'contents 추가정보'!$F:$F,0)))</f>
        <v/>
      </c>
      <c r="H41" s="190" t="str">
        <f>IF(ISERROR(INDEX('contents 추가정보'!$C:$C,MATCH(DATE(YEAR(followers!$H$1),'일일 업로드 현황'!$B$32,'일일 업로드 현황'!H39),'contents 추가정보'!$F:$F,0)))=TRUE,"",INDEX('contents 추가정보'!$C:$C,MATCH(DATE(YEAR(followers!$H$1),'일일 업로드 현황'!$B$32,'일일 업로드 현황'!H39),'contents 추가정보'!$F:$F,0)))</f>
        <v/>
      </c>
      <c r="I41" s="191" t="str">
        <f>IF(ISERROR(INDEX('contents 추가정보'!$C:$C,MATCH(DATE(YEAR(followers!$H$1),'일일 업로드 현황'!$B$32,'일일 업로드 현황'!I39),'contents 추가정보'!$F:$F,0)))=TRUE,"",INDEX('contents 추가정보'!$C:$C,MATCH(DATE(YEAR(followers!$H$1),'일일 업로드 현황'!$B$32,'일일 업로드 현황'!I39),'contents 추가정보'!$F:$F,0)))</f>
        <v/>
      </c>
    </row>
    <row r="42" spans="2:9">
      <c r="B42" s="187" t="s">
        <v>168</v>
      </c>
      <c r="C42" s="192">
        <f>IF(DAY(EOMONTH(DATE(YEAR(followers!$H$1),'일일 업로드 현황'!$B$32,1),0))='일일 업로드 현황'!I39,"",I39+1)</f>
        <v>18</v>
      </c>
      <c r="D42" s="188">
        <f>IF(C42="","",IF(DAY(EOMONTH(DATE(YEAR(followers!$H$1),'일일 업로드 현황'!$B$32,1),0))='일일 업로드 현황'!C42,"",C42+1))</f>
        <v>19</v>
      </c>
      <c r="E42" s="188">
        <f>IF(D42="","",IF(DAY(EOMONTH(DATE(YEAR(followers!$H$1),'일일 업로드 현황'!$B$32,1),0))='일일 업로드 현황'!D42,"",D42+1))</f>
        <v>20</v>
      </c>
      <c r="F42" s="188">
        <f>IF(E42="","",IF(DAY(EOMONTH(DATE(YEAR(followers!$H$1),'일일 업로드 현황'!$B$32,1),0))='일일 업로드 현황'!E42,"",E42+1))</f>
        <v>21</v>
      </c>
      <c r="G42" s="188">
        <f>IF(F42="","",IF(DAY(EOMONTH(DATE(YEAR(followers!$H$1),'일일 업로드 현황'!$B$32,1),0))='일일 업로드 현황'!F42,"",F42+1))</f>
        <v>22</v>
      </c>
      <c r="H42" s="188">
        <f>IF(G42="","",IF(DAY(EOMONTH(DATE(YEAR(followers!$H$1),'일일 업로드 현황'!$B$32,1),0))='일일 업로드 현황'!G42,"",G42+1))</f>
        <v>23</v>
      </c>
      <c r="I42" s="189">
        <f>IF(H42="","",IF(DAY(EOMONTH(DATE(YEAR(followers!$H$1),'일일 업로드 현황'!$B$32,1),0))='일일 업로드 현황'!H42,"",H42+1))</f>
        <v>24</v>
      </c>
    </row>
    <row r="43" spans="2:9">
      <c r="B43" s="187" t="s">
        <v>110</v>
      </c>
      <c r="C43" s="190" t="str">
        <f>IF(ISERROR(INDEX('contents 추가정보'!$C:$C,MATCH(DATE(YEAR(followers!$H$1),'일일 업로드 현황'!$B$32,'일일 업로드 현황'!C42),'contents 추가정보'!$F:$F,0)))=TRUE,"",INDEX('contents 추가정보'!$C:$C,MATCH(DATE(YEAR(followers!$H$1),'일일 업로드 현황'!$B$32,'일일 업로드 현황'!C42),'contents 추가정보'!$F:$F,0)))</f>
        <v/>
      </c>
      <c r="D43" s="190" t="str">
        <f>IF(ISERROR(INDEX('contents 추가정보'!$C:$C,MATCH(DATE(YEAR(followers!$H$1),'일일 업로드 현황'!$B$32,'일일 업로드 현황'!D42),'contents 추가정보'!$F:$F,0)))=TRUE,"",INDEX('contents 추가정보'!$C:$C,MATCH(DATE(YEAR(followers!$H$1),'일일 업로드 현황'!$B$32,'일일 업로드 현황'!D42),'contents 추가정보'!$F:$F,0)))</f>
        <v/>
      </c>
      <c r="E43" s="190" t="str">
        <f>IF(ISERROR(INDEX('contents 추가정보'!$C:$C,MATCH(DATE(YEAR(followers!$H$1),'일일 업로드 현황'!$B$32,'일일 업로드 현황'!E42),'contents 추가정보'!$F:$F,0)))=TRUE,"",INDEX('contents 추가정보'!$C:$C,MATCH(DATE(YEAR(followers!$H$1),'일일 업로드 현황'!$B$32,'일일 업로드 현황'!E42),'contents 추가정보'!$F:$F,0)))</f>
        <v/>
      </c>
      <c r="F43" s="190" t="str">
        <f>IF(ISERROR(INDEX('contents 추가정보'!$C:$C,MATCH(DATE(YEAR(followers!$H$1),'일일 업로드 현황'!$B$32,'일일 업로드 현황'!F42),'contents 추가정보'!$F:$F,0)))=TRUE,"",INDEX('contents 추가정보'!$C:$C,MATCH(DATE(YEAR(followers!$H$1),'일일 업로드 현황'!$B$32,'일일 업로드 현황'!F42),'contents 추가정보'!$F:$F,0)))</f>
        <v/>
      </c>
      <c r="G43" s="190" t="str">
        <f>IF(ISERROR(INDEX('contents 추가정보'!$C:$C,MATCH(DATE(YEAR(followers!$H$1),'일일 업로드 현황'!$B$32,'일일 업로드 현황'!G42),'contents 추가정보'!$F:$F,0)))=TRUE,"",INDEX('contents 추가정보'!$C:$C,MATCH(DATE(YEAR(followers!$H$1),'일일 업로드 현황'!$B$32,'일일 업로드 현황'!G42),'contents 추가정보'!$F:$F,0)))</f>
        <v/>
      </c>
      <c r="H43" s="190" t="str">
        <f>IF(ISERROR(INDEX('contents 추가정보'!$C:$C,MATCH(DATE(YEAR(followers!$H$1),'일일 업로드 현황'!$B$32,'일일 업로드 현황'!H42),'contents 추가정보'!$F:$F,0)))=TRUE,"",INDEX('contents 추가정보'!$C:$C,MATCH(DATE(YEAR(followers!$H$1),'일일 업로드 현황'!$B$32,'일일 업로드 현황'!H42),'contents 추가정보'!$F:$F,0)))</f>
        <v/>
      </c>
      <c r="I43" s="191" t="str">
        <f>IF(ISERROR(INDEX('contents 추가정보'!$C:$C,MATCH(DATE(YEAR(followers!$H$1),'일일 업로드 현황'!$B$32,'일일 업로드 현황'!I42),'contents 추가정보'!$F:$F,0)))=TRUE,"",INDEX('contents 추가정보'!$C:$C,MATCH(DATE(YEAR(followers!$H$1),'일일 업로드 현황'!$B$32,'일일 업로드 현황'!I42),'contents 추가정보'!$F:$F,0)))</f>
        <v/>
      </c>
    </row>
    <row r="44" spans="2:9">
      <c r="B44" s="187" t="s">
        <v>165</v>
      </c>
      <c r="C44" s="190" t="str">
        <f>IF(ISERROR(INDEX('contents 추가정보'!$C:$C,MATCH(DATE(YEAR(followers!$H$1),'일일 업로드 현황'!$B$32,'일일 업로드 현황'!C42),'contents 추가정보'!$F:$F,0)))=TRUE,"",INDEX('contents 추가정보'!$C:$C,MATCH(DATE(YEAR(followers!$H$1),'일일 업로드 현황'!$B$32,'일일 업로드 현황'!C42),'contents 추가정보'!$F:$F,0)))</f>
        <v/>
      </c>
      <c r="D44" s="190" t="str">
        <f>IF(ISERROR(INDEX('contents 추가정보'!$C:$C,MATCH(DATE(YEAR(followers!$H$1),'일일 업로드 현황'!$B$32,'일일 업로드 현황'!D42),'contents 추가정보'!$F:$F,0)))=TRUE,"",INDEX('contents 추가정보'!$C:$C,MATCH(DATE(YEAR(followers!$H$1),'일일 업로드 현황'!$B$32,'일일 업로드 현황'!D42),'contents 추가정보'!$F:$F,0)))</f>
        <v/>
      </c>
      <c r="E44" s="190" t="str">
        <f>IF(ISERROR(INDEX('contents 추가정보'!$C:$C,MATCH(DATE(YEAR(followers!$H$1),'일일 업로드 현황'!$B$32,'일일 업로드 현황'!E42),'contents 추가정보'!$F:$F,0)))=TRUE,"",INDEX('contents 추가정보'!$C:$C,MATCH(DATE(YEAR(followers!$H$1),'일일 업로드 현황'!$B$32,'일일 업로드 현황'!E42),'contents 추가정보'!$F:$F,0)))</f>
        <v/>
      </c>
      <c r="F44" s="190" t="str">
        <f>IF(ISERROR(INDEX('contents 추가정보'!$C:$C,MATCH(DATE(YEAR(followers!$H$1),'일일 업로드 현황'!$B$32,'일일 업로드 현황'!F42),'contents 추가정보'!$F:$F,0)))=TRUE,"",INDEX('contents 추가정보'!$C:$C,MATCH(DATE(YEAR(followers!$H$1),'일일 업로드 현황'!$B$32,'일일 업로드 현황'!F42),'contents 추가정보'!$F:$F,0)))</f>
        <v/>
      </c>
      <c r="G44" s="190" t="str">
        <f>IF(ISERROR(INDEX('contents 추가정보'!$C:$C,MATCH(DATE(YEAR(followers!$H$1),'일일 업로드 현황'!$B$32,'일일 업로드 현황'!G42),'contents 추가정보'!$F:$F,0)))=TRUE,"",INDEX('contents 추가정보'!$C:$C,MATCH(DATE(YEAR(followers!$H$1),'일일 업로드 현황'!$B$32,'일일 업로드 현황'!G42),'contents 추가정보'!$F:$F,0)))</f>
        <v/>
      </c>
      <c r="H44" s="190" t="str">
        <f>IF(ISERROR(INDEX('contents 추가정보'!$C:$C,MATCH(DATE(YEAR(followers!$H$1),'일일 업로드 현황'!$B$32,'일일 업로드 현황'!H42),'contents 추가정보'!$F:$F,0)))=TRUE,"",INDEX('contents 추가정보'!$C:$C,MATCH(DATE(YEAR(followers!$H$1),'일일 업로드 현황'!$B$32,'일일 업로드 현황'!H42),'contents 추가정보'!$F:$F,0)))</f>
        <v/>
      </c>
      <c r="I44" s="191" t="str">
        <f>IF(ISERROR(INDEX('contents 추가정보'!$C:$C,MATCH(DATE(YEAR(followers!$H$1),'일일 업로드 현황'!$B$32,'일일 업로드 현황'!I42),'contents 추가정보'!$F:$F,0)))=TRUE,"",INDEX('contents 추가정보'!$C:$C,MATCH(DATE(YEAR(followers!$H$1),'일일 업로드 현황'!$B$32,'일일 업로드 현황'!I42),'contents 추가정보'!$F:$F,0)))</f>
        <v/>
      </c>
    </row>
    <row r="45" spans="2:9">
      <c r="B45" s="187" t="s">
        <v>169</v>
      </c>
      <c r="C45" s="192">
        <f>IF(DAY(EOMONTH(DATE(YEAR(followers!$H$1),'일일 업로드 현황'!$B$32,1),0))='일일 업로드 현황'!I42,"",I42+1)</f>
        <v>25</v>
      </c>
      <c r="D45" s="188">
        <f>IF(C45="","",IF(DAY(EOMONTH(DATE(YEAR(followers!$H$1),'일일 업로드 현황'!$B$32,1),0))='일일 업로드 현황'!C45,"",C45+1))</f>
        <v>26</v>
      </c>
      <c r="E45" s="188">
        <f>IF(D45="","",IF(DAY(EOMONTH(DATE(YEAR(followers!$H$1),'일일 업로드 현황'!$B$32,1),0))='일일 업로드 현황'!D45,"",D45+1))</f>
        <v>27</v>
      </c>
      <c r="F45" s="188">
        <f>IF(E45="","",IF(DAY(EOMONTH(DATE(YEAR(followers!$H$1),'일일 업로드 현황'!$B$32,1),0))='일일 업로드 현황'!E45,"",E45+1))</f>
        <v>28</v>
      </c>
      <c r="G45" s="188">
        <f>IF(F45="","",IF(DAY(EOMONTH(DATE(YEAR(followers!$H$1),'일일 업로드 현황'!$B$32,1),0))='일일 업로드 현황'!F45,"",F45+1))</f>
        <v>29</v>
      </c>
      <c r="H45" s="188">
        <f>IF(G45="","",IF(DAY(EOMONTH(DATE(YEAR(followers!$H$1),'일일 업로드 현황'!$B$32,1),0))='일일 업로드 현황'!G45,"",G45+1))</f>
        <v>30</v>
      </c>
      <c r="I45" s="189">
        <f>IF(H45="","",IF(DAY(EOMONTH(DATE(YEAR(followers!$H$1),'일일 업로드 현황'!$B$32,1),0))='일일 업로드 현황'!H45,"",H45+1))</f>
        <v>31</v>
      </c>
    </row>
    <row r="46" spans="2:9">
      <c r="B46" s="187" t="s">
        <v>110</v>
      </c>
      <c r="C46" s="190" t="str">
        <f>IF(ISERROR(INDEX('contents 추가정보'!$C:$C,MATCH(DATE(YEAR(followers!$H$1),'일일 업로드 현황'!$B$32,'일일 업로드 현황'!C45),'contents 추가정보'!$F:$F,0)))=TRUE,"",INDEX('contents 추가정보'!$C:$C,MATCH(DATE(YEAR(followers!$H$1),'일일 업로드 현황'!$B$32,'일일 업로드 현황'!C45),'contents 추가정보'!$F:$F,0)))</f>
        <v/>
      </c>
      <c r="D46" s="190" t="str">
        <f>IF(ISERROR(INDEX('contents 추가정보'!$C:$C,MATCH(DATE(YEAR(followers!$H$1),'일일 업로드 현황'!$B$32,'일일 업로드 현황'!D45),'contents 추가정보'!$F:$F,0)))=TRUE,"",INDEX('contents 추가정보'!$C:$C,MATCH(DATE(YEAR(followers!$H$1),'일일 업로드 현황'!$B$32,'일일 업로드 현황'!D45),'contents 추가정보'!$F:$F,0)))</f>
        <v/>
      </c>
      <c r="E46" s="190" t="str">
        <f>IF(ISERROR(INDEX('contents 추가정보'!$C:$C,MATCH(DATE(YEAR(followers!$H$1),'일일 업로드 현황'!$B$32,'일일 업로드 현황'!E45),'contents 추가정보'!$F:$F,0)))=TRUE,"",INDEX('contents 추가정보'!$C:$C,MATCH(DATE(YEAR(followers!$H$1),'일일 업로드 현황'!$B$32,'일일 업로드 현황'!E45),'contents 추가정보'!$F:$F,0)))</f>
        <v/>
      </c>
      <c r="F46" s="190" t="str">
        <f>IF(ISERROR(INDEX('contents 추가정보'!$C:$C,MATCH(DATE(YEAR(followers!$H$1),'일일 업로드 현황'!$B$32,'일일 업로드 현황'!F45),'contents 추가정보'!$F:$F,0)))=TRUE,"",INDEX('contents 추가정보'!$C:$C,MATCH(DATE(YEAR(followers!$H$1),'일일 업로드 현황'!$B$32,'일일 업로드 현황'!F45),'contents 추가정보'!$F:$F,0)))</f>
        <v/>
      </c>
      <c r="G46" s="190" t="str">
        <f>IF(ISERROR(INDEX('contents 추가정보'!$C:$C,MATCH(DATE(YEAR(followers!$H$1),'일일 업로드 현황'!$B$32,'일일 업로드 현황'!G45),'contents 추가정보'!$F:$F,0)))=TRUE,"",INDEX('contents 추가정보'!$C:$C,MATCH(DATE(YEAR(followers!$H$1),'일일 업로드 현황'!$B$32,'일일 업로드 현황'!G45),'contents 추가정보'!$F:$F,0)))</f>
        <v/>
      </c>
      <c r="H46" s="190" t="str">
        <f>IF(ISERROR(INDEX('contents 추가정보'!$C:$C,MATCH(DATE(YEAR(followers!$H$1),'일일 업로드 현황'!$B$32,'일일 업로드 현황'!H45),'contents 추가정보'!$F:$F,0)))=TRUE,"",INDEX('contents 추가정보'!$C:$C,MATCH(DATE(YEAR(followers!$H$1),'일일 업로드 현황'!$B$32,'일일 업로드 현황'!H45),'contents 추가정보'!$F:$F,0)))</f>
        <v/>
      </c>
      <c r="I46" s="191" t="str">
        <f>IF(ISERROR(INDEX('contents 추가정보'!$C:$C,MATCH(DATE(YEAR(followers!$H$1),'일일 업로드 현황'!$B$32,'일일 업로드 현황'!I45),'contents 추가정보'!$F:$F,0)))=TRUE,"",INDEX('contents 추가정보'!$C:$C,MATCH(DATE(YEAR(followers!$H$1),'일일 업로드 현황'!$B$32,'일일 업로드 현황'!I45),'contents 추가정보'!$F:$F,0)))</f>
        <v/>
      </c>
    </row>
    <row r="47" spans="2:9">
      <c r="B47" s="187" t="s">
        <v>165</v>
      </c>
      <c r="C47" s="190" t="str">
        <f>IF(ISERROR(INDEX('contents 추가정보'!$C:$C,MATCH(DATE(YEAR(followers!$H$1),'일일 업로드 현황'!$B$32,'일일 업로드 현황'!C45),'contents 추가정보'!$F:$F,0)))=TRUE,"",INDEX('contents 추가정보'!$C:$C,MATCH(DATE(YEAR(followers!$H$1),'일일 업로드 현황'!$B$32,'일일 업로드 현황'!C45),'contents 추가정보'!$F:$F,0)))</f>
        <v/>
      </c>
      <c r="D47" s="190" t="str">
        <f>IF(ISERROR(INDEX('contents 추가정보'!$C:$C,MATCH(DATE(YEAR(followers!$H$1),'일일 업로드 현황'!$B$32,'일일 업로드 현황'!D45),'contents 추가정보'!$F:$F,0)))=TRUE,"",INDEX('contents 추가정보'!$C:$C,MATCH(DATE(YEAR(followers!$H$1),'일일 업로드 현황'!$B$32,'일일 업로드 현황'!D45),'contents 추가정보'!$F:$F,0)))</f>
        <v/>
      </c>
      <c r="E47" s="190" t="str">
        <f>IF(ISERROR(INDEX('contents 추가정보'!$C:$C,MATCH(DATE(YEAR(followers!$H$1),'일일 업로드 현황'!$B$32,'일일 업로드 현황'!E45),'contents 추가정보'!$F:$F,0)))=TRUE,"",INDEX('contents 추가정보'!$C:$C,MATCH(DATE(YEAR(followers!$H$1),'일일 업로드 현황'!$B$32,'일일 업로드 현황'!E45),'contents 추가정보'!$F:$F,0)))</f>
        <v/>
      </c>
      <c r="F47" s="190" t="str">
        <f>IF(ISERROR(INDEX('contents 추가정보'!$C:$C,MATCH(DATE(YEAR(followers!$H$1),'일일 업로드 현황'!$B$32,'일일 업로드 현황'!F45),'contents 추가정보'!$F:$F,0)))=TRUE,"",INDEX('contents 추가정보'!$C:$C,MATCH(DATE(YEAR(followers!$H$1),'일일 업로드 현황'!$B$32,'일일 업로드 현황'!F45),'contents 추가정보'!$F:$F,0)))</f>
        <v/>
      </c>
      <c r="G47" s="190" t="str">
        <f>IF(ISERROR(INDEX('contents 추가정보'!$C:$C,MATCH(DATE(YEAR(followers!$H$1),'일일 업로드 현황'!$B$32,'일일 업로드 현황'!G45),'contents 추가정보'!$F:$F,0)))=TRUE,"",INDEX('contents 추가정보'!$C:$C,MATCH(DATE(YEAR(followers!$H$1),'일일 업로드 현황'!$B$32,'일일 업로드 현황'!G45),'contents 추가정보'!$F:$F,0)))</f>
        <v/>
      </c>
      <c r="H47" s="190" t="str">
        <f>IF(ISERROR(INDEX('contents 추가정보'!$C:$C,MATCH(DATE(YEAR(followers!$H$1),'일일 업로드 현황'!$B$32,'일일 업로드 현황'!H45),'contents 추가정보'!$F:$F,0)))=TRUE,"",INDEX('contents 추가정보'!$C:$C,MATCH(DATE(YEAR(followers!$H$1),'일일 업로드 현황'!$B$32,'일일 업로드 현황'!H45),'contents 추가정보'!$F:$F,0)))</f>
        <v/>
      </c>
      <c r="I47" s="191" t="str">
        <f>IF(ISERROR(INDEX('contents 추가정보'!$C:$C,MATCH(DATE(YEAR(followers!$H$1),'일일 업로드 현황'!$B$32,'일일 업로드 현황'!I45),'contents 추가정보'!$F:$F,0)))=TRUE,"",INDEX('contents 추가정보'!$C:$C,MATCH(DATE(YEAR(followers!$H$1),'일일 업로드 현황'!$B$32,'일일 업로드 현황'!I45),'contents 추가정보'!$F:$F,0)))</f>
        <v/>
      </c>
    </row>
    <row r="48" spans="2:9">
      <c r="B48" s="187" t="s">
        <v>171</v>
      </c>
      <c r="C48" s="192" t="str">
        <f>IF(I45="","",IF(DAY(EOMONTH(DATE(YEAR(followers!$H$1),'일일 업로드 현황'!$B$32,1),0))='일일 업로드 현황'!I45,"",I45+1))</f>
        <v/>
      </c>
      <c r="D48" s="188" t="str">
        <f>IF(C48="","",IF(DAY(EOMONTH(DATE(YEAR(followers!$H$1),'일일 업로드 현황'!$B$32,1),0))='일일 업로드 현황'!C48,"",C48+1))</f>
        <v/>
      </c>
      <c r="E48" s="188" t="str">
        <f>IF(D48="","",IF(DAY(EOMONTH(DATE(YEAR(followers!$H$1),'일일 업로드 현황'!$B$32,1),0))='일일 업로드 현황'!D48,"",D48+1))</f>
        <v/>
      </c>
      <c r="F48" s="188" t="str">
        <f>IF(E48="","",IF(DAY(EOMONTH(DATE(YEAR(followers!$H$1),'일일 업로드 현황'!$B$32,1),0))='일일 업로드 현황'!E48,"",E48+1))</f>
        <v/>
      </c>
      <c r="G48" s="188" t="str">
        <f>IF(F48="","",IF(DAY(EOMONTH(DATE(YEAR(followers!$H$1),'일일 업로드 현황'!$B$32,1),0))='일일 업로드 현황'!F48,"",F48+1))</f>
        <v/>
      </c>
      <c r="H48" s="188" t="str">
        <f>IF(G48="","",IF(DAY(EOMONTH(DATE(YEAR(followers!$H$1),'일일 업로드 현황'!$B$32,1),0))='일일 업로드 현황'!G48,"",G48+1))</f>
        <v/>
      </c>
      <c r="I48" s="189" t="str">
        <f>IF(H48="","",IF(DAY(EOMONTH(DATE(YEAR(followers!$H$1),'일일 업로드 현황'!$B$32,1),0))='일일 업로드 현황'!H48,"",H48+1))</f>
        <v/>
      </c>
    </row>
    <row r="49" spans="2:9">
      <c r="B49" s="187" t="s">
        <v>110</v>
      </c>
      <c r="C49" s="190" t="str">
        <f>IF(ISERROR(INDEX('contents 추가정보'!$C:$C,MATCH(DATE(YEAR(followers!$H$1),'일일 업로드 현황'!$B$32,'일일 업로드 현황'!C48),'contents 추가정보'!$F:$F,0)))=TRUE,"",INDEX('contents 추가정보'!$C:$C,MATCH(DATE(YEAR(followers!$H$1),'일일 업로드 현황'!$B$32,'일일 업로드 현황'!C48),'contents 추가정보'!$F:$F,0)))</f>
        <v/>
      </c>
      <c r="D49" s="190" t="str">
        <f>IF(ISERROR(INDEX('contents 추가정보'!$C:$C,MATCH(DATE(YEAR(followers!$H$1),'일일 업로드 현황'!$B$32,'일일 업로드 현황'!D48),'contents 추가정보'!$F:$F,0)))=TRUE,"",INDEX('contents 추가정보'!$C:$C,MATCH(DATE(YEAR(followers!$H$1),'일일 업로드 현황'!$B$32,'일일 업로드 현황'!D48),'contents 추가정보'!$F:$F,0)))</f>
        <v/>
      </c>
      <c r="E49" s="190" t="str">
        <f>IF(ISERROR(INDEX('contents 추가정보'!$C:$C,MATCH(DATE(YEAR(followers!$H$1),'일일 업로드 현황'!$B$32,'일일 업로드 현황'!E48),'contents 추가정보'!$F:$F,0)))=TRUE,"",INDEX('contents 추가정보'!$C:$C,MATCH(DATE(YEAR(followers!$H$1),'일일 업로드 현황'!$B$32,'일일 업로드 현황'!E48),'contents 추가정보'!$F:$F,0)))</f>
        <v/>
      </c>
      <c r="F49" s="190" t="str">
        <f>IF(ISERROR(INDEX('contents 추가정보'!$C:$C,MATCH(DATE(YEAR(followers!$H$1),'일일 업로드 현황'!$B$32,'일일 업로드 현황'!F48),'contents 추가정보'!$F:$F,0)))=TRUE,"",INDEX('contents 추가정보'!$C:$C,MATCH(DATE(YEAR(followers!$H$1),'일일 업로드 현황'!$B$32,'일일 업로드 현황'!F48),'contents 추가정보'!$F:$F,0)))</f>
        <v/>
      </c>
      <c r="G49" s="190" t="str">
        <f>IF(ISERROR(INDEX('contents 추가정보'!$C:$C,MATCH(DATE(YEAR(followers!$H$1),'일일 업로드 현황'!$B$32,'일일 업로드 현황'!G48),'contents 추가정보'!$F:$F,0)))=TRUE,"",INDEX('contents 추가정보'!$C:$C,MATCH(DATE(YEAR(followers!$H$1),'일일 업로드 현황'!$B$32,'일일 업로드 현황'!G48),'contents 추가정보'!$F:$F,0)))</f>
        <v/>
      </c>
      <c r="H49" s="190" t="str">
        <f>IF(ISERROR(INDEX('contents 추가정보'!$C:$C,MATCH(DATE(YEAR(followers!$H$1),'일일 업로드 현황'!$B$32,'일일 업로드 현황'!H48),'contents 추가정보'!$F:$F,0)))=TRUE,"",INDEX('contents 추가정보'!$C:$C,MATCH(DATE(YEAR(followers!$H$1),'일일 업로드 현황'!$B$32,'일일 업로드 현황'!H48),'contents 추가정보'!$F:$F,0)))</f>
        <v/>
      </c>
      <c r="I49" s="191" t="str">
        <f>IF(ISERROR(INDEX('contents 추가정보'!$C:$C,MATCH(DATE(YEAR(followers!$H$1),'일일 업로드 현황'!$B$32,'일일 업로드 현황'!I48),'contents 추가정보'!$F:$F,0)))=TRUE,"",INDEX('contents 추가정보'!$C:$C,MATCH(DATE(YEAR(followers!$H$1),'일일 업로드 현황'!$B$32,'일일 업로드 현황'!I48),'contents 추가정보'!$F:$F,0)))</f>
        <v/>
      </c>
    </row>
    <row r="50" spans="2:9" ht="17.25" thickBot="1">
      <c r="B50" s="193" t="s">
        <v>165</v>
      </c>
      <c r="C50" s="194" t="str">
        <f>IF(ISERROR(INDEX('contents 추가정보'!$C:$C,MATCH(DATE(YEAR(followers!$H$1),'일일 업로드 현황'!$B$32,'일일 업로드 현황'!C48),'contents 추가정보'!$F:$F,0)))=TRUE,"",INDEX('contents 추가정보'!$C:$C,MATCH(DATE(YEAR(followers!$H$1),'일일 업로드 현황'!$B$32,'일일 업로드 현황'!C48),'contents 추가정보'!$F:$F,0)))</f>
        <v/>
      </c>
      <c r="D50" s="194" t="str">
        <f>IF(ISERROR(INDEX('contents 추가정보'!$C:$C,MATCH(DATE(YEAR(followers!$H$1),'일일 업로드 현황'!$B$32,'일일 업로드 현황'!D48),'contents 추가정보'!$F:$F,0)))=TRUE,"",INDEX('contents 추가정보'!$C:$C,MATCH(DATE(YEAR(followers!$H$1),'일일 업로드 현황'!$B$32,'일일 업로드 현황'!D48),'contents 추가정보'!$F:$F,0)))</f>
        <v/>
      </c>
      <c r="E50" s="194" t="str">
        <f>IF(ISERROR(INDEX('contents 추가정보'!$C:$C,MATCH(DATE(YEAR(followers!$H$1),'일일 업로드 현황'!$B$32,'일일 업로드 현황'!E48),'contents 추가정보'!$F:$F,0)))=TRUE,"",INDEX('contents 추가정보'!$C:$C,MATCH(DATE(YEAR(followers!$H$1),'일일 업로드 현황'!$B$32,'일일 업로드 현황'!E48),'contents 추가정보'!$F:$F,0)))</f>
        <v/>
      </c>
      <c r="F50" s="194" t="str">
        <f>IF(ISERROR(INDEX('contents 추가정보'!$C:$C,MATCH(DATE(YEAR(followers!$H$1),'일일 업로드 현황'!$B$32,'일일 업로드 현황'!F48),'contents 추가정보'!$F:$F,0)))=TRUE,"",INDEX('contents 추가정보'!$C:$C,MATCH(DATE(YEAR(followers!$H$1),'일일 업로드 현황'!$B$32,'일일 업로드 현황'!F48),'contents 추가정보'!$F:$F,0)))</f>
        <v/>
      </c>
      <c r="G50" s="194" t="str">
        <f>IF(ISERROR(INDEX('contents 추가정보'!$C:$C,MATCH(DATE(YEAR(followers!$H$1),'일일 업로드 현황'!$B$32,'일일 업로드 현황'!G48),'contents 추가정보'!$F:$F,0)))=TRUE,"",INDEX('contents 추가정보'!$C:$C,MATCH(DATE(YEAR(followers!$H$1),'일일 업로드 현황'!$B$32,'일일 업로드 현황'!G48),'contents 추가정보'!$F:$F,0)))</f>
        <v/>
      </c>
      <c r="H50" s="194" t="str">
        <f>IF(ISERROR(INDEX('contents 추가정보'!$C:$C,MATCH(DATE(YEAR(followers!$H$1),'일일 업로드 현황'!$B$32,'일일 업로드 현황'!H48),'contents 추가정보'!$F:$F,0)))=TRUE,"",INDEX('contents 추가정보'!$C:$C,MATCH(DATE(YEAR(followers!$H$1),'일일 업로드 현황'!$B$32,'일일 업로드 현황'!H48),'contents 추가정보'!$F:$F,0)))</f>
        <v/>
      </c>
      <c r="I50" s="195" t="str">
        <f>IF(ISERROR(INDEX('contents 추가정보'!$C:$C,MATCH(DATE(YEAR(followers!$H$1),'일일 업로드 현황'!$B$32,'일일 업로드 현황'!I48),'contents 추가정보'!$F:$F,0)))=TRUE,"",INDEX('contents 추가정보'!$C:$C,MATCH(DATE(YEAR(followers!$H$1),'일일 업로드 현황'!$B$32,'일일 업로드 현황'!I48),'contents 추가정보'!$F:$F,0)))</f>
        <v/>
      </c>
    </row>
  </sheetData>
  <phoneticPr fontId="2" type="noConversion"/>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F334-426E-4671-9AA3-DB6DCF8D7842}">
  <sheetPr codeName="Sheet22">
    <tabColor theme="7" tint="0.79998168889431442"/>
  </sheetPr>
  <dimension ref="A1:AT93"/>
  <sheetViews>
    <sheetView workbookViewId="0">
      <selection sqref="A1:B1"/>
    </sheetView>
  </sheetViews>
  <sheetFormatPr defaultRowHeight="16.5"/>
  <cols>
    <col min="1" max="2" width="9" style="2"/>
    <col min="3" max="3" width="85" style="2" customWidth="1"/>
    <col min="4" max="4" width="12" style="202" customWidth="1"/>
    <col min="5" max="40" width="9" style="2"/>
    <col min="46" max="46" width="9" style="9"/>
  </cols>
  <sheetData>
    <row r="1" spans="1:46">
      <c r="A1" s="2" t="s">
        <v>500</v>
      </c>
      <c r="B1" s="2" t="s">
        <v>501</v>
      </c>
      <c r="C1" s="2" t="s">
        <v>502</v>
      </c>
      <c r="D1" s="202" t="s">
        <v>503</v>
      </c>
      <c r="E1" s="2" t="s">
        <v>504</v>
      </c>
      <c r="F1" s="2" t="s">
        <v>505</v>
      </c>
      <c r="G1" s="2" t="s">
        <v>494</v>
      </c>
      <c r="H1" s="2" t="s">
        <v>506</v>
      </c>
      <c r="I1" s="2" t="s">
        <v>507</v>
      </c>
      <c r="J1" s="2" t="s">
        <v>508</v>
      </c>
      <c r="K1" s="2" t="s">
        <v>509</v>
      </c>
      <c r="L1" s="2" t="s">
        <v>510</v>
      </c>
      <c r="M1" s="2" t="s">
        <v>511</v>
      </c>
      <c r="N1" s="2" t="s">
        <v>512</v>
      </c>
      <c r="O1" s="2" t="s">
        <v>513</v>
      </c>
      <c r="P1" s="2" t="s">
        <v>514</v>
      </c>
      <c r="Q1" s="2" t="s">
        <v>515</v>
      </c>
      <c r="R1" s="2" t="s">
        <v>516</v>
      </c>
      <c r="S1" s="2" t="s">
        <v>517</v>
      </c>
      <c r="T1" s="2" t="s">
        <v>518</v>
      </c>
      <c r="U1" s="2" t="s">
        <v>519</v>
      </c>
      <c r="V1" s="2" t="s">
        <v>520</v>
      </c>
      <c r="W1" s="2" t="s">
        <v>521</v>
      </c>
      <c r="X1" s="2" t="s">
        <v>522</v>
      </c>
      <c r="Y1" s="2" t="s">
        <v>523</v>
      </c>
      <c r="Z1" s="2" t="s">
        <v>524</v>
      </c>
      <c r="AA1" s="2" t="s">
        <v>525</v>
      </c>
      <c r="AB1" s="2" t="s">
        <v>526</v>
      </c>
      <c r="AC1" s="2" t="s">
        <v>527</v>
      </c>
      <c r="AD1" s="2" t="s">
        <v>528</v>
      </c>
      <c r="AE1" s="2" t="s">
        <v>529</v>
      </c>
      <c r="AF1" s="2" t="s">
        <v>530</v>
      </c>
      <c r="AG1" s="2" t="s">
        <v>531</v>
      </c>
      <c r="AH1" s="2" t="s">
        <v>532</v>
      </c>
      <c r="AI1" s="2" t="s">
        <v>533</v>
      </c>
      <c r="AJ1" s="2" t="s">
        <v>534</v>
      </c>
      <c r="AK1" s="2" t="s">
        <v>535</v>
      </c>
      <c r="AL1" s="2" t="s">
        <v>536</v>
      </c>
      <c r="AM1" s="2" t="s">
        <v>537</v>
      </c>
      <c r="AN1" s="2" t="s">
        <v>538</v>
      </c>
      <c r="AT1" s="9" t="s">
        <v>649</v>
      </c>
    </row>
    <row r="2" spans="1:46">
      <c r="A2" s="2">
        <v>1.7965044004096125E+18</v>
      </c>
      <c r="B2" s="2" t="s">
        <v>539</v>
      </c>
      <c r="C2" s="2" t="s">
        <v>540</v>
      </c>
      <c r="D2" s="202">
        <v>45443.854166666664</v>
      </c>
      <c r="E2" s="2">
        <v>407</v>
      </c>
      <c r="F2" s="2">
        <v>10</v>
      </c>
      <c r="G2" s="2">
        <v>2.4570024570024569E-2</v>
      </c>
      <c r="H2" s="2">
        <v>0</v>
      </c>
      <c r="I2" s="2">
        <v>0</v>
      </c>
      <c r="J2" s="2">
        <v>2</v>
      </c>
      <c r="K2" s="2">
        <v>1</v>
      </c>
      <c r="L2" s="2">
        <v>0</v>
      </c>
      <c r="M2" s="2">
        <v>1</v>
      </c>
      <c r="N2" s="2">
        <v>0</v>
      </c>
      <c r="O2" s="2">
        <v>0</v>
      </c>
      <c r="P2" s="2">
        <v>0</v>
      </c>
      <c r="Q2" s="2">
        <v>0</v>
      </c>
      <c r="R2" s="2">
        <v>0</v>
      </c>
      <c r="S2" s="2">
        <v>0</v>
      </c>
      <c r="T2" s="2">
        <v>0</v>
      </c>
      <c r="U2" s="2">
        <v>76</v>
      </c>
      <c r="V2" s="2">
        <v>6</v>
      </c>
      <c r="W2" s="2" t="s">
        <v>541</v>
      </c>
      <c r="X2" s="2" t="s">
        <v>541</v>
      </c>
      <c r="Y2" s="2" t="s">
        <v>541</v>
      </c>
      <c r="Z2" s="2" t="s">
        <v>541</v>
      </c>
      <c r="AA2" s="2" t="s">
        <v>541</v>
      </c>
      <c r="AB2" s="2" t="s">
        <v>541</v>
      </c>
      <c r="AC2" s="2" t="s">
        <v>541</v>
      </c>
      <c r="AD2" s="2" t="s">
        <v>541</v>
      </c>
      <c r="AE2" s="2" t="s">
        <v>541</v>
      </c>
      <c r="AF2" s="2" t="s">
        <v>541</v>
      </c>
      <c r="AG2" s="2" t="s">
        <v>541</v>
      </c>
      <c r="AH2" s="2" t="s">
        <v>541</v>
      </c>
      <c r="AI2" s="2" t="s">
        <v>541</v>
      </c>
      <c r="AJ2" s="2" t="s">
        <v>541</v>
      </c>
      <c r="AK2" s="2" t="s">
        <v>541</v>
      </c>
      <c r="AL2" s="2" t="s">
        <v>541</v>
      </c>
      <c r="AM2" s="2" t="s">
        <v>541</v>
      </c>
      <c r="AN2" s="2" t="s">
        <v>541</v>
      </c>
      <c r="AT2" s="9">
        <f>IF(F2="","",RANK(F2,F:F)+COUNTIF($F$1:F1,F2))</f>
        <v>15</v>
      </c>
    </row>
    <row r="3" spans="1:46">
      <c r="A3" s="2">
        <v>1.7964741983044613E+18</v>
      </c>
      <c r="B3" s="2" t="s">
        <v>542</v>
      </c>
      <c r="C3" s="2" t="s">
        <v>543</v>
      </c>
      <c r="D3" s="202">
        <v>45443.770833333336</v>
      </c>
      <c r="E3" s="2">
        <v>351</v>
      </c>
      <c r="F3" s="2">
        <v>7</v>
      </c>
      <c r="G3" s="2">
        <v>1.9943019943019943E-2</v>
      </c>
      <c r="H3" s="2">
        <v>0</v>
      </c>
      <c r="I3" s="2">
        <v>0</v>
      </c>
      <c r="J3" s="2">
        <v>1</v>
      </c>
      <c r="K3" s="2">
        <v>0</v>
      </c>
      <c r="L3" s="2">
        <v>4</v>
      </c>
      <c r="M3" s="2">
        <v>1</v>
      </c>
      <c r="N3" s="2">
        <v>1</v>
      </c>
      <c r="O3" s="2">
        <v>0</v>
      </c>
      <c r="P3" s="2">
        <v>0</v>
      </c>
      <c r="Q3" s="2">
        <v>0</v>
      </c>
      <c r="R3" s="2">
        <v>0</v>
      </c>
      <c r="S3" s="2">
        <v>0</v>
      </c>
      <c r="T3" s="2">
        <v>0</v>
      </c>
      <c r="U3" s="2">
        <v>0</v>
      </c>
      <c r="V3" s="2">
        <v>0</v>
      </c>
      <c r="W3" s="2" t="s">
        <v>541</v>
      </c>
      <c r="X3" s="2" t="s">
        <v>541</v>
      </c>
      <c r="Y3" s="2" t="s">
        <v>541</v>
      </c>
      <c r="Z3" s="2" t="s">
        <v>541</v>
      </c>
      <c r="AA3" s="2" t="s">
        <v>541</v>
      </c>
      <c r="AB3" s="2" t="s">
        <v>541</v>
      </c>
      <c r="AC3" s="2" t="s">
        <v>541</v>
      </c>
      <c r="AD3" s="2" t="s">
        <v>541</v>
      </c>
      <c r="AE3" s="2" t="s">
        <v>541</v>
      </c>
      <c r="AF3" s="2" t="s">
        <v>541</v>
      </c>
      <c r="AG3" s="2" t="s">
        <v>541</v>
      </c>
      <c r="AH3" s="2" t="s">
        <v>541</v>
      </c>
      <c r="AI3" s="2" t="s">
        <v>541</v>
      </c>
      <c r="AJ3" s="2" t="s">
        <v>541</v>
      </c>
      <c r="AK3" s="2" t="s">
        <v>541</v>
      </c>
      <c r="AL3" s="2" t="s">
        <v>541</v>
      </c>
      <c r="AM3" s="2" t="s">
        <v>541</v>
      </c>
      <c r="AN3" s="2" t="s">
        <v>541</v>
      </c>
      <c r="AT3" s="9">
        <f>IF(F3="","",RANK(F3,F:F)+COUNTIF($F$1:F2,F3))</f>
        <v>25</v>
      </c>
    </row>
    <row r="4" spans="1:46">
      <c r="A4" s="2">
        <v>1.7961420085596163E+18</v>
      </c>
      <c r="B4" s="2" t="s">
        <v>544</v>
      </c>
      <c r="C4" s="2" t="s">
        <v>545</v>
      </c>
      <c r="D4" s="202">
        <v>45442.854166666664</v>
      </c>
      <c r="E4" s="2">
        <v>395</v>
      </c>
      <c r="F4" s="2">
        <v>6</v>
      </c>
      <c r="G4" s="2">
        <v>1.5189873417721518E-2</v>
      </c>
      <c r="H4" s="2">
        <v>0</v>
      </c>
      <c r="I4" s="2">
        <v>0</v>
      </c>
      <c r="J4" s="2">
        <v>2</v>
      </c>
      <c r="K4" s="2">
        <v>1</v>
      </c>
      <c r="L4" s="2">
        <v>0</v>
      </c>
      <c r="M4" s="2">
        <v>1</v>
      </c>
      <c r="N4" s="2">
        <v>0</v>
      </c>
      <c r="O4" s="2">
        <v>0</v>
      </c>
      <c r="P4" s="2">
        <v>0</v>
      </c>
      <c r="Q4" s="2">
        <v>0</v>
      </c>
      <c r="R4" s="2">
        <v>0</v>
      </c>
      <c r="S4" s="2">
        <v>0</v>
      </c>
      <c r="T4" s="2">
        <v>0</v>
      </c>
      <c r="U4" s="2">
        <v>2</v>
      </c>
      <c r="V4" s="2">
        <v>2</v>
      </c>
      <c r="W4" s="2" t="s">
        <v>541</v>
      </c>
      <c r="X4" s="2" t="s">
        <v>541</v>
      </c>
      <c r="Y4" s="2" t="s">
        <v>541</v>
      </c>
      <c r="Z4" s="2" t="s">
        <v>541</v>
      </c>
      <c r="AA4" s="2" t="s">
        <v>541</v>
      </c>
      <c r="AB4" s="2" t="s">
        <v>541</v>
      </c>
      <c r="AC4" s="2" t="s">
        <v>541</v>
      </c>
      <c r="AD4" s="2" t="s">
        <v>541</v>
      </c>
      <c r="AE4" s="2" t="s">
        <v>541</v>
      </c>
      <c r="AF4" s="2" t="s">
        <v>541</v>
      </c>
      <c r="AG4" s="2" t="s">
        <v>541</v>
      </c>
      <c r="AH4" s="2" t="s">
        <v>541</v>
      </c>
      <c r="AI4" s="2" t="s">
        <v>541</v>
      </c>
      <c r="AJ4" s="2" t="s">
        <v>541</v>
      </c>
      <c r="AK4" s="2" t="s">
        <v>541</v>
      </c>
      <c r="AL4" s="2" t="s">
        <v>541</v>
      </c>
      <c r="AM4" s="2" t="s">
        <v>541</v>
      </c>
      <c r="AN4" s="2" t="s">
        <v>541</v>
      </c>
      <c r="AT4" s="9">
        <f>IF(F4="","",RANK(F4,F:F)+COUNTIF($F$1:F3,F4))</f>
        <v>30</v>
      </c>
    </row>
    <row r="5" spans="1:46">
      <c r="A5" s="2">
        <v>1.7961269122443144E+18</v>
      </c>
      <c r="B5" s="2" t="s">
        <v>546</v>
      </c>
      <c r="C5" s="2" t="s">
        <v>547</v>
      </c>
      <c r="D5" s="202">
        <v>45442.8125</v>
      </c>
      <c r="E5" s="2">
        <v>628</v>
      </c>
      <c r="F5" s="2">
        <v>16</v>
      </c>
      <c r="G5" s="2">
        <v>2.5477707006369428E-2</v>
      </c>
      <c r="H5" s="2">
        <v>1</v>
      </c>
      <c r="I5" s="2">
        <v>0</v>
      </c>
      <c r="J5" s="2">
        <v>6</v>
      </c>
      <c r="K5" s="2">
        <v>2</v>
      </c>
      <c r="L5" s="2">
        <v>0</v>
      </c>
      <c r="M5" s="2">
        <v>2</v>
      </c>
      <c r="N5" s="2">
        <v>0</v>
      </c>
      <c r="O5" s="2">
        <v>0</v>
      </c>
      <c r="P5" s="2">
        <v>0</v>
      </c>
      <c r="Q5" s="2">
        <v>0</v>
      </c>
      <c r="R5" s="2">
        <v>0</v>
      </c>
      <c r="S5" s="2">
        <v>0</v>
      </c>
      <c r="T5" s="2">
        <v>0</v>
      </c>
      <c r="U5" s="2">
        <v>117</v>
      </c>
      <c r="V5" s="2">
        <v>5</v>
      </c>
      <c r="W5" s="2" t="s">
        <v>541</v>
      </c>
      <c r="X5" s="2" t="s">
        <v>541</v>
      </c>
      <c r="Y5" s="2" t="s">
        <v>541</v>
      </c>
      <c r="Z5" s="2" t="s">
        <v>541</v>
      </c>
      <c r="AA5" s="2" t="s">
        <v>541</v>
      </c>
      <c r="AB5" s="2" t="s">
        <v>541</v>
      </c>
      <c r="AC5" s="2" t="s">
        <v>541</v>
      </c>
      <c r="AD5" s="2" t="s">
        <v>541</v>
      </c>
      <c r="AE5" s="2" t="s">
        <v>541</v>
      </c>
      <c r="AF5" s="2" t="s">
        <v>541</v>
      </c>
      <c r="AG5" s="2" t="s">
        <v>541</v>
      </c>
      <c r="AH5" s="2" t="s">
        <v>541</v>
      </c>
      <c r="AI5" s="2" t="s">
        <v>541</v>
      </c>
      <c r="AJ5" s="2" t="s">
        <v>541</v>
      </c>
      <c r="AK5" s="2" t="s">
        <v>541</v>
      </c>
      <c r="AL5" s="2" t="s">
        <v>541</v>
      </c>
      <c r="AM5" s="2" t="s">
        <v>541</v>
      </c>
      <c r="AN5" s="2" t="s">
        <v>541</v>
      </c>
      <c r="AT5" s="9">
        <f>IF(F5="","",RANK(F5,F:F)+COUNTIF($F$1:F4,F5))</f>
        <v>6</v>
      </c>
    </row>
    <row r="6" spans="1:46">
      <c r="A6" s="2">
        <v>1.7961122013185805E+18</v>
      </c>
      <c r="B6" s="2" t="s">
        <v>548</v>
      </c>
      <c r="C6" s="2" t="s">
        <v>549</v>
      </c>
      <c r="D6" s="202">
        <v>45442.771527777775</v>
      </c>
      <c r="E6" s="2">
        <v>311</v>
      </c>
      <c r="F6" s="2">
        <v>6</v>
      </c>
      <c r="G6" s="2">
        <v>1.9292604501607719E-2</v>
      </c>
      <c r="H6" s="2">
        <v>0</v>
      </c>
      <c r="I6" s="2">
        <v>0</v>
      </c>
      <c r="J6" s="2">
        <v>3</v>
      </c>
      <c r="K6" s="2">
        <v>0</v>
      </c>
      <c r="L6" s="2">
        <v>1</v>
      </c>
      <c r="M6" s="2">
        <v>0</v>
      </c>
      <c r="N6" s="2">
        <v>2</v>
      </c>
      <c r="O6" s="2">
        <v>0</v>
      </c>
      <c r="P6" s="2">
        <v>0</v>
      </c>
      <c r="Q6" s="2">
        <v>0</v>
      </c>
      <c r="R6" s="2">
        <v>0</v>
      </c>
      <c r="S6" s="2">
        <v>0</v>
      </c>
      <c r="T6" s="2">
        <v>0</v>
      </c>
      <c r="U6" s="2">
        <v>0</v>
      </c>
      <c r="V6" s="2">
        <v>0</v>
      </c>
      <c r="W6" s="2" t="s">
        <v>541</v>
      </c>
      <c r="X6" s="2" t="s">
        <v>541</v>
      </c>
      <c r="Y6" s="2" t="s">
        <v>541</v>
      </c>
      <c r="Z6" s="2" t="s">
        <v>541</v>
      </c>
      <c r="AA6" s="2" t="s">
        <v>541</v>
      </c>
      <c r="AB6" s="2" t="s">
        <v>541</v>
      </c>
      <c r="AC6" s="2" t="s">
        <v>541</v>
      </c>
      <c r="AD6" s="2" t="s">
        <v>541</v>
      </c>
      <c r="AE6" s="2" t="s">
        <v>541</v>
      </c>
      <c r="AF6" s="2" t="s">
        <v>541</v>
      </c>
      <c r="AG6" s="2" t="s">
        <v>541</v>
      </c>
      <c r="AH6" s="2" t="s">
        <v>541</v>
      </c>
      <c r="AI6" s="2" t="s">
        <v>541</v>
      </c>
      <c r="AJ6" s="2" t="s">
        <v>541</v>
      </c>
      <c r="AK6" s="2" t="s">
        <v>541</v>
      </c>
      <c r="AL6" s="2" t="s">
        <v>541</v>
      </c>
      <c r="AM6" s="2" t="s">
        <v>541</v>
      </c>
      <c r="AN6" s="2" t="s">
        <v>541</v>
      </c>
      <c r="AT6" s="9">
        <f>IF(F6="","",RANK(F6,F:F)+COUNTIF($F$1:F5,F6))</f>
        <v>31</v>
      </c>
    </row>
    <row r="7" spans="1:46">
      <c r="A7" s="2">
        <v>1.7957871840055951E+18</v>
      </c>
      <c r="B7" s="2" t="s">
        <v>550</v>
      </c>
      <c r="C7" s="2" t="s">
        <v>551</v>
      </c>
      <c r="D7" s="202">
        <v>45441.875</v>
      </c>
      <c r="E7" s="2">
        <v>273</v>
      </c>
      <c r="F7" s="2">
        <v>6</v>
      </c>
      <c r="G7" s="2">
        <v>2.197802197802198E-2</v>
      </c>
      <c r="H7" s="2">
        <v>0</v>
      </c>
      <c r="I7" s="2">
        <v>0</v>
      </c>
      <c r="J7" s="2">
        <v>1</v>
      </c>
      <c r="K7" s="2">
        <v>0</v>
      </c>
      <c r="L7" s="2">
        <v>0</v>
      </c>
      <c r="M7" s="2">
        <v>1</v>
      </c>
      <c r="N7" s="2">
        <v>2</v>
      </c>
      <c r="O7" s="2">
        <v>0</v>
      </c>
      <c r="P7" s="2">
        <v>0</v>
      </c>
      <c r="Q7" s="2">
        <v>0</v>
      </c>
      <c r="R7" s="2">
        <v>0</v>
      </c>
      <c r="S7" s="2">
        <v>0</v>
      </c>
      <c r="T7" s="2">
        <v>0</v>
      </c>
      <c r="U7" s="2">
        <v>38</v>
      </c>
      <c r="V7" s="2">
        <v>2</v>
      </c>
      <c r="W7" s="2" t="s">
        <v>541</v>
      </c>
      <c r="X7" s="2" t="s">
        <v>541</v>
      </c>
      <c r="Y7" s="2" t="s">
        <v>541</v>
      </c>
      <c r="Z7" s="2" t="s">
        <v>541</v>
      </c>
      <c r="AA7" s="2" t="s">
        <v>541</v>
      </c>
      <c r="AB7" s="2" t="s">
        <v>541</v>
      </c>
      <c r="AC7" s="2" t="s">
        <v>541</v>
      </c>
      <c r="AD7" s="2" t="s">
        <v>541</v>
      </c>
      <c r="AE7" s="2" t="s">
        <v>541</v>
      </c>
      <c r="AF7" s="2" t="s">
        <v>541</v>
      </c>
      <c r="AG7" s="2" t="s">
        <v>541</v>
      </c>
      <c r="AH7" s="2" t="s">
        <v>541</v>
      </c>
      <c r="AI7" s="2" t="s">
        <v>541</v>
      </c>
      <c r="AJ7" s="2" t="s">
        <v>541</v>
      </c>
      <c r="AK7" s="2" t="s">
        <v>541</v>
      </c>
      <c r="AL7" s="2" t="s">
        <v>541</v>
      </c>
      <c r="AM7" s="2" t="s">
        <v>541</v>
      </c>
      <c r="AN7" s="2" t="s">
        <v>541</v>
      </c>
      <c r="AT7" s="9">
        <f>IF(F7="","",RANK(F7,F:F)+COUNTIF($F$1:F6,F7))</f>
        <v>32</v>
      </c>
    </row>
    <row r="8" spans="1:46">
      <c r="A8" s="2">
        <v>1.7957343249620462E+18</v>
      </c>
      <c r="B8" s="2" t="s">
        <v>552</v>
      </c>
      <c r="C8" s="2" t="s">
        <v>553</v>
      </c>
      <c r="D8" s="202">
        <v>45441.729166666664</v>
      </c>
      <c r="E8" s="2">
        <v>499</v>
      </c>
      <c r="F8" s="2">
        <v>10</v>
      </c>
      <c r="G8" s="2">
        <v>2.004008016032064E-2</v>
      </c>
      <c r="H8" s="2">
        <v>0</v>
      </c>
      <c r="I8" s="2">
        <v>0</v>
      </c>
      <c r="J8" s="2">
        <v>5</v>
      </c>
      <c r="K8" s="2">
        <v>2</v>
      </c>
      <c r="L8" s="2">
        <v>0</v>
      </c>
      <c r="M8" s="2">
        <v>0</v>
      </c>
      <c r="N8" s="2">
        <v>3</v>
      </c>
      <c r="O8" s="2">
        <v>0</v>
      </c>
      <c r="P8" s="2">
        <v>0</v>
      </c>
      <c r="Q8" s="2">
        <v>0</v>
      </c>
      <c r="R8" s="2">
        <v>0</v>
      </c>
      <c r="S8" s="2">
        <v>0</v>
      </c>
      <c r="T8" s="2">
        <v>0</v>
      </c>
      <c r="U8" s="2">
        <v>0</v>
      </c>
      <c r="V8" s="2">
        <v>0</v>
      </c>
      <c r="W8" s="2" t="s">
        <v>541</v>
      </c>
      <c r="X8" s="2" t="s">
        <v>541</v>
      </c>
      <c r="Y8" s="2" t="s">
        <v>541</v>
      </c>
      <c r="Z8" s="2" t="s">
        <v>541</v>
      </c>
      <c r="AA8" s="2" t="s">
        <v>541</v>
      </c>
      <c r="AB8" s="2" t="s">
        <v>541</v>
      </c>
      <c r="AC8" s="2" t="s">
        <v>541</v>
      </c>
      <c r="AD8" s="2" t="s">
        <v>541</v>
      </c>
      <c r="AE8" s="2" t="s">
        <v>541</v>
      </c>
      <c r="AF8" s="2" t="s">
        <v>541</v>
      </c>
      <c r="AG8" s="2" t="s">
        <v>541</v>
      </c>
      <c r="AH8" s="2" t="s">
        <v>541</v>
      </c>
      <c r="AI8" s="2" t="s">
        <v>541</v>
      </c>
      <c r="AJ8" s="2" t="s">
        <v>541</v>
      </c>
      <c r="AK8" s="2" t="s">
        <v>541</v>
      </c>
      <c r="AL8" s="2" t="s">
        <v>541</v>
      </c>
      <c r="AM8" s="2" t="s">
        <v>541</v>
      </c>
      <c r="AN8" s="2" t="s">
        <v>541</v>
      </c>
      <c r="AT8" s="9">
        <f>IF(F8="","",RANK(F8,F:F)+COUNTIF($F$1:F7,F8))</f>
        <v>16</v>
      </c>
    </row>
    <row r="9" spans="1:46">
      <c r="A9" s="2">
        <v>1.7954474336334113E+18</v>
      </c>
      <c r="B9" s="2" t="s">
        <v>554</v>
      </c>
      <c r="C9" s="2" t="s">
        <v>555</v>
      </c>
      <c r="D9" s="202">
        <v>45440.9375</v>
      </c>
      <c r="E9" s="2">
        <v>307</v>
      </c>
      <c r="F9" s="2">
        <v>5</v>
      </c>
      <c r="G9" s="2">
        <v>1.6286644951140065E-2</v>
      </c>
      <c r="H9" s="2">
        <v>0</v>
      </c>
      <c r="I9" s="2">
        <v>0</v>
      </c>
      <c r="J9" s="2">
        <v>2</v>
      </c>
      <c r="K9" s="2">
        <v>0</v>
      </c>
      <c r="L9" s="2">
        <v>0</v>
      </c>
      <c r="M9" s="2">
        <v>0</v>
      </c>
      <c r="N9" s="2">
        <v>0</v>
      </c>
      <c r="O9" s="2">
        <v>0</v>
      </c>
      <c r="P9" s="2">
        <v>0</v>
      </c>
      <c r="Q9" s="2">
        <v>0</v>
      </c>
      <c r="R9" s="2">
        <v>0</v>
      </c>
      <c r="S9" s="2">
        <v>0</v>
      </c>
      <c r="T9" s="2">
        <v>0</v>
      </c>
      <c r="U9" s="2">
        <v>49</v>
      </c>
      <c r="V9" s="2">
        <v>3</v>
      </c>
      <c r="W9" s="2" t="s">
        <v>541</v>
      </c>
      <c r="X9" s="2" t="s">
        <v>541</v>
      </c>
      <c r="Y9" s="2" t="s">
        <v>541</v>
      </c>
      <c r="Z9" s="2" t="s">
        <v>541</v>
      </c>
      <c r="AA9" s="2" t="s">
        <v>541</v>
      </c>
      <c r="AB9" s="2" t="s">
        <v>541</v>
      </c>
      <c r="AC9" s="2" t="s">
        <v>541</v>
      </c>
      <c r="AD9" s="2" t="s">
        <v>541</v>
      </c>
      <c r="AE9" s="2" t="s">
        <v>541</v>
      </c>
      <c r="AF9" s="2" t="s">
        <v>541</v>
      </c>
      <c r="AG9" s="2" t="s">
        <v>541</v>
      </c>
      <c r="AH9" s="2" t="s">
        <v>541</v>
      </c>
      <c r="AI9" s="2" t="s">
        <v>541</v>
      </c>
      <c r="AJ9" s="2" t="s">
        <v>541</v>
      </c>
      <c r="AK9" s="2" t="s">
        <v>541</v>
      </c>
      <c r="AL9" s="2" t="s">
        <v>541</v>
      </c>
      <c r="AM9" s="2" t="s">
        <v>541</v>
      </c>
      <c r="AN9" s="2" t="s">
        <v>541</v>
      </c>
      <c r="AT9" s="9">
        <f>IF(F9="","",RANK(F9,F:F)+COUNTIF($F$1:F8,F9))</f>
        <v>37</v>
      </c>
    </row>
    <row r="10" spans="1:46">
      <c r="A10" s="2">
        <v>1.7954172347830277E+18</v>
      </c>
      <c r="B10" s="2" t="s">
        <v>556</v>
      </c>
      <c r="C10" s="2" t="s">
        <v>557</v>
      </c>
      <c r="D10" s="202">
        <v>45440.854166666664</v>
      </c>
      <c r="E10" s="2">
        <v>2674</v>
      </c>
      <c r="F10" s="2">
        <v>30</v>
      </c>
      <c r="G10" s="2">
        <v>1.1219147344801795E-2</v>
      </c>
      <c r="H10" s="2">
        <v>0</v>
      </c>
      <c r="I10" s="2">
        <v>0</v>
      </c>
      <c r="J10" s="2">
        <v>0</v>
      </c>
      <c r="K10" s="2">
        <v>4</v>
      </c>
      <c r="L10" s="2">
        <v>0</v>
      </c>
      <c r="M10" s="2">
        <v>0</v>
      </c>
      <c r="N10" s="2">
        <v>10</v>
      </c>
      <c r="O10" s="2">
        <v>0</v>
      </c>
      <c r="P10" s="2">
        <v>0</v>
      </c>
      <c r="Q10" s="2">
        <v>0</v>
      </c>
      <c r="R10" s="2">
        <v>1</v>
      </c>
      <c r="S10" s="2">
        <v>0</v>
      </c>
      <c r="T10" s="2">
        <v>0</v>
      </c>
      <c r="U10" s="2">
        <v>450</v>
      </c>
      <c r="V10" s="2">
        <v>15</v>
      </c>
      <c r="W10" s="2" t="s">
        <v>558</v>
      </c>
      <c r="X10" s="2" t="s">
        <v>559</v>
      </c>
      <c r="Y10" s="2" t="s">
        <v>560</v>
      </c>
      <c r="Z10" s="2" t="s">
        <v>561</v>
      </c>
      <c r="AA10" s="2" t="s">
        <v>562</v>
      </c>
      <c r="AB10" s="2" t="s">
        <v>563</v>
      </c>
      <c r="AC10" s="2" t="s">
        <v>564</v>
      </c>
      <c r="AD10" s="2" t="s">
        <v>562</v>
      </c>
      <c r="AE10" s="2" t="s">
        <v>565</v>
      </c>
      <c r="AF10" s="2" t="s">
        <v>566</v>
      </c>
      <c r="AG10" s="2" t="s">
        <v>562</v>
      </c>
      <c r="AH10" s="2" t="s">
        <v>567</v>
      </c>
      <c r="AI10" s="2" t="s">
        <v>567</v>
      </c>
      <c r="AJ10" s="2" t="s">
        <v>568</v>
      </c>
      <c r="AK10" s="2" t="s">
        <v>567</v>
      </c>
      <c r="AL10" s="2" t="s">
        <v>567</v>
      </c>
      <c r="AM10" s="2" t="s">
        <v>569</v>
      </c>
      <c r="AN10" s="2" t="s">
        <v>570</v>
      </c>
      <c r="AT10" s="9">
        <f>IF(F10="","",RANK(F10,F:F)+COUNTIF($F$1:F9,F10))</f>
        <v>3</v>
      </c>
    </row>
    <row r="11" spans="1:46">
      <c r="A11" s="2">
        <v>1.795014993500373E+18</v>
      </c>
      <c r="B11" s="2" t="s">
        <v>571</v>
      </c>
      <c r="C11" s="2" t="s">
        <v>572</v>
      </c>
      <c r="D11" s="202">
        <v>45439.743750000001</v>
      </c>
      <c r="E11" s="2">
        <v>483</v>
      </c>
      <c r="F11" s="2">
        <v>8</v>
      </c>
      <c r="G11" s="2">
        <v>1.6563146997929608E-2</v>
      </c>
      <c r="H11" s="2">
        <v>0</v>
      </c>
      <c r="I11" s="2">
        <v>0</v>
      </c>
      <c r="J11" s="2">
        <v>5</v>
      </c>
      <c r="K11" s="2">
        <v>1</v>
      </c>
      <c r="L11" s="2">
        <v>0</v>
      </c>
      <c r="M11" s="2">
        <v>0</v>
      </c>
      <c r="N11" s="2">
        <v>1</v>
      </c>
      <c r="O11" s="2">
        <v>0</v>
      </c>
      <c r="P11" s="2">
        <v>0</v>
      </c>
      <c r="Q11" s="2">
        <v>0</v>
      </c>
      <c r="R11" s="2">
        <v>0</v>
      </c>
      <c r="S11" s="2">
        <v>0</v>
      </c>
      <c r="T11" s="2">
        <v>0</v>
      </c>
      <c r="U11" s="2">
        <v>1</v>
      </c>
      <c r="V11" s="2">
        <v>1</v>
      </c>
      <c r="W11" s="2" t="s">
        <v>541</v>
      </c>
      <c r="X11" s="2" t="s">
        <v>541</v>
      </c>
      <c r="Y11" s="2" t="s">
        <v>541</v>
      </c>
      <c r="Z11" s="2" t="s">
        <v>541</v>
      </c>
      <c r="AA11" s="2" t="s">
        <v>541</v>
      </c>
      <c r="AB11" s="2" t="s">
        <v>541</v>
      </c>
      <c r="AC11" s="2" t="s">
        <v>541</v>
      </c>
      <c r="AD11" s="2" t="s">
        <v>541</v>
      </c>
      <c r="AE11" s="2" t="s">
        <v>541</v>
      </c>
      <c r="AF11" s="2" t="s">
        <v>541</v>
      </c>
      <c r="AG11" s="2" t="s">
        <v>541</v>
      </c>
      <c r="AH11" s="2" t="s">
        <v>541</v>
      </c>
      <c r="AI11" s="2" t="s">
        <v>541</v>
      </c>
      <c r="AJ11" s="2" t="s">
        <v>541</v>
      </c>
      <c r="AK11" s="2" t="s">
        <v>541</v>
      </c>
      <c r="AL11" s="2" t="s">
        <v>541</v>
      </c>
      <c r="AM11" s="2" t="s">
        <v>541</v>
      </c>
      <c r="AN11" s="2" t="s">
        <v>541</v>
      </c>
      <c r="AT11" s="9">
        <f>IF(F11="","",RANK(F11,F:F)+COUNTIF($F$1:F10,F11))</f>
        <v>22</v>
      </c>
    </row>
    <row r="12" spans="1:46">
      <c r="A12" s="2">
        <v>1.7939985393051402E+18</v>
      </c>
      <c r="B12" s="2" t="s">
        <v>573</v>
      </c>
      <c r="C12" s="2" t="s">
        <v>574</v>
      </c>
      <c r="D12" s="202">
        <v>45436.938888888886</v>
      </c>
      <c r="E12" s="2">
        <v>314</v>
      </c>
      <c r="F12" s="2">
        <v>4</v>
      </c>
      <c r="G12" s="2">
        <v>1.2738853503184714E-2</v>
      </c>
      <c r="H12" s="2">
        <v>0</v>
      </c>
      <c r="I12" s="2">
        <v>0</v>
      </c>
      <c r="J12" s="2">
        <v>2</v>
      </c>
      <c r="K12" s="2">
        <v>0</v>
      </c>
      <c r="L12" s="2">
        <v>0</v>
      </c>
      <c r="M12" s="2">
        <v>0</v>
      </c>
      <c r="N12" s="2">
        <v>0</v>
      </c>
      <c r="O12" s="2">
        <v>0</v>
      </c>
      <c r="P12" s="2">
        <v>0</v>
      </c>
      <c r="Q12" s="2">
        <v>0</v>
      </c>
      <c r="R12" s="2">
        <v>0</v>
      </c>
      <c r="S12" s="2">
        <v>0</v>
      </c>
      <c r="T12" s="2">
        <v>0</v>
      </c>
      <c r="U12" s="2">
        <v>0</v>
      </c>
      <c r="V12" s="2">
        <v>0</v>
      </c>
      <c r="W12" s="2" t="s">
        <v>541</v>
      </c>
      <c r="X12" s="2" t="s">
        <v>541</v>
      </c>
      <c r="Y12" s="2" t="s">
        <v>541</v>
      </c>
      <c r="Z12" s="2" t="s">
        <v>541</v>
      </c>
      <c r="AA12" s="2" t="s">
        <v>541</v>
      </c>
      <c r="AB12" s="2" t="s">
        <v>541</v>
      </c>
      <c r="AC12" s="2" t="s">
        <v>541</v>
      </c>
      <c r="AD12" s="2" t="s">
        <v>541</v>
      </c>
      <c r="AE12" s="2" t="s">
        <v>541</v>
      </c>
      <c r="AF12" s="2" t="s">
        <v>541</v>
      </c>
      <c r="AG12" s="2" t="s">
        <v>541</v>
      </c>
      <c r="AH12" s="2" t="s">
        <v>541</v>
      </c>
      <c r="AI12" s="2" t="s">
        <v>541</v>
      </c>
      <c r="AJ12" s="2" t="s">
        <v>541</v>
      </c>
      <c r="AK12" s="2" t="s">
        <v>541</v>
      </c>
      <c r="AL12" s="2" t="s">
        <v>541</v>
      </c>
      <c r="AM12" s="2" t="s">
        <v>541</v>
      </c>
      <c r="AN12" s="2" t="s">
        <v>541</v>
      </c>
      <c r="AT12" s="9">
        <f>IF(F12="","",RANK(F12,F:F)+COUNTIF($F$1:F11,F12))</f>
        <v>41</v>
      </c>
    </row>
    <row r="13" spans="1:46">
      <c r="A13" s="2">
        <v>1.7939676813196657E+18</v>
      </c>
      <c r="B13" s="2" t="s">
        <v>575</v>
      </c>
      <c r="C13" s="2" t="s">
        <v>576</v>
      </c>
      <c r="D13" s="202">
        <v>45436.854166666664</v>
      </c>
      <c r="E13" s="2">
        <v>329</v>
      </c>
      <c r="F13" s="2">
        <v>7</v>
      </c>
      <c r="G13" s="2">
        <v>2.1276595744680851E-2</v>
      </c>
      <c r="H13" s="2">
        <v>0</v>
      </c>
      <c r="I13" s="2">
        <v>0</v>
      </c>
      <c r="J13" s="2">
        <v>4</v>
      </c>
      <c r="K13" s="2">
        <v>1</v>
      </c>
      <c r="L13" s="2">
        <v>0</v>
      </c>
      <c r="M13" s="2">
        <v>0</v>
      </c>
      <c r="N13" s="2">
        <v>0</v>
      </c>
      <c r="O13" s="2">
        <v>0</v>
      </c>
      <c r="P13" s="2">
        <v>0</v>
      </c>
      <c r="Q13" s="2">
        <v>0</v>
      </c>
      <c r="R13" s="2">
        <v>0</v>
      </c>
      <c r="S13" s="2">
        <v>0</v>
      </c>
      <c r="T13" s="2">
        <v>0</v>
      </c>
      <c r="U13" s="2">
        <v>2</v>
      </c>
      <c r="V13" s="2">
        <v>2</v>
      </c>
      <c r="W13" s="2" t="s">
        <v>541</v>
      </c>
      <c r="X13" s="2" t="s">
        <v>541</v>
      </c>
      <c r="Y13" s="2" t="s">
        <v>541</v>
      </c>
      <c r="Z13" s="2" t="s">
        <v>541</v>
      </c>
      <c r="AA13" s="2" t="s">
        <v>541</v>
      </c>
      <c r="AB13" s="2" t="s">
        <v>541</v>
      </c>
      <c r="AC13" s="2" t="s">
        <v>541</v>
      </c>
      <c r="AD13" s="2" t="s">
        <v>541</v>
      </c>
      <c r="AE13" s="2" t="s">
        <v>541</v>
      </c>
      <c r="AF13" s="2" t="s">
        <v>541</v>
      </c>
      <c r="AG13" s="2" t="s">
        <v>541</v>
      </c>
      <c r="AH13" s="2" t="s">
        <v>541</v>
      </c>
      <c r="AI13" s="2" t="s">
        <v>541</v>
      </c>
      <c r="AJ13" s="2" t="s">
        <v>541</v>
      </c>
      <c r="AK13" s="2" t="s">
        <v>541</v>
      </c>
      <c r="AL13" s="2" t="s">
        <v>541</v>
      </c>
      <c r="AM13" s="2" t="s">
        <v>541</v>
      </c>
      <c r="AN13" s="2" t="s">
        <v>541</v>
      </c>
      <c r="AT13" s="9">
        <f>IF(F13="","",RANK(F13,F:F)+COUNTIF($F$1:F12,F13))</f>
        <v>26</v>
      </c>
    </row>
    <row r="14" spans="1:46">
      <c r="A14" s="2">
        <v>1.7936052966668861E+18</v>
      </c>
      <c r="B14" s="2" t="s">
        <v>577</v>
      </c>
      <c r="C14" s="2" t="s">
        <v>578</v>
      </c>
      <c r="D14" s="202">
        <v>45435.854166666664</v>
      </c>
      <c r="E14" s="2">
        <v>406</v>
      </c>
      <c r="F14" s="2">
        <v>12</v>
      </c>
      <c r="G14" s="2">
        <v>2.9556650246305417E-2</v>
      </c>
      <c r="H14" s="2">
        <v>0</v>
      </c>
      <c r="I14" s="2">
        <v>0</v>
      </c>
      <c r="J14" s="2">
        <v>6</v>
      </c>
      <c r="K14" s="2">
        <v>0</v>
      </c>
      <c r="L14" s="2">
        <v>0</v>
      </c>
      <c r="M14" s="2">
        <v>0</v>
      </c>
      <c r="N14" s="2">
        <v>0</v>
      </c>
      <c r="O14" s="2">
        <v>0</v>
      </c>
      <c r="P14" s="2">
        <v>0</v>
      </c>
      <c r="Q14" s="2">
        <v>0</v>
      </c>
      <c r="R14" s="2">
        <v>0</v>
      </c>
      <c r="S14" s="2">
        <v>0</v>
      </c>
      <c r="T14" s="2">
        <v>0</v>
      </c>
      <c r="U14" s="2">
        <v>6</v>
      </c>
      <c r="V14" s="2">
        <v>6</v>
      </c>
      <c r="W14" s="2" t="s">
        <v>541</v>
      </c>
      <c r="X14" s="2" t="s">
        <v>541</v>
      </c>
      <c r="Y14" s="2" t="s">
        <v>541</v>
      </c>
      <c r="Z14" s="2" t="s">
        <v>541</v>
      </c>
      <c r="AA14" s="2" t="s">
        <v>541</v>
      </c>
      <c r="AB14" s="2" t="s">
        <v>541</v>
      </c>
      <c r="AC14" s="2" t="s">
        <v>541</v>
      </c>
      <c r="AD14" s="2" t="s">
        <v>541</v>
      </c>
      <c r="AE14" s="2" t="s">
        <v>541</v>
      </c>
      <c r="AF14" s="2" t="s">
        <v>541</v>
      </c>
      <c r="AG14" s="2" t="s">
        <v>541</v>
      </c>
      <c r="AH14" s="2" t="s">
        <v>541</v>
      </c>
      <c r="AI14" s="2" t="s">
        <v>541</v>
      </c>
      <c r="AJ14" s="2" t="s">
        <v>541</v>
      </c>
      <c r="AK14" s="2" t="s">
        <v>541</v>
      </c>
      <c r="AL14" s="2" t="s">
        <v>541</v>
      </c>
      <c r="AM14" s="2" t="s">
        <v>541</v>
      </c>
      <c r="AN14" s="2" t="s">
        <v>541</v>
      </c>
      <c r="AT14" s="9">
        <f>IF(F14="","",RANK(F14,F:F)+COUNTIF($F$1:F13,F14))</f>
        <v>12</v>
      </c>
    </row>
    <row r="15" spans="1:46">
      <c r="A15" s="2">
        <v>1.7932445834236275E+18</v>
      </c>
      <c r="B15" s="2" t="s">
        <v>579</v>
      </c>
      <c r="C15" s="2" t="s">
        <v>580</v>
      </c>
      <c r="D15" s="202">
        <v>45434.85833333333</v>
      </c>
      <c r="E15" s="2">
        <v>367</v>
      </c>
      <c r="F15" s="2">
        <v>10</v>
      </c>
      <c r="G15" s="2">
        <v>2.7247956403269755E-2</v>
      </c>
      <c r="H15" s="2">
        <v>0</v>
      </c>
      <c r="I15" s="2">
        <v>0</v>
      </c>
      <c r="J15" s="2">
        <v>3</v>
      </c>
      <c r="K15" s="2">
        <v>2</v>
      </c>
      <c r="L15" s="2">
        <v>0</v>
      </c>
      <c r="M15" s="2">
        <v>1</v>
      </c>
      <c r="N15" s="2">
        <v>0</v>
      </c>
      <c r="O15" s="2">
        <v>0</v>
      </c>
      <c r="P15" s="2">
        <v>0</v>
      </c>
      <c r="Q15" s="2">
        <v>0</v>
      </c>
      <c r="R15" s="2">
        <v>0</v>
      </c>
      <c r="S15" s="2">
        <v>0</v>
      </c>
      <c r="T15" s="2">
        <v>0</v>
      </c>
      <c r="U15" s="2">
        <v>4</v>
      </c>
      <c r="V15" s="2">
        <v>4</v>
      </c>
      <c r="W15" s="2" t="s">
        <v>541</v>
      </c>
      <c r="X15" s="2" t="s">
        <v>541</v>
      </c>
      <c r="Y15" s="2" t="s">
        <v>541</v>
      </c>
      <c r="Z15" s="2" t="s">
        <v>541</v>
      </c>
      <c r="AA15" s="2" t="s">
        <v>541</v>
      </c>
      <c r="AB15" s="2" t="s">
        <v>541</v>
      </c>
      <c r="AC15" s="2" t="s">
        <v>541</v>
      </c>
      <c r="AD15" s="2" t="s">
        <v>541</v>
      </c>
      <c r="AE15" s="2" t="s">
        <v>541</v>
      </c>
      <c r="AF15" s="2" t="s">
        <v>541</v>
      </c>
      <c r="AG15" s="2" t="s">
        <v>541</v>
      </c>
      <c r="AH15" s="2" t="s">
        <v>541</v>
      </c>
      <c r="AI15" s="2" t="s">
        <v>541</v>
      </c>
      <c r="AJ15" s="2" t="s">
        <v>541</v>
      </c>
      <c r="AK15" s="2" t="s">
        <v>541</v>
      </c>
      <c r="AL15" s="2" t="s">
        <v>541</v>
      </c>
      <c r="AM15" s="2" t="s">
        <v>541</v>
      </c>
      <c r="AN15" s="2" t="s">
        <v>541</v>
      </c>
      <c r="AT15" s="9">
        <f>IF(F15="","",RANK(F15,F:F)+COUNTIF($F$1:F14,F15))</f>
        <v>17</v>
      </c>
    </row>
    <row r="16" spans="1:46">
      <c r="A16" s="2">
        <v>1.7932444431492301E+18</v>
      </c>
      <c r="B16" s="2" t="s">
        <v>581</v>
      </c>
      <c r="C16" s="2" t="s">
        <v>582</v>
      </c>
      <c r="D16" s="202">
        <v>45434.85833333333</v>
      </c>
      <c r="E16" s="2">
        <v>274</v>
      </c>
      <c r="F16" s="2">
        <v>8</v>
      </c>
      <c r="G16" s="2">
        <v>2.9197080291970802E-2</v>
      </c>
      <c r="H16" s="2">
        <v>0</v>
      </c>
      <c r="I16" s="2">
        <v>0</v>
      </c>
      <c r="J16" s="2">
        <v>3</v>
      </c>
      <c r="K16" s="2">
        <v>0</v>
      </c>
      <c r="L16" s="2">
        <v>0</v>
      </c>
      <c r="M16" s="2">
        <v>2</v>
      </c>
      <c r="N16" s="2">
        <v>0</v>
      </c>
      <c r="O16" s="2">
        <v>0</v>
      </c>
      <c r="P16" s="2">
        <v>0</v>
      </c>
      <c r="Q16" s="2">
        <v>0</v>
      </c>
      <c r="R16" s="2">
        <v>0</v>
      </c>
      <c r="S16" s="2">
        <v>0</v>
      </c>
      <c r="T16" s="2">
        <v>0</v>
      </c>
      <c r="U16" s="2">
        <v>3</v>
      </c>
      <c r="V16" s="2">
        <v>3</v>
      </c>
      <c r="W16" s="2" t="s">
        <v>541</v>
      </c>
      <c r="X16" s="2" t="s">
        <v>541</v>
      </c>
      <c r="Y16" s="2" t="s">
        <v>541</v>
      </c>
      <c r="Z16" s="2" t="s">
        <v>541</v>
      </c>
      <c r="AA16" s="2" t="s">
        <v>541</v>
      </c>
      <c r="AB16" s="2" t="s">
        <v>541</v>
      </c>
      <c r="AC16" s="2" t="s">
        <v>541</v>
      </c>
      <c r="AD16" s="2" t="s">
        <v>541</v>
      </c>
      <c r="AE16" s="2" t="s">
        <v>541</v>
      </c>
      <c r="AF16" s="2" t="s">
        <v>541</v>
      </c>
      <c r="AG16" s="2" t="s">
        <v>541</v>
      </c>
      <c r="AH16" s="2" t="s">
        <v>541</v>
      </c>
      <c r="AI16" s="2" t="s">
        <v>541</v>
      </c>
      <c r="AJ16" s="2" t="s">
        <v>541</v>
      </c>
      <c r="AK16" s="2" t="s">
        <v>541</v>
      </c>
      <c r="AL16" s="2" t="s">
        <v>541</v>
      </c>
      <c r="AM16" s="2" t="s">
        <v>541</v>
      </c>
      <c r="AN16" s="2" t="s">
        <v>541</v>
      </c>
      <c r="AT16" s="9">
        <f>IF(F16="","",RANK(F16,F:F)+COUNTIF($F$1:F15,F16))</f>
        <v>23</v>
      </c>
    </row>
    <row r="17" spans="1:46">
      <c r="A17" s="2">
        <v>1.7932443001654518E+18</v>
      </c>
      <c r="B17" s="2" t="s">
        <v>583</v>
      </c>
      <c r="C17" s="2" t="s">
        <v>584</v>
      </c>
      <c r="D17" s="202">
        <v>45434.857638888891</v>
      </c>
      <c r="E17" s="2">
        <v>240</v>
      </c>
      <c r="F17" s="2">
        <v>6</v>
      </c>
      <c r="G17" s="2">
        <v>2.5000000000000001E-2</v>
      </c>
      <c r="H17" s="2">
        <v>0</v>
      </c>
      <c r="I17" s="2">
        <v>0</v>
      </c>
      <c r="J17" s="2">
        <v>3</v>
      </c>
      <c r="K17" s="2">
        <v>1</v>
      </c>
      <c r="L17" s="2">
        <v>0</v>
      </c>
      <c r="M17" s="2">
        <v>0</v>
      </c>
      <c r="N17" s="2">
        <v>0</v>
      </c>
      <c r="O17" s="2">
        <v>0</v>
      </c>
      <c r="P17" s="2">
        <v>0</v>
      </c>
      <c r="Q17" s="2">
        <v>0</v>
      </c>
      <c r="R17" s="2">
        <v>0</v>
      </c>
      <c r="S17" s="2">
        <v>0</v>
      </c>
      <c r="T17" s="2">
        <v>0</v>
      </c>
      <c r="U17" s="2">
        <v>2</v>
      </c>
      <c r="V17" s="2">
        <v>2</v>
      </c>
      <c r="W17" s="2" t="s">
        <v>541</v>
      </c>
      <c r="X17" s="2" t="s">
        <v>541</v>
      </c>
      <c r="Y17" s="2" t="s">
        <v>541</v>
      </c>
      <c r="Z17" s="2" t="s">
        <v>541</v>
      </c>
      <c r="AA17" s="2" t="s">
        <v>541</v>
      </c>
      <c r="AB17" s="2" t="s">
        <v>541</v>
      </c>
      <c r="AC17" s="2" t="s">
        <v>541</v>
      </c>
      <c r="AD17" s="2" t="s">
        <v>541</v>
      </c>
      <c r="AE17" s="2" t="s">
        <v>541</v>
      </c>
      <c r="AF17" s="2" t="s">
        <v>541</v>
      </c>
      <c r="AG17" s="2" t="s">
        <v>541</v>
      </c>
      <c r="AH17" s="2" t="s">
        <v>541</v>
      </c>
      <c r="AI17" s="2" t="s">
        <v>541</v>
      </c>
      <c r="AJ17" s="2" t="s">
        <v>541</v>
      </c>
      <c r="AK17" s="2" t="s">
        <v>541</v>
      </c>
      <c r="AL17" s="2" t="s">
        <v>541</v>
      </c>
      <c r="AM17" s="2" t="s">
        <v>541</v>
      </c>
      <c r="AN17" s="2" t="s">
        <v>541</v>
      </c>
      <c r="AT17" s="9">
        <f>IF(F17="","",RANK(F17,F:F)+COUNTIF($F$1:F16,F17))</f>
        <v>33</v>
      </c>
    </row>
    <row r="18" spans="1:46">
      <c r="A18" s="2">
        <v>1.7932209171932774E+18</v>
      </c>
      <c r="B18" s="2" t="s">
        <v>585</v>
      </c>
      <c r="C18" s="2" t="s">
        <v>586</v>
      </c>
      <c r="D18" s="202">
        <v>45434.793055555558</v>
      </c>
      <c r="E18" s="2">
        <v>302</v>
      </c>
      <c r="F18" s="2">
        <v>7</v>
      </c>
      <c r="G18" s="2">
        <v>2.3178807947019868E-2</v>
      </c>
      <c r="H18" s="2">
        <v>0</v>
      </c>
      <c r="I18" s="2">
        <v>0</v>
      </c>
      <c r="J18" s="2">
        <v>3</v>
      </c>
      <c r="K18" s="2">
        <v>0</v>
      </c>
      <c r="L18" s="2">
        <v>0</v>
      </c>
      <c r="M18" s="2">
        <v>0</v>
      </c>
      <c r="N18" s="2">
        <v>2</v>
      </c>
      <c r="O18" s="2">
        <v>0</v>
      </c>
      <c r="P18" s="2">
        <v>0</v>
      </c>
      <c r="Q18" s="2">
        <v>0</v>
      </c>
      <c r="R18" s="2">
        <v>0</v>
      </c>
      <c r="S18" s="2">
        <v>0</v>
      </c>
      <c r="T18" s="2">
        <v>0</v>
      </c>
      <c r="U18" s="2">
        <v>2</v>
      </c>
      <c r="V18" s="2">
        <v>2</v>
      </c>
      <c r="W18" s="2" t="s">
        <v>541</v>
      </c>
      <c r="X18" s="2" t="s">
        <v>541</v>
      </c>
      <c r="Y18" s="2" t="s">
        <v>541</v>
      </c>
      <c r="Z18" s="2" t="s">
        <v>541</v>
      </c>
      <c r="AA18" s="2" t="s">
        <v>541</v>
      </c>
      <c r="AB18" s="2" t="s">
        <v>541</v>
      </c>
      <c r="AC18" s="2" t="s">
        <v>541</v>
      </c>
      <c r="AD18" s="2" t="s">
        <v>541</v>
      </c>
      <c r="AE18" s="2" t="s">
        <v>541</v>
      </c>
      <c r="AF18" s="2" t="s">
        <v>541</v>
      </c>
      <c r="AG18" s="2" t="s">
        <v>541</v>
      </c>
      <c r="AH18" s="2" t="s">
        <v>541</v>
      </c>
      <c r="AI18" s="2" t="s">
        <v>541</v>
      </c>
      <c r="AJ18" s="2" t="s">
        <v>541</v>
      </c>
      <c r="AK18" s="2" t="s">
        <v>541</v>
      </c>
      <c r="AL18" s="2" t="s">
        <v>541</v>
      </c>
      <c r="AM18" s="2" t="s">
        <v>541</v>
      </c>
      <c r="AN18" s="2" t="s">
        <v>541</v>
      </c>
      <c r="AT18" s="9">
        <f>IF(F18="","",RANK(F18,F:F)+COUNTIF($F$1:F17,F18))</f>
        <v>27</v>
      </c>
    </row>
    <row r="19" spans="1:46">
      <c r="A19" s="2">
        <v>1.7929107174669396E+18</v>
      </c>
      <c r="B19" s="2" t="s">
        <v>587</v>
      </c>
      <c r="C19" s="2" t="s">
        <v>588</v>
      </c>
      <c r="D19" s="202">
        <v>45433.9375</v>
      </c>
      <c r="E19" s="2">
        <v>406</v>
      </c>
      <c r="F19" s="2">
        <v>11</v>
      </c>
      <c r="G19" s="2">
        <v>2.7093596059113302E-2</v>
      </c>
      <c r="H19" s="2">
        <v>0</v>
      </c>
      <c r="I19" s="2">
        <v>0</v>
      </c>
      <c r="J19" s="2">
        <v>3</v>
      </c>
      <c r="K19" s="2">
        <v>0</v>
      </c>
      <c r="L19" s="2">
        <v>3</v>
      </c>
      <c r="M19" s="2">
        <v>0</v>
      </c>
      <c r="N19" s="2">
        <v>5</v>
      </c>
      <c r="O19" s="2">
        <v>0</v>
      </c>
      <c r="P19" s="2">
        <v>0</v>
      </c>
      <c r="Q19" s="2">
        <v>0</v>
      </c>
      <c r="R19" s="2">
        <v>0</v>
      </c>
      <c r="S19" s="2">
        <v>0</v>
      </c>
      <c r="T19" s="2">
        <v>0</v>
      </c>
      <c r="U19" s="2">
        <v>0</v>
      </c>
      <c r="V19" s="2">
        <v>0</v>
      </c>
      <c r="W19" s="2" t="s">
        <v>541</v>
      </c>
      <c r="X19" s="2" t="s">
        <v>541</v>
      </c>
      <c r="Y19" s="2" t="s">
        <v>541</v>
      </c>
      <c r="Z19" s="2" t="s">
        <v>541</v>
      </c>
      <c r="AA19" s="2" t="s">
        <v>541</v>
      </c>
      <c r="AB19" s="2" t="s">
        <v>541</v>
      </c>
      <c r="AC19" s="2" t="s">
        <v>541</v>
      </c>
      <c r="AD19" s="2" t="s">
        <v>541</v>
      </c>
      <c r="AE19" s="2" t="s">
        <v>541</v>
      </c>
      <c r="AF19" s="2" t="s">
        <v>541</v>
      </c>
      <c r="AG19" s="2" t="s">
        <v>541</v>
      </c>
      <c r="AH19" s="2" t="s">
        <v>541</v>
      </c>
      <c r="AI19" s="2" t="s">
        <v>541</v>
      </c>
      <c r="AJ19" s="2" t="s">
        <v>541</v>
      </c>
      <c r="AK19" s="2" t="s">
        <v>541</v>
      </c>
      <c r="AL19" s="2" t="s">
        <v>541</v>
      </c>
      <c r="AM19" s="2" t="s">
        <v>541</v>
      </c>
      <c r="AN19" s="2" t="s">
        <v>541</v>
      </c>
      <c r="AT19" s="9">
        <f>IF(F19="","",RANK(F19,F:F)+COUNTIF($F$1:F18,F19))</f>
        <v>13</v>
      </c>
    </row>
    <row r="20" spans="1:46">
      <c r="A20" s="2">
        <v>1.7928740751880481E+18</v>
      </c>
      <c r="B20" s="2" t="s">
        <v>589</v>
      </c>
      <c r="C20" s="2" t="s">
        <v>590</v>
      </c>
      <c r="D20" s="202">
        <v>45433.836111111108</v>
      </c>
      <c r="E20" s="2">
        <v>307</v>
      </c>
      <c r="F20" s="2">
        <v>9</v>
      </c>
      <c r="G20" s="2">
        <v>2.9315960912052116E-2</v>
      </c>
      <c r="H20" s="2">
        <v>0</v>
      </c>
      <c r="I20" s="2">
        <v>0</v>
      </c>
      <c r="J20" s="2">
        <v>3</v>
      </c>
      <c r="K20" s="2">
        <v>1</v>
      </c>
      <c r="L20" s="2">
        <v>0</v>
      </c>
      <c r="M20" s="2">
        <v>1</v>
      </c>
      <c r="N20" s="2">
        <v>0</v>
      </c>
      <c r="O20" s="2">
        <v>0</v>
      </c>
      <c r="P20" s="2">
        <v>0</v>
      </c>
      <c r="Q20" s="2">
        <v>0</v>
      </c>
      <c r="R20" s="2">
        <v>0</v>
      </c>
      <c r="S20" s="2">
        <v>0</v>
      </c>
      <c r="T20" s="2">
        <v>0</v>
      </c>
      <c r="U20" s="2">
        <v>4</v>
      </c>
      <c r="V20" s="2">
        <v>4</v>
      </c>
      <c r="W20" s="2" t="s">
        <v>541</v>
      </c>
      <c r="X20" s="2" t="s">
        <v>541</v>
      </c>
      <c r="Y20" s="2" t="s">
        <v>541</v>
      </c>
      <c r="Z20" s="2" t="s">
        <v>541</v>
      </c>
      <c r="AA20" s="2" t="s">
        <v>541</v>
      </c>
      <c r="AB20" s="2" t="s">
        <v>541</v>
      </c>
      <c r="AC20" s="2" t="s">
        <v>541</v>
      </c>
      <c r="AD20" s="2" t="s">
        <v>541</v>
      </c>
      <c r="AE20" s="2" t="s">
        <v>541</v>
      </c>
      <c r="AF20" s="2" t="s">
        <v>541</v>
      </c>
      <c r="AG20" s="2" t="s">
        <v>541</v>
      </c>
      <c r="AH20" s="2" t="s">
        <v>541</v>
      </c>
      <c r="AI20" s="2" t="s">
        <v>541</v>
      </c>
      <c r="AJ20" s="2" t="s">
        <v>541</v>
      </c>
      <c r="AK20" s="2" t="s">
        <v>541</v>
      </c>
      <c r="AL20" s="2" t="s">
        <v>541</v>
      </c>
      <c r="AM20" s="2" t="s">
        <v>541</v>
      </c>
      <c r="AN20" s="2" t="s">
        <v>541</v>
      </c>
      <c r="AT20" s="9">
        <f>IF(F20="","",RANK(F20,F:F)+COUNTIF($F$1:F19,F20))</f>
        <v>20</v>
      </c>
    </row>
    <row r="21" spans="1:46">
      <c r="A21" s="2">
        <v>1.7925483312200461E+18</v>
      </c>
      <c r="B21" s="2" t="s">
        <v>591</v>
      </c>
      <c r="C21" s="2" t="s">
        <v>592</v>
      </c>
      <c r="D21" s="202">
        <v>45432.9375</v>
      </c>
      <c r="E21" s="2">
        <v>352</v>
      </c>
      <c r="F21" s="2">
        <v>10</v>
      </c>
      <c r="G21" s="2">
        <v>2.8409090909090908E-2</v>
      </c>
      <c r="H21" s="2">
        <v>0</v>
      </c>
      <c r="I21" s="2">
        <v>0</v>
      </c>
      <c r="J21" s="2">
        <v>3</v>
      </c>
      <c r="K21" s="2">
        <v>2</v>
      </c>
      <c r="L21" s="2">
        <v>0</v>
      </c>
      <c r="M21" s="2">
        <v>1</v>
      </c>
      <c r="N21" s="2">
        <v>2</v>
      </c>
      <c r="O21" s="2">
        <v>0</v>
      </c>
      <c r="P21" s="2">
        <v>0</v>
      </c>
      <c r="Q21" s="2">
        <v>0</v>
      </c>
      <c r="R21" s="2">
        <v>0</v>
      </c>
      <c r="S21" s="2">
        <v>0</v>
      </c>
      <c r="T21" s="2">
        <v>0</v>
      </c>
      <c r="U21" s="2">
        <v>57</v>
      </c>
      <c r="V21" s="2">
        <v>2</v>
      </c>
      <c r="W21" s="2" t="s">
        <v>541</v>
      </c>
      <c r="X21" s="2" t="s">
        <v>541</v>
      </c>
      <c r="Y21" s="2" t="s">
        <v>541</v>
      </c>
      <c r="Z21" s="2" t="s">
        <v>541</v>
      </c>
      <c r="AA21" s="2" t="s">
        <v>541</v>
      </c>
      <c r="AB21" s="2" t="s">
        <v>541</v>
      </c>
      <c r="AC21" s="2" t="s">
        <v>541</v>
      </c>
      <c r="AD21" s="2" t="s">
        <v>541</v>
      </c>
      <c r="AE21" s="2" t="s">
        <v>541</v>
      </c>
      <c r="AF21" s="2" t="s">
        <v>541</v>
      </c>
      <c r="AG21" s="2" t="s">
        <v>541</v>
      </c>
      <c r="AH21" s="2" t="s">
        <v>541</v>
      </c>
      <c r="AI21" s="2" t="s">
        <v>541</v>
      </c>
      <c r="AJ21" s="2" t="s">
        <v>541</v>
      </c>
      <c r="AK21" s="2" t="s">
        <v>541</v>
      </c>
      <c r="AL21" s="2" t="s">
        <v>541</v>
      </c>
      <c r="AM21" s="2" t="s">
        <v>541</v>
      </c>
      <c r="AN21" s="2" t="s">
        <v>541</v>
      </c>
      <c r="AT21" s="9">
        <f>IF(F21="","",RANK(F21,F:F)+COUNTIF($F$1:F20,F21))</f>
        <v>18</v>
      </c>
    </row>
    <row r="22" spans="1:46">
      <c r="A22" s="2">
        <v>1.7925175600654746E+18</v>
      </c>
      <c r="B22" s="2" t="s">
        <v>593</v>
      </c>
      <c r="C22" s="2" t="s">
        <v>594</v>
      </c>
      <c r="D22" s="202">
        <v>45432.852083333331</v>
      </c>
      <c r="E22" s="2">
        <v>286</v>
      </c>
      <c r="F22" s="2">
        <v>15</v>
      </c>
      <c r="G22" s="2">
        <v>5.2447552447552448E-2</v>
      </c>
      <c r="H22" s="2">
        <v>0</v>
      </c>
      <c r="I22" s="2">
        <v>0</v>
      </c>
      <c r="J22" s="2">
        <v>2</v>
      </c>
      <c r="K22" s="2">
        <v>1</v>
      </c>
      <c r="L22" s="2">
        <v>0</v>
      </c>
      <c r="M22" s="2">
        <v>0</v>
      </c>
      <c r="N22" s="2">
        <v>4</v>
      </c>
      <c r="O22" s="2">
        <v>0</v>
      </c>
      <c r="P22" s="2">
        <v>0</v>
      </c>
      <c r="Q22" s="2">
        <v>0</v>
      </c>
      <c r="R22" s="2">
        <v>0</v>
      </c>
      <c r="S22" s="2">
        <v>0</v>
      </c>
      <c r="T22" s="2">
        <v>0</v>
      </c>
      <c r="U22" s="2">
        <v>8</v>
      </c>
      <c r="V22" s="2">
        <v>8</v>
      </c>
      <c r="W22" s="2" t="s">
        <v>541</v>
      </c>
      <c r="X22" s="2" t="s">
        <v>541</v>
      </c>
      <c r="Y22" s="2" t="s">
        <v>541</v>
      </c>
      <c r="Z22" s="2" t="s">
        <v>541</v>
      </c>
      <c r="AA22" s="2" t="s">
        <v>541</v>
      </c>
      <c r="AB22" s="2" t="s">
        <v>541</v>
      </c>
      <c r="AC22" s="2" t="s">
        <v>541</v>
      </c>
      <c r="AD22" s="2" t="s">
        <v>541</v>
      </c>
      <c r="AE22" s="2" t="s">
        <v>541</v>
      </c>
      <c r="AF22" s="2" t="s">
        <v>541</v>
      </c>
      <c r="AG22" s="2" t="s">
        <v>541</v>
      </c>
      <c r="AH22" s="2" t="s">
        <v>541</v>
      </c>
      <c r="AI22" s="2" t="s">
        <v>541</v>
      </c>
      <c r="AJ22" s="2" t="s">
        <v>541</v>
      </c>
      <c r="AK22" s="2" t="s">
        <v>541</v>
      </c>
      <c r="AL22" s="2" t="s">
        <v>541</v>
      </c>
      <c r="AM22" s="2" t="s">
        <v>541</v>
      </c>
      <c r="AN22" s="2" t="s">
        <v>541</v>
      </c>
      <c r="AT22" s="9">
        <f>IF(F22="","",RANK(F22,F:F)+COUNTIF($F$1:F21,F22))</f>
        <v>9</v>
      </c>
    </row>
    <row r="23" spans="1:46">
      <c r="A23" s="2">
        <v>1.7924759691373655E+18</v>
      </c>
      <c r="B23" s="2" t="s">
        <v>595</v>
      </c>
      <c r="C23" s="2" t="s">
        <v>596</v>
      </c>
      <c r="D23" s="202">
        <v>45432.737500000003</v>
      </c>
      <c r="E23" s="2">
        <v>320</v>
      </c>
      <c r="F23" s="2">
        <v>8</v>
      </c>
      <c r="G23" s="2">
        <v>2.5000000000000001E-2</v>
      </c>
      <c r="H23" s="2">
        <v>0</v>
      </c>
      <c r="I23" s="2">
        <v>1</v>
      </c>
      <c r="J23" s="2">
        <v>3</v>
      </c>
      <c r="K23" s="2">
        <v>1</v>
      </c>
      <c r="L23" s="2">
        <v>2</v>
      </c>
      <c r="M23" s="2">
        <v>0</v>
      </c>
      <c r="N23" s="2">
        <v>1</v>
      </c>
      <c r="O23" s="2">
        <v>0</v>
      </c>
      <c r="P23" s="2">
        <v>0</v>
      </c>
      <c r="Q23" s="2">
        <v>0</v>
      </c>
      <c r="R23" s="2">
        <v>0</v>
      </c>
      <c r="S23" s="2">
        <v>0</v>
      </c>
      <c r="T23" s="2">
        <v>0</v>
      </c>
      <c r="U23" s="2">
        <v>0</v>
      </c>
      <c r="V23" s="2">
        <v>0</v>
      </c>
      <c r="W23" s="2" t="s">
        <v>541</v>
      </c>
      <c r="X23" s="2" t="s">
        <v>541</v>
      </c>
      <c r="Y23" s="2" t="s">
        <v>541</v>
      </c>
      <c r="Z23" s="2" t="s">
        <v>541</v>
      </c>
      <c r="AA23" s="2" t="s">
        <v>541</v>
      </c>
      <c r="AB23" s="2" t="s">
        <v>541</v>
      </c>
      <c r="AC23" s="2" t="s">
        <v>541</v>
      </c>
      <c r="AD23" s="2" t="s">
        <v>541</v>
      </c>
      <c r="AE23" s="2" t="s">
        <v>541</v>
      </c>
      <c r="AF23" s="2" t="s">
        <v>541</v>
      </c>
      <c r="AG23" s="2" t="s">
        <v>541</v>
      </c>
      <c r="AH23" s="2" t="s">
        <v>541</v>
      </c>
      <c r="AI23" s="2" t="s">
        <v>541</v>
      </c>
      <c r="AJ23" s="2" t="s">
        <v>541</v>
      </c>
      <c r="AK23" s="2" t="s">
        <v>541</v>
      </c>
      <c r="AL23" s="2" t="s">
        <v>541</v>
      </c>
      <c r="AM23" s="2" t="s">
        <v>541</v>
      </c>
      <c r="AN23" s="2" t="s">
        <v>541</v>
      </c>
      <c r="AT23" s="9">
        <f>IF(F23="","",RANK(F23,F:F)+COUNTIF($F$1:F22,F23))</f>
        <v>24</v>
      </c>
    </row>
    <row r="24" spans="1:46">
      <c r="A24" s="2">
        <v>1.7914309664158845E+18</v>
      </c>
      <c r="B24" s="2" t="s">
        <v>597</v>
      </c>
      <c r="C24" s="2" t="s">
        <v>598</v>
      </c>
      <c r="D24" s="202">
        <v>45429.854166666664</v>
      </c>
      <c r="E24" s="2">
        <v>347</v>
      </c>
      <c r="F24" s="2">
        <v>5</v>
      </c>
      <c r="G24" s="2">
        <v>1.4409221902017291E-2</v>
      </c>
      <c r="H24" s="2">
        <v>0</v>
      </c>
      <c r="I24" s="2">
        <v>0</v>
      </c>
      <c r="J24" s="2">
        <v>3</v>
      </c>
      <c r="K24" s="2">
        <v>0</v>
      </c>
      <c r="L24" s="2">
        <v>0</v>
      </c>
      <c r="M24" s="2">
        <v>1</v>
      </c>
      <c r="N24" s="2">
        <v>0</v>
      </c>
      <c r="O24" s="2">
        <v>0</v>
      </c>
      <c r="P24" s="2">
        <v>0</v>
      </c>
      <c r="Q24" s="2">
        <v>0</v>
      </c>
      <c r="R24" s="2">
        <v>0</v>
      </c>
      <c r="S24" s="2">
        <v>0</v>
      </c>
      <c r="T24" s="2">
        <v>0</v>
      </c>
      <c r="U24" s="2">
        <v>77</v>
      </c>
      <c r="V24" s="2">
        <v>1</v>
      </c>
      <c r="W24" s="2" t="s">
        <v>541</v>
      </c>
      <c r="X24" s="2" t="s">
        <v>541</v>
      </c>
      <c r="Y24" s="2" t="s">
        <v>541</v>
      </c>
      <c r="Z24" s="2" t="s">
        <v>541</v>
      </c>
      <c r="AA24" s="2" t="s">
        <v>541</v>
      </c>
      <c r="AB24" s="2" t="s">
        <v>541</v>
      </c>
      <c r="AC24" s="2" t="s">
        <v>541</v>
      </c>
      <c r="AD24" s="2" t="s">
        <v>541</v>
      </c>
      <c r="AE24" s="2" t="s">
        <v>541</v>
      </c>
      <c r="AF24" s="2" t="s">
        <v>541</v>
      </c>
      <c r="AG24" s="2" t="s">
        <v>541</v>
      </c>
      <c r="AH24" s="2" t="s">
        <v>541</v>
      </c>
      <c r="AI24" s="2" t="s">
        <v>541</v>
      </c>
      <c r="AJ24" s="2" t="s">
        <v>541</v>
      </c>
      <c r="AK24" s="2" t="s">
        <v>541</v>
      </c>
      <c r="AL24" s="2" t="s">
        <v>541</v>
      </c>
      <c r="AM24" s="2" t="s">
        <v>541</v>
      </c>
      <c r="AN24" s="2" t="s">
        <v>541</v>
      </c>
      <c r="AT24" s="9">
        <f>IF(F24="","",RANK(F24,F:F)+COUNTIF($F$1:F23,F24))</f>
        <v>38</v>
      </c>
    </row>
    <row r="25" spans="1:46">
      <c r="A25" s="2">
        <v>1.7914007700485327E+18</v>
      </c>
      <c r="B25" s="2" t="s">
        <v>599</v>
      </c>
      <c r="C25" s="2" t="s">
        <v>600</v>
      </c>
      <c r="D25" s="202">
        <v>45429.770833333336</v>
      </c>
      <c r="E25" s="2">
        <v>244</v>
      </c>
      <c r="F25" s="2">
        <v>5</v>
      </c>
      <c r="G25" s="2">
        <v>2.0491803278688523E-2</v>
      </c>
      <c r="H25" s="2">
        <v>0</v>
      </c>
      <c r="I25" s="2">
        <v>0</v>
      </c>
      <c r="J25" s="2">
        <v>2</v>
      </c>
      <c r="K25" s="2">
        <v>3</v>
      </c>
      <c r="L25" s="2">
        <v>0</v>
      </c>
      <c r="M25" s="2">
        <v>0</v>
      </c>
      <c r="N25" s="2">
        <v>0</v>
      </c>
      <c r="O25" s="2">
        <v>0</v>
      </c>
      <c r="P25" s="2">
        <v>0</v>
      </c>
      <c r="Q25" s="2">
        <v>0</v>
      </c>
      <c r="R25" s="2">
        <v>0</v>
      </c>
      <c r="S25" s="2">
        <v>0</v>
      </c>
      <c r="T25" s="2">
        <v>0</v>
      </c>
      <c r="U25" s="2">
        <v>0</v>
      </c>
      <c r="V25" s="2">
        <v>0</v>
      </c>
      <c r="W25" s="2" t="s">
        <v>541</v>
      </c>
      <c r="X25" s="2" t="s">
        <v>541</v>
      </c>
      <c r="Y25" s="2" t="s">
        <v>541</v>
      </c>
      <c r="Z25" s="2" t="s">
        <v>541</v>
      </c>
      <c r="AA25" s="2" t="s">
        <v>541</v>
      </c>
      <c r="AB25" s="2" t="s">
        <v>541</v>
      </c>
      <c r="AC25" s="2" t="s">
        <v>541</v>
      </c>
      <c r="AD25" s="2" t="s">
        <v>541</v>
      </c>
      <c r="AE25" s="2" t="s">
        <v>541</v>
      </c>
      <c r="AF25" s="2" t="s">
        <v>541</v>
      </c>
      <c r="AG25" s="2" t="s">
        <v>541</v>
      </c>
      <c r="AH25" s="2" t="s">
        <v>541</v>
      </c>
      <c r="AI25" s="2" t="s">
        <v>541</v>
      </c>
      <c r="AJ25" s="2" t="s">
        <v>541</v>
      </c>
      <c r="AK25" s="2" t="s">
        <v>541</v>
      </c>
      <c r="AL25" s="2" t="s">
        <v>541</v>
      </c>
      <c r="AM25" s="2" t="s">
        <v>541</v>
      </c>
      <c r="AN25" s="2" t="s">
        <v>541</v>
      </c>
      <c r="AT25" s="9">
        <f>IF(F25="","",RANK(F25,F:F)+COUNTIF($F$1:F24,F25))</f>
        <v>39</v>
      </c>
    </row>
    <row r="26" spans="1:46">
      <c r="A26" s="2">
        <v>1.7910930507076774E+18</v>
      </c>
      <c r="B26" s="2" t="s">
        <v>601</v>
      </c>
      <c r="C26" s="2" t="s">
        <v>602</v>
      </c>
      <c r="D26" s="202">
        <v>45428.921527777777</v>
      </c>
      <c r="E26" s="2">
        <v>395</v>
      </c>
      <c r="F26" s="2">
        <v>16</v>
      </c>
      <c r="G26" s="2">
        <v>4.0506329113924051E-2</v>
      </c>
      <c r="H26" s="2">
        <v>0</v>
      </c>
      <c r="I26" s="2">
        <v>0</v>
      </c>
      <c r="J26" s="2">
        <v>3</v>
      </c>
      <c r="K26" s="2">
        <v>1</v>
      </c>
      <c r="L26" s="2">
        <v>0</v>
      </c>
      <c r="M26" s="2">
        <v>1</v>
      </c>
      <c r="N26" s="2">
        <v>1</v>
      </c>
      <c r="O26" s="2">
        <v>0</v>
      </c>
      <c r="P26" s="2">
        <v>0</v>
      </c>
      <c r="Q26" s="2">
        <v>0</v>
      </c>
      <c r="R26" s="2">
        <v>0</v>
      </c>
      <c r="S26" s="2">
        <v>0</v>
      </c>
      <c r="T26" s="2">
        <v>0</v>
      </c>
      <c r="U26" s="2">
        <v>58</v>
      </c>
      <c r="V26" s="2">
        <v>10</v>
      </c>
      <c r="W26" s="2" t="s">
        <v>541</v>
      </c>
      <c r="X26" s="2" t="s">
        <v>541</v>
      </c>
      <c r="Y26" s="2" t="s">
        <v>541</v>
      </c>
      <c r="Z26" s="2" t="s">
        <v>541</v>
      </c>
      <c r="AA26" s="2" t="s">
        <v>541</v>
      </c>
      <c r="AB26" s="2" t="s">
        <v>541</v>
      </c>
      <c r="AC26" s="2" t="s">
        <v>541</v>
      </c>
      <c r="AD26" s="2" t="s">
        <v>541</v>
      </c>
      <c r="AE26" s="2" t="s">
        <v>541</v>
      </c>
      <c r="AF26" s="2" t="s">
        <v>541</v>
      </c>
      <c r="AG26" s="2" t="s">
        <v>541</v>
      </c>
      <c r="AH26" s="2" t="s">
        <v>541</v>
      </c>
      <c r="AI26" s="2" t="s">
        <v>541</v>
      </c>
      <c r="AJ26" s="2" t="s">
        <v>541</v>
      </c>
      <c r="AK26" s="2" t="s">
        <v>541</v>
      </c>
      <c r="AL26" s="2" t="s">
        <v>541</v>
      </c>
      <c r="AM26" s="2" t="s">
        <v>541</v>
      </c>
      <c r="AN26" s="2" t="s">
        <v>541</v>
      </c>
      <c r="AT26" s="9">
        <f>IF(F26="","",RANK(F26,F:F)+COUNTIF($F$1:F25,F26))</f>
        <v>7</v>
      </c>
    </row>
    <row r="27" spans="1:46">
      <c r="A27" s="2">
        <v>1.7910006327503997E+18</v>
      </c>
      <c r="B27" s="2" t="s">
        <v>603</v>
      </c>
      <c r="C27" s="2" t="s">
        <v>604</v>
      </c>
      <c r="D27" s="202">
        <v>45428.666666666664</v>
      </c>
      <c r="E27" s="2">
        <v>0</v>
      </c>
      <c r="F27" s="2">
        <v>0</v>
      </c>
      <c r="G27" s="2" t="e">
        <v>#NUM!</v>
      </c>
      <c r="H27" s="2">
        <v>0</v>
      </c>
      <c r="I27" s="2">
        <v>0</v>
      </c>
      <c r="J27" s="2">
        <v>0</v>
      </c>
      <c r="K27" s="2">
        <v>0</v>
      </c>
      <c r="L27" s="2">
        <v>0</v>
      </c>
      <c r="M27" s="2">
        <v>0</v>
      </c>
      <c r="N27" s="2">
        <v>0</v>
      </c>
      <c r="O27" s="2">
        <v>0</v>
      </c>
      <c r="P27" s="2">
        <v>0</v>
      </c>
      <c r="Q27" s="2">
        <v>0</v>
      </c>
      <c r="R27" s="2">
        <v>0</v>
      </c>
      <c r="S27" s="2">
        <v>0</v>
      </c>
      <c r="T27" s="2">
        <v>0</v>
      </c>
      <c r="U27" s="2">
        <v>0</v>
      </c>
      <c r="V27" s="2">
        <v>0</v>
      </c>
      <c r="W27" s="2" t="s">
        <v>541</v>
      </c>
      <c r="X27" s="2" t="s">
        <v>541</v>
      </c>
      <c r="Y27" s="2" t="s">
        <v>541</v>
      </c>
      <c r="Z27" s="2" t="s">
        <v>541</v>
      </c>
      <c r="AA27" s="2" t="s">
        <v>541</v>
      </c>
      <c r="AB27" s="2" t="s">
        <v>541</v>
      </c>
      <c r="AC27" s="2" t="s">
        <v>541</v>
      </c>
      <c r="AD27" s="2" t="s">
        <v>541</v>
      </c>
      <c r="AE27" s="2" t="s">
        <v>541</v>
      </c>
      <c r="AF27" s="2" t="s">
        <v>541</v>
      </c>
      <c r="AG27" s="2" t="s">
        <v>541</v>
      </c>
      <c r="AH27" s="2" t="s">
        <v>541</v>
      </c>
      <c r="AI27" s="2" t="s">
        <v>541</v>
      </c>
      <c r="AJ27" s="2" t="s">
        <v>541</v>
      </c>
      <c r="AK27" s="2" t="s">
        <v>541</v>
      </c>
      <c r="AL27" s="2" t="s">
        <v>541</v>
      </c>
      <c r="AM27" s="2" t="s">
        <v>541</v>
      </c>
      <c r="AN27" s="2" t="s">
        <v>541</v>
      </c>
      <c r="AT27" s="9">
        <f>IF(F27="","",RANK(F27,F:F)+COUNTIF($F$1:F26,F27))</f>
        <v>42</v>
      </c>
    </row>
    <row r="28" spans="1:46">
      <c r="A28" s="2">
        <v>1.7907061912509399E+18</v>
      </c>
      <c r="B28" s="2" t="s">
        <v>605</v>
      </c>
      <c r="C28" s="2" t="s">
        <v>606</v>
      </c>
      <c r="D28" s="202">
        <v>45427.854166666664</v>
      </c>
      <c r="E28" s="2">
        <v>389</v>
      </c>
      <c r="F28" s="2">
        <v>14</v>
      </c>
      <c r="G28" s="2">
        <v>3.5989717223650387E-2</v>
      </c>
      <c r="H28" s="2">
        <v>0</v>
      </c>
      <c r="I28" s="2">
        <v>0</v>
      </c>
      <c r="J28" s="2">
        <v>5</v>
      </c>
      <c r="K28" s="2">
        <v>2</v>
      </c>
      <c r="L28" s="2">
        <v>0</v>
      </c>
      <c r="M28" s="2">
        <v>0</v>
      </c>
      <c r="N28" s="2">
        <v>3</v>
      </c>
      <c r="O28" s="2">
        <v>0</v>
      </c>
      <c r="P28" s="2">
        <v>0</v>
      </c>
      <c r="Q28" s="2">
        <v>0</v>
      </c>
      <c r="R28" s="2">
        <v>0</v>
      </c>
      <c r="S28" s="2">
        <v>0</v>
      </c>
      <c r="T28" s="2">
        <v>0</v>
      </c>
      <c r="U28" s="2">
        <v>4</v>
      </c>
      <c r="V28" s="2">
        <v>4</v>
      </c>
      <c r="W28" s="2" t="s">
        <v>541</v>
      </c>
      <c r="X28" s="2" t="s">
        <v>541</v>
      </c>
      <c r="Y28" s="2" t="s">
        <v>541</v>
      </c>
      <c r="Z28" s="2" t="s">
        <v>541</v>
      </c>
      <c r="AA28" s="2" t="s">
        <v>541</v>
      </c>
      <c r="AB28" s="2" t="s">
        <v>541</v>
      </c>
      <c r="AC28" s="2" t="s">
        <v>541</v>
      </c>
      <c r="AD28" s="2" t="s">
        <v>541</v>
      </c>
      <c r="AE28" s="2" t="s">
        <v>541</v>
      </c>
      <c r="AF28" s="2" t="s">
        <v>541</v>
      </c>
      <c r="AG28" s="2" t="s">
        <v>541</v>
      </c>
      <c r="AH28" s="2" t="s">
        <v>541</v>
      </c>
      <c r="AI28" s="2" t="s">
        <v>541</v>
      </c>
      <c r="AJ28" s="2" t="s">
        <v>541</v>
      </c>
      <c r="AK28" s="2" t="s">
        <v>541</v>
      </c>
      <c r="AL28" s="2" t="s">
        <v>541</v>
      </c>
      <c r="AM28" s="2" t="s">
        <v>541</v>
      </c>
      <c r="AN28" s="2" t="s">
        <v>541</v>
      </c>
      <c r="AT28" s="9">
        <f>IF(F28="","",RANK(F28,F:F)+COUNTIF($F$1:F27,F28))</f>
        <v>10</v>
      </c>
    </row>
    <row r="29" spans="1:46">
      <c r="A29" s="2">
        <v>1.79034380583456E+18</v>
      </c>
      <c r="B29" s="2" t="s">
        <v>607</v>
      </c>
      <c r="C29" s="2" t="s">
        <v>608</v>
      </c>
      <c r="D29" s="202">
        <v>45426.854166666664</v>
      </c>
      <c r="E29" s="2">
        <v>3439</v>
      </c>
      <c r="F29" s="2">
        <v>86</v>
      </c>
      <c r="G29" s="2">
        <v>2.5007269555103229E-2</v>
      </c>
      <c r="H29" s="2">
        <v>8</v>
      </c>
      <c r="I29" s="2">
        <v>1</v>
      </c>
      <c r="J29" s="2">
        <v>0</v>
      </c>
      <c r="K29" s="2">
        <v>13</v>
      </c>
      <c r="L29" s="2">
        <v>0</v>
      </c>
      <c r="M29" s="2">
        <v>7</v>
      </c>
      <c r="N29" s="2">
        <v>38</v>
      </c>
      <c r="O29" s="2">
        <v>0</v>
      </c>
      <c r="P29" s="2">
        <v>0</v>
      </c>
      <c r="Q29" s="2">
        <v>0</v>
      </c>
      <c r="R29" s="2">
        <v>2</v>
      </c>
      <c r="S29" s="2">
        <v>0</v>
      </c>
      <c r="T29" s="2">
        <v>0</v>
      </c>
      <c r="U29" s="2">
        <v>355</v>
      </c>
      <c r="V29" s="2">
        <v>17</v>
      </c>
      <c r="W29" s="2" t="s">
        <v>609</v>
      </c>
      <c r="X29" s="2" t="s">
        <v>610</v>
      </c>
      <c r="Y29" s="2" t="s">
        <v>611</v>
      </c>
      <c r="Z29" s="2" t="s">
        <v>612</v>
      </c>
      <c r="AA29" s="2" t="s">
        <v>613</v>
      </c>
      <c r="AB29" s="2" t="s">
        <v>614</v>
      </c>
      <c r="AC29" s="2" t="s">
        <v>615</v>
      </c>
      <c r="AD29" s="2" t="s">
        <v>562</v>
      </c>
      <c r="AE29" s="2" t="s">
        <v>616</v>
      </c>
      <c r="AF29" s="2" t="s">
        <v>617</v>
      </c>
      <c r="AG29" s="2" t="s">
        <v>562</v>
      </c>
      <c r="AH29" s="2" t="s">
        <v>567</v>
      </c>
      <c r="AI29" s="2" t="s">
        <v>567</v>
      </c>
      <c r="AJ29" s="2" t="s">
        <v>618</v>
      </c>
      <c r="AK29" s="2" t="s">
        <v>567</v>
      </c>
      <c r="AL29" s="2" t="s">
        <v>567</v>
      </c>
      <c r="AM29" s="2" t="s">
        <v>619</v>
      </c>
      <c r="AN29" s="2" t="s">
        <v>620</v>
      </c>
      <c r="AT29" s="9">
        <f>IF(F29="","",RANK(F29,F:F)+COUNTIF($F$1:F28,F29))</f>
        <v>2</v>
      </c>
    </row>
    <row r="30" spans="1:46">
      <c r="A30" s="2">
        <v>1.7899814180992658E+18</v>
      </c>
      <c r="B30" s="2" t="s">
        <v>621</v>
      </c>
      <c r="C30" s="2" t="s">
        <v>622</v>
      </c>
      <c r="D30" s="202">
        <v>45425.854166666664</v>
      </c>
      <c r="E30" s="2">
        <v>16246</v>
      </c>
      <c r="F30" s="2">
        <v>186</v>
      </c>
      <c r="G30" s="2">
        <v>1.1448972054659608E-2</v>
      </c>
      <c r="H30" s="2">
        <v>5</v>
      </c>
      <c r="I30" s="2">
        <v>0</v>
      </c>
      <c r="J30" s="2">
        <v>8</v>
      </c>
      <c r="K30" s="2">
        <v>30</v>
      </c>
      <c r="L30" s="2">
        <v>1</v>
      </c>
      <c r="M30" s="2">
        <v>3</v>
      </c>
      <c r="N30" s="2">
        <v>87</v>
      </c>
      <c r="O30" s="2">
        <v>0</v>
      </c>
      <c r="P30" s="2">
        <v>0</v>
      </c>
      <c r="Q30" s="2">
        <v>0</v>
      </c>
      <c r="R30" s="2">
        <v>0</v>
      </c>
      <c r="S30" s="2">
        <v>0</v>
      </c>
      <c r="T30" s="2">
        <v>0</v>
      </c>
      <c r="U30" s="2">
        <v>52</v>
      </c>
      <c r="V30" s="2">
        <v>52</v>
      </c>
      <c r="W30" s="2" t="s">
        <v>541</v>
      </c>
      <c r="X30" s="2" t="s">
        <v>541</v>
      </c>
      <c r="Y30" s="2" t="s">
        <v>541</v>
      </c>
      <c r="Z30" s="2" t="s">
        <v>541</v>
      </c>
      <c r="AA30" s="2" t="s">
        <v>541</v>
      </c>
      <c r="AB30" s="2" t="s">
        <v>541</v>
      </c>
      <c r="AC30" s="2" t="s">
        <v>541</v>
      </c>
      <c r="AD30" s="2" t="s">
        <v>541</v>
      </c>
      <c r="AE30" s="2" t="s">
        <v>541</v>
      </c>
      <c r="AF30" s="2" t="s">
        <v>541</v>
      </c>
      <c r="AG30" s="2" t="s">
        <v>541</v>
      </c>
      <c r="AH30" s="2" t="s">
        <v>541</v>
      </c>
      <c r="AI30" s="2" t="s">
        <v>541</v>
      </c>
      <c r="AJ30" s="2" t="s">
        <v>541</v>
      </c>
      <c r="AK30" s="2" t="s">
        <v>541</v>
      </c>
      <c r="AL30" s="2" t="s">
        <v>541</v>
      </c>
      <c r="AM30" s="2" t="s">
        <v>541</v>
      </c>
      <c r="AN30" s="2" t="s">
        <v>541</v>
      </c>
      <c r="AT30" s="9">
        <f>IF(F30="","",RANK(F30,F:F)+COUNTIF($F$1:F29,F30))</f>
        <v>1</v>
      </c>
    </row>
    <row r="31" spans="1:46">
      <c r="A31" s="2">
        <v>1.7899436743292439E+18</v>
      </c>
      <c r="B31" s="2" t="s">
        <v>623</v>
      </c>
      <c r="C31" s="2" t="s">
        <v>624</v>
      </c>
      <c r="D31" s="202">
        <v>45425.75</v>
      </c>
      <c r="E31" s="2">
        <v>452</v>
      </c>
      <c r="F31" s="2">
        <v>13</v>
      </c>
      <c r="G31" s="2">
        <v>2.8761061946902654E-2</v>
      </c>
      <c r="H31" s="2">
        <v>1</v>
      </c>
      <c r="I31" s="2">
        <v>0</v>
      </c>
      <c r="J31" s="2">
        <v>5</v>
      </c>
      <c r="K31" s="2">
        <v>2</v>
      </c>
      <c r="L31" s="2">
        <v>0</v>
      </c>
      <c r="M31" s="2">
        <v>1</v>
      </c>
      <c r="N31" s="2">
        <v>0</v>
      </c>
      <c r="O31" s="2">
        <v>0</v>
      </c>
      <c r="P31" s="2">
        <v>0</v>
      </c>
      <c r="Q31" s="2">
        <v>0</v>
      </c>
      <c r="R31" s="2">
        <v>0</v>
      </c>
      <c r="S31" s="2">
        <v>0</v>
      </c>
      <c r="T31" s="2">
        <v>0</v>
      </c>
      <c r="U31" s="2">
        <v>77</v>
      </c>
      <c r="V31" s="2">
        <v>4</v>
      </c>
      <c r="W31" s="2" t="s">
        <v>541</v>
      </c>
      <c r="X31" s="2" t="s">
        <v>541</v>
      </c>
      <c r="Y31" s="2" t="s">
        <v>541</v>
      </c>
      <c r="Z31" s="2" t="s">
        <v>541</v>
      </c>
      <c r="AA31" s="2" t="s">
        <v>541</v>
      </c>
      <c r="AB31" s="2" t="s">
        <v>541</v>
      </c>
      <c r="AC31" s="2" t="s">
        <v>541</v>
      </c>
      <c r="AD31" s="2" t="s">
        <v>541</v>
      </c>
      <c r="AE31" s="2" t="s">
        <v>541</v>
      </c>
      <c r="AF31" s="2" t="s">
        <v>541</v>
      </c>
      <c r="AG31" s="2" t="s">
        <v>541</v>
      </c>
      <c r="AH31" s="2" t="s">
        <v>541</v>
      </c>
      <c r="AI31" s="2" t="s">
        <v>541</v>
      </c>
      <c r="AJ31" s="2" t="s">
        <v>541</v>
      </c>
      <c r="AK31" s="2" t="s">
        <v>541</v>
      </c>
      <c r="AL31" s="2" t="s">
        <v>541</v>
      </c>
      <c r="AM31" s="2" t="s">
        <v>541</v>
      </c>
      <c r="AN31" s="2" t="s">
        <v>541</v>
      </c>
      <c r="AT31" s="9">
        <f>IF(F31="","",RANK(F31,F:F)+COUNTIF($F$1:F30,F31))</f>
        <v>11</v>
      </c>
    </row>
    <row r="32" spans="1:46">
      <c r="A32" s="2">
        <v>1.7890585960150508E+18</v>
      </c>
      <c r="B32" s="2" t="s">
        <v>625</v>
      </c>
      <c r="C32" s="2" t="s">
        <v>626</v>
      </c>
      <c r="D32" s="202">
        <v>45423.307638888888</v>
      </c>
      <c r="E32" s="2">
        <v>454</v>
      </c>
      <c r="F32" s="2">
        <v>5</v>
      </c>
      <c r="G32" s="2">
        <v>1.1013215859030838E-2</v>
      </c>
      <c r="H32" s="2">
        <v>0</v>
      </c>
      <c r="I32" s="2">
        <v>0</v>
      </c>
      <c r="J32" s="2">
        <v>3</v>
      </c>
      <c r="K32" s="2">
        <v>0</v>
      </c>
      <c r="L32" s="2">
        <v>0</v>
      </c>
      <c r="M32" s="2">
        <v>0</v>
      </c>
      <c r="N32" s="2">
        <v>1</v>
      </c>
      <c r="O32" s="2">
        <v>0</v>
      </c>
      <c r="P32" s="2">
        <v>0</v>
      </c>
      <c r="Q32" s="2">
        <v>0</v>
      </c>
      <c r="R32" s="2">
        <v>0</v>
      </c>
      <c r="S32" s="2">
        <v>0</v>
      </c>
      <c r="T32" s="2">
        <v>0</v>
      </c>
      <c r="U32" s="2">
        <v>0</v>
      </c>
      <c r="V32" s="2">
        <v>0</v>
      </c>
      <c r="W32" s="2" t="s">
        <v>541</v>
      </c>
      <c r="X32" s="2" t="s">
        <v>541</v>
      </c>
      <c r="Y32" s="2" t="s">
        <v>541</v>
      </c>
      <c r="Z32" s="2" t="s">
        <v>541</v>
      </c>
      <c r="AA32" s="2" t="s">
        <v>541</v>
      </c>
      <c r="AB32" s="2" t="s">
        <v>541</v>
      </c>
      <c r="AC32" s="2" t="s">
        <v>541</v>
      </c>
      <c r="AD32" s="2" t="s">
        <v>541</v>
      </c>
      <c r="AE32" s="2" t="s">
        <v>541</v>
      </c>
      <c r="AF32" s="2" t="s">
        <v>541</v>
      </c>
      <c r="AG32" s="2" t="s">
        <v>541</v>
      </c>
      <c r="AH32" s="2" t="s">
        <v>541</v>
      </c>
      <c r="AI32" s="2" t="s">
        <v>541</v>
      </c>
      <c r="AJ32" s="2" t="s">
        <v>541</v>
      </c>
      <c r="AK32" s="2" t="s">
        <v>541</v>
      </c>
      <c r="AL32" s="2" t="s">
        <v>541</v>
      </c>
      <c r="AM32" s="2" t="s">
        <v>541</v>
      </c>
      <c r="AN32" s="2" t="s">
        <v>541</v>
      </c>
      <c r="AT32" s="9">
        <f>IF(F32="","",RANK(F32,F:F)+COUNTIF($F$1:F31,F32))</f>
        <v>40</v>
      </c>
    </row>
    <row r="33" spans="1:46">
      <c r="A33" s="2">
        <v>1.788859661644694E+18</v>
      </c>
      <c r="B33" s="2" t="s">
        <v>627</v>
      </c>
      <c r="C33" s="2" t="s">
        <v>628</v>
      </c>
      <c r="D33" s="202">
        <v>45422.758333333331</v>
      </c>
      <c r="E33" s="2">
        <v>373</v>
      </c>
      <c r="F33" s="2">
        <v>10</v>
      </c>
      <c r="G33" s="2">
        <v>2.6809651474530832E-2</v>
      </c>
      <c r="H33" s="2">
        <v>0</v>
      </c>
      <c r="I33" s="2">
        <v>0</v>
      </c>
      <c r="J33" s="2">
        <v>6</v>
      </c>
      <c r="K33" s="2">
        <v>1</v>
      </c>
      <c r="L33" s="2">
        <v>1</v>
      </c>
      <c r="M33" s="2">
        <v>0</v>
      </c>
      <c r="N33" s="2">
        <v>2</v>
      </c>
      <c r="O33" s="2">
        <v>0</v>
      </c>
      <c r="P33" s="2">
        <v>0</v>
      </c>
      <c r="Q33" s="2">
        <v>0</v>
      </c>
      <c r="R33" s="2">
        <v>0</v>
      </c>
      <c r="S33" s="2">
        <v>0</v>
      </c>
      <c r="T33" s="2">
        <v>0</v>
      </c>
      <c r="U33" s="2">
        <v>0</v>
      </c>
      <c r="V33" s="2">
        <v>0</v>
      </c>
      <c r="W33" s="2" t="s">
        <v>541</v>
      </c>
      <c r="X33" s="2" t="s">
        <v>541</v>
      </c>
      <c r="Y33" s="2" t="s">
        <v>541</v>
      </c>
      <c r="Z33" s="2" t="s">
        <v>541</v>
      </c>
      <c r="AA33" s="2" t="s">
        <v>541</v>
      </c>
      <c r="AB33" s="2" t="s">
        <v>541</v>
      </c>
      <c r="AC33" s="2" t="s">
        <v>541</v>
      </c>
      <c r="AD33" s="2" t="s">
        <v>541</v>
      </c>
      <c r="AE33" s="2" t="s">
        <v>541</v>
      </c>
      <c r="AF33" s="2" t="s">
        <v>541</v>
      </c>
      <c r="AG33" s="2" t="s">
        <v>541</v>
      </c>
      <c r="AH33" s="2" t="s">
        <v>541</v>
      </c>
      <c r="AI33" s="2" t="s">
        <v>541</v>
      </c>
      <c r="AJ33" s="2" t="s">
        <v>541</v>
      </c>
      <c r="AK33" s="2" t="s">
        <v>541</v>
      </c>
      <c r="AL33" s="2" t="s">
        <v>541</v>
      </c>
      <c r="AM33" s="2" t="s">
        <v>541</v>
      </c>
      <c r="AN33" s="2" t="s">
        <v>541</v>
      </c>
      <c r="AT33" s="9">
        <f>IF(F33="","",RANK(F33,F:F)+COUNTIF($F$1:F32,F33))</f>
        <v>19</v>
      </c>
    </row>
    <row r="34" spans="1:46">
      <c r="A34" s="2">
        <v>1.7881694783893138E+18</v>
      </c>
      <c r="B34" s="2" t="s">
        <v>629</v>
      </c>
      <c r="C34" s="2" t="s">
        <v>630</v>
      </c>
      <c r="D34" s="202">
        <v>45420.854166666664</v>
      </c>
      <c r="E34" s="2">
        <v>403</v>
      </c>
      <c r="F34" s="2">
        <v>19</v>
      </c>
      <c r="G34" s="2">
        <v>4.7146401985111663E-2</v>
      </c>
      <c r="H34" s="2">
        <v>1</v>
      </c>
      <c r="I34" s="2">
        <v>0</v>
      </c>
      <c r="J34" s="2">
        <v>6</v>
      </c>
      <c r="K34" s="2">
        <v>1</v>
      </c>
      <c r="L34" s="2">
        <v>0</v>
      </c>
      <c r="M34" s="2">
        <v>0</v>
      </c>
      <c r="N34" s="2">
        <v>2</v>
      </c>
      <c r="O34" s="2">
        <v>0</v>
      </c>
      <c r="P34" s="2">
        <v>0</v>
      </c>
      <c r="Q34" s="2">
        <v>0</v>
      </c>
      <c r="R34" s="2">
        <v>0</v>
      </c>
      <c r="S34" s="2">
        <v>0</v>
      </c>
      <c r="T34" s="2">
        <v>0</v>
      </c>
      <c r="U34" s="2">
        <v>9</v>
      </c>
      <c r="V34" s="2">
        <v>9</v>
      </c>
      <c r="W34" s="2" t="s">
        <v>541</v>
      </c>
      <c r="X34" s="2" t="s">
        <v>541</v>
      </c>
      <c r="Y34" s="2" t="s">
        <v>541</v>
      </c>
      <c r="Z34" s="2" t="s">
        <v>541</v>
      </c>
      <c r="AA34" s="2" t="s">
        <v>541</v>
      </c>
      <c r="AB34" s="2" t="s">
        <v>541</v>
      </c>
      <c r="AC34" s="2" t="s">
        <v>541</v>
      </c>
      <c r="AD34" s="2" t="s">
        <v>541</v>
      </c>
      <c r="AE34" s="2" t="s">
        <v>541</v>
      </c>
      <c r="AF34" s="2" t="s">
        <v>541</v>
      </c>
      <c r="AG34" s="2" t="s">
        <v>541</v>
      </c>
      <c r="AH34" s="2" t="s">
        <v>541</v>
      </c>
      <c r="AI34" s="2" t="s">
        <v>541</v>
      </c>
      <c r="AJ34" s="2" t="s">
        <v>541</v>
      </c>
      <c r="AK34" s="2" t="s">
        <v>541</v>
      </c>
      <c r="AL34" s="2" t="s">
        <v>541</v>
      </c>
      <c r="AM34" s="2" t="s">
        <v>541</v>
      </c>
      <c r="AN34" s="2" t="s">
        <v>541</v>
      </c>
      <c r="AT34" s="9">
        <f>IF(F34="","",RANK(F34,F:F)+COUNTIF($F$1:F33,F34))</f>
        <v>5</v>
      </c>
    </row>
    <row r="35" spans="1:46">
      <c r="A35" s="2">
        <v>1.7878092027083208E+18</v>
      </c>
      <c r="B35" s="2" t="s">
        <v>631</v>
      </c>
      <c r="C35" s="2" t="s">
        <v>632</v>
      </c>
      <c r="D35" s="202">
        <v>45419.859722222223</v>
      </c>
      <c r="E35" s="2">
        <v>458</v>
      </c>
      <c r="F35" s="2">
        <v>11</v>
      </c>
      <c r="G35" s="2">
        <v>2.4017467248908297E-2</v>
      </c>
      <c r="H35" s="2">
        <v>1</v>
      </c>
      <c r="I35" s="2">
        <v>0</v>
      </c>
      <c r="J35" s="2">
        <v>4</v>
      </c>
      <c r="K35" s="2">
        <v>2</v>
      </c>
      <c r="L35" s="2">
        <v>0</v>
      </c>
      <c r="M35" s="2">
        <v>0</v>
      </c>
      <c r="N35" s="2">
        <v>3</v>
      </c>
      <c r="O35" s="2">
        <v>0</v>
      </c>
      <c r="P35" s="2">
        <v>0</v>
      </c>
      <c r="Q35" s="2">
        <v>0</v>
      </c>
      <c r="R35" s="2">
        <v>0</v>
      </c>
      <c r="S35" s="2">
        <v>0</v>
      </c>
      <c r="T35" s="2">
        <v>0</v>
      </c>
      <c r="U35" s="2">
        <v>1</v>
      </c>
      <c r="V35" s="2">
        <v>1</v>
      </c>
      <c r="W35" s="2" t="s">
        <v>541</v>
      </c>
      <c r="X35" s="2" t="s">
        <v>541</v>
      </c>
      <c r="Y35" s="2" t="s">
        <v>541</v>
      </c>
      <c r="Z35" s="2" t="s">
        <v>541</v>
      </c>
      <c r="AA35" s="2" t="s">
        <v>541</v>
      </c>
      <c r="AB35" s="2" t="s">
        <v>541</v>
      </c>
      <c r="AC35" s="2" t="s">
        <v>541</v>
      </c>
      <c r="AD35" s="2" t="s">
        <v>541</v>
      </c>
      <c r="AE35" s="2" t="s">
        <v>541</v>
      </c>
      <c r="AF35" s="2" t="s">
        <v>541</v>
      </c>
      <c r="AG35" s="2" t="s">
        <v>541</v>
      </c>
      <c r="AH35" s="2" t="s">
        <v>541</v>
      </c>
      <c r="AI35" s="2" t="s">
        <v>541</v>
      </c>
      <c r="AJ35" s="2" t="s">
        <v>541</v>
      </c>
      <c r="AK35" s="2" t="s">
        <v>541</v>
      </c>
      <c r="AL35" s="2" t="s">
        <v>541</v>
      </c>
      <c r="AM35" s="2" t="s">
        <v>541</v>
      </c>
      <c r="AN35" s="2" t="s">
        <v>541</v>
      </c>
      <c r="AT35" s="9">
        <f>IF(F35="","",RANK(F35,F:F)+COUNTIF($F$1:F34,F35))</f>
        <v>14</v>
      </c>
    </row>
    <row r="36" spans="1:46">
      <c r="A36" s="2">
        <v>1.7874447030022963E+18</v>
      </c>
      <c r="B36" s="2" t="s">
        <v>633</v>
      </c>
      <c r="C36" s="2" t="s">
        <v>634</v>
      </c>
      <c r="D36" s="202">
        <v>45418.854166666664</v>
      </c>
      <c r="E36" s="2">
        <v>390</v>
      </c>
      <c r="F36" s="2">
        <v>7</v>
      </c>
      <c r="G36" s="2">
        <v>1.7948717948717947E-2</v>
      </c>
      <c r="H36" s="2">
        <v>0</v>
      </c>
      <c r="I36" s="2">
        <v>0</v>
      </c>
      <c r="J36" s="2">
        <v>5</v>
      </c>
      <c r="K36" s="2">
        <v>2</v>
      </c>
      <c r="L36" s="2">
        <v>0</v>
      </c>
      <c r="M36" s="2">
        <v>0</v>
      </c>
      <c r="N36" s="2">
        <v>0</v>
      </c>
      <c r="O36" s="2">
        <v>0</v>
      </c>
      <c r="P36" s="2">
        <v>0</v>
      </c>
      <c r="Q36" s="2">
        <v>0</v>
      </c>
      <c r="R36" s="2">
        <v>0</v>
      </c>
      <c r="S36" s="2">
        <v>0</v>
      </c>
      <c r="T36" s="2">
        <v>0</v>
      </c>
      <c r="U36" s="2">
        <v>0</v>
      </c>
      <c r="V36" s="2">
        <v>0</v>
      </c>
      <c r="W36" s="2" t="s">
        <v>541</v>
      </c>
      <c r="X36" s="2" t="s">
        <v>541</v>
      </c>
      <c r="Y36" s="2" t="s">
        <v>541</v>
      </c>
      <c r="Z36" s="2" t="s">
        <v>541</v>
      </c>
      <c r="AA36" s="2" t="s">
        <v>541</v>
      </c>
      <c r="AB36" s="2" t="s">
        <v>541</v>
      </c>
      <c r="AC36" s="2" t="s">
        <v>541</v>
      </c>
      <c r="AD36" s="2" t="s">
        <v>541</v>
      </c>
      <c r="AE36" s="2" t="s">
        <v>541</v>
      </c>
      <c r="AF36" s="2" t="s">
        <v>541</v>
      </c>
      <c r="AG36" s="2" t="s">
        <v>541</v>
      </c>
      <c r="AH36" s="2" t="s">
        <v>541</v>
      </c>
      <c r="AI36" s="2" t="s">
        <v>541</v>
      </c>
      <c r="AJ36" s="2" t="s">
        <v>541</v>
      </c>
      <c r="AK36" s="2" t="s">
        <v>541</v>
      </c>
      <c r="AL36" s="2" t="s">
        <v>541</v>
      </c>
      <c r="AM36" s="2" t="s">
        <v>541</v>
      </c>
      <c r="AN36" s="2" t="s">
        <v>541</v>
      </c>
      <c r="AT36" s="9">
        <f>IF(F36="","",RANK(F36,F:F)+COUNTIF($F$1:F35,F36))</f>
        <v>28</v>
      </c>
    </row>
    <row r="37" spans="1:46">
      <c r="A37" s="2">
        <v>1.7863671439379868E+18</v>
      </c>
      <c r="B37" s="2" t="s">
        <v>635</v>
      </c>
      <c r="C37" s="2" t="s">
        <v>636</v>
      </c>
      <c r="D37" s="202">
        <v>45415.880555555559</v>
      </c>
      <c r="E37" s="2">
        <v>981</v>
      </c>
      <c r="F37" s="2">
        <v>24</v>
      </c>
      <c r="G37" s="2">
        <v>2.4464831804281346E-2</v>
      </c>
      <c r="H37" s="2">
        <v>2</v>
      </c>
      <c r="I37" s="2">
        <v>0</v>
      </c>
      <c r="J37" s="2">
        <v>6</v>
      </c>
      <c r="K37" s="2">
        <v>4</v>
      </c>
      <c r="L37" s="2">
        <v>0</v>
      </c>
      <c r="M37" s="2">
        <v>0</v>
      </c>
      <c r="N37" s="2">
        <v>7</v>
      </c>
      <c r="O37" s="2">
        <v>0</v>
      </c>
      <c r="P37" s="2">
        <v>0</v>
      </c>
      <c r="Q37" s="2">
        <v>0</v>
      </c>
      <c r="R37" s="2">
        <v>0</v>
      </c>
      <c r="S37" s="2">
        <v>0</v>
      </c>
      <c r="T37" s="2">
        <v>0</v>
      </c>
      <c r="U37" s="2">
        <v>177</v>
      </c>
      <c r="V37" s="2">
        <v>5</v>
      </c>
      <c r="W37" s="2" t="s">
        <v>541</v>
      </c>
      <c r="X37" s="2" t="s">
        <v>541</v>
      </c>
      <c r="Y37" s="2" t="s">
        <v>541</v>
      </c>
      <c r="Z37" s="2" t="s">
        <v>541</v>
      </c>
      <c r="AA37" s="2" t="s">
        <v>541</v>
      </c>
      <c r="AB37" s="2" t="s">
        <v>541</v>
      </c>
      <c r="AC37" s="2" t="s">
        <v>541</v>
      </c>
      <c r="AD37" s="2" t="s">
        <v>541</v>
      </c>
      <c r="AE37" s="2" t="s">
        <v>541</v>
      </c>
      <c r="AF37" s="2" t="s">
        <v>541</v>
      </c>
      <c r="AG37" s="2" t="s">
        <v>541</v>
      </c>
      <c r="AH37" s="2" t="s">
        <v>541</v>
      </c>
      <c r="AI37" s="2" t="s">
        <v>541</v>
      </c>
      <c r="AJ37" s="2" t="s">
        <v>541</v>
      </c>
      <c r="AK37" s="2" t="s">
        <v>541</v>
      </c>
      <c r="AL37" s="2" t="s">
        <v>541</v>
      </c>
      <c r="AM37" s="2" t="s">
        <v>541</v>
      </c>
      <c r="AN37" s="2" t="s">
        <v>541</v>
      </c>
      <c r="AT37" s="9">
        <f>IF(F37="","",RANK(F37,F:F)+COUNTIF($F$1:F36,F37))</f>
        <v>4</v>
      </c>
    </row>
    <row r="38" spans="1:46">
      <c r="A38" s="2">
        <v>1.7863273389445207E+18</v>
      </c>
      <c r="B38" s="2" t="s">
        <v>637</v>
      </c>
      <c r="C38" s="2" t="s">
        <v>638</v>
      </c>
      <c r="D38" s="202">
        <v>45415.770833333336</v>
      </c>
      <c r="E38" s="2">
        <v>313</v>
      </c>
      <c r="F38" s="2">
        <v>9</v>
      </c>
      <c r="G38" s="2">
        <v>2.8753993610223641E-2</v>
      </c>
      <c r="H38" s="2">
        <v>0</v>
      </c>
      <c r="I38" s="2">
        <v>0</v>
      </c>
      <c r="J38" s="2">
        <v>5</v>
      </c>
      <c r="K38" s="2">
        <v>0</v>
      </c>
      <c r="L38" s="2">
        <v>3</v>
      </c>
      <c r="M38" s="2">
        <v>0</v>
      </c>
      <c r="N38" s="2">
        <v>1</v>
      </c>
      <c r="O38" s="2">
        <v>0</v>
      </c>
      <c r="P38" s="2">
        <v>0</v>
      </c>
      <c r="Q38" s="2">
        <v>0</v>
      </c>
      <c r="R38" s="2">
        <v>0</v>
      </c>
      <c r="S38" s="2">
        <v>0</v>
      </c>
      <c r="T38" s="2">
        <v>0</v>
      </c>
      <c r="U38" s="2">
        <v>0</v>
      </c>
      <c r="V38" s="2">
        <v>0</v>
      </c>
      <c r="W38" s="2" t="s">
        <v>541</v>
      </c>
      <c r="X38" s="2" t="s">
        <v>541</v>
      </c>
      <c r="Y38" s="2" t="s">
        <v>541</v>
      </c>
      <c r="Z38" s="2" t="s">
        <v>541</v>
      </c>
      <c r="AA38" s="2" t="s">
        <v>541</v>
      </c>
      <c r="AB38" s="2" t="s">
        <v>541</v>
      </c>
      <c r="AC38" s="2" t="s">
        <v>541</v>
      </c>
      <c r="AD38" s="2" t="s">
        <v>541</v>
      </c>
      <c r="AE38" s="2" t="s">
        <v>541</v>
      </c>
      <c r="AF38" s="2" t="s">
        <v>541</v>
      </c>
      <c r="AG38" s="2" t="s">
        <v>541</v>
      </c>
      <c r="AH38" s="2" t="s">
        <v>541</v>
      </c>
      <c r="AI38" s="2" t="s">
        <v>541</v>
      </c>
      <c r="AJ38" s="2" t="s">
        <v>541</v>
      </c>
      <c r="AK38" s="2" t="s">
        <v>541</v>
      </c>
      <c r="AL38" s="2" t="s">
        <v>541</v>
      </c>
      <c r="AM38" s="2" t="s">
        <v>541</v>
      </c>
      <c r="AN38" s="2" t="s">
        <v>541</v>
      </c>
      <c r="AT38" s="9">
        <f>IF(F38="","",RANK(F38,F:F)+COUNTIF($F$1:F37,F38))</f>
        <v>21</v>
      </c>
    </row>
    <row r="39" spans="1:46">
      <c r="A39" s="2">
        <v>1.7860177985963008E+18</v>
      </c>
      <c r="B39" s="2" t="s">
        <v>639</v>
      </c>
      <c r="C39" s="2" t="s">
        <v>640</v>
      </c>
      <c r="D39" s="202">
        <v>45414.916666666664</v>
      </c>
      <c r="E39" s="2">
        <v>314</v>
      </c>
      <c r="F39" s="2">
        <v>16</v>
      </c>
      <c r="G39" s="2">
        <v>5.0955414012738856E-2</v>
      </c>
      <c r="H39" s="2">
        <v>0</v>
      </c>
      <c r="I39" s="2">
        <v>0</v>
      </c>
      <c r="J39" s="2">
        <v>5</v>
      </c>
      <c r="K39" s="2">
        <v>0</v>
      </c>
      <c r="L39" s="2">
        <v>7</v>
      </c>
      <c r="M39" s="2">
        <v>4</v>
      </c>
      <c r="N39" s="2">
        <v>0</v>
      </c>
      <c r="O39" s="2">
        <v>0</v>
      </c>
      <c r="P39" s="2">
        <v>0</v>
      </c>
      <c r="Q39" s="2">
        <v>0</v>
      </c>
      <c r="R39" s="2">
        <v>0</v>
      </c>
      <c r="S39" s="2">
        <v>0</v>
      </c>
      <c r="T39" s="2">
        <v>0</v>
      </c>
      <c r="U39" s="2">
        <v>0</v>
      </c>
      <c r="V39" s="2">
        <v>0</v>
      </c>
      <c r="W39" s="2" t="s">
        <v>541</v>
      </c>
      <c r="X39" s="2" t="s">
        <v>541</v>
      </c>
      <c r="Y39" s="2" t="s">
        <v>541</v>
      </c>
      <c r="Z39" s="2" t="s">
        <v>541</v>
      </c>
      <c r="AA39" s="2" t="s">
        <v>541</v>
      </c>
      <c r="AB39" s="2" t="s">
        <v>541</v>
      </c>
      <c r="AC39" s="2" t="s">
        <v>541</v>
      </c>
      <c r="AD39" s="2" t="s">
        <v>541</v>
      </c>
      <c r="AE39" s="2" t="s">
        <v>541</v>
      </c>
      <c r="AF39" s="2" t="s">
        <v>541</v>
      </c>
      <c r="AG39" s="2" t="s">
        <v>541</v>
      </c>
      <c r="AH39" s="2" t="s">
        <v>541</v>
      </c>
      <c r="AI39" s="2" t="s">
        <v>541</v>
      </c>
      <c r="AJ39" s="2" t="s">
        <v>541</v>
      </c>
      <c r="AK39" s="2" t="s">
        <v>541</v>
      </c>
      <c r="AL39" s="2" t="s">
        <v>541</v>
      </c>
      <c r="AM39" s="2" t="s">
        <v>541</v>
      </c>
      <c r="AN39" s="2" t="s">
        <v>541</v>
      </c>
      <c r="AT39" s="9">
        <f>IF(F39="","",RANK(F39,F:F)+COUNTIF($F$1:F38,F39))</f>
        <v>8</v>
      </c>
    </row>
    <row r="40" spans="1:46">
      <c r="A40" s="2">
        <v>1.7859951502437993E+18</v>
      </c>
      <c r="B40" s="2" t="s">
        <v>641</v>
      </c>
      <c r="C40" s="2" t="s">
        <v>642</v>
      </c>
      <c r="D40" s="202">
        <v>45414.854166666664</v>
      </c>
      <c r="E40" s="2">
        <v>349</v>
      </c>
      <c r="F40" s="2">
        <v>6</v>
      </c>
      <c r="G40" s="2">
        <v>1.7191977077363897E-2</v>
      </c>
      <c r="H40" s="2">
        <v>0</v>
      </c>
      <c r="I40" s="2">
        <v>0</v>
      </c>
      <c r="J40" s="2">
        <v>4</v>
      </c>
      <c r="K40" s="2">
        <v>0</v>
      </c>
      <c r="L40" s="2">
        <v>0</v>
      </c>
      <c r="M40" s="2">
        <v>0</v>
      </c>
      <c r="N40" s="2">
        <v>0</v>
      </c>
      <c r="O40" s="2">
        <v>0</v>
      </c>
      <c r="P40" s="2">
        <v>0</v>
      </c>
      <c r="Q40" s="2">
        <v>0</v>
      </c>
      <c r="R40" s="2">
        <v>1</v>
      </c>
      <c r="S40" s="2">
        <v>0</v>
      </c>
      <c r="T40" s="2">
        <v>0</v>
      </c>
      <c r="U40" s="2">
        <v>1</v>
      </c>
      <c r="V40" s="2">
        <v>1</v>
      </c>
      <c r="W40" s="2" t="s">
        <v>541</v>
      </c>
      <c r="X40" s="2" t="s">
        <v>541</v>
      </c>
      <c r="Y40" s="2" t="s">
        <v>541</v>
      </c>
      <c r="Z40" s="2" t="s">
        <v>541</v>
      </c>
      <c r="AA40" s="2" t="s">
        <v>541</v>
      </c>
      <c r="AB40" s="2" t="s">
        <v>541</v>
      </c>
      <c r="AC40" s="2" t="s">
        <v>541</v>
      </c>
      <c r="AD40" s="2" t="s">
        <v>541</v>
      </c>
      <c r="AE40" s="2" t="s">
        <v>541</v>
      </c>
      <c r="AF40" s="2" t="s">
        <v>541</v>
      </c>
      <c r="AG40" s="2" t="s">
        <v>541</v>
      </c>
      <c r="AH40" s="2" t="s">
        <v>541</v>
      </c>
      <c r="AI40" s="2" t="s">
        <v>541</v>
      </c>
      <c r="AJ40" s="2" t="s">
        <v>541</v>
      </c>
      <c r="AK40" s="2" t="s">
        <v>541</v>
      </c>
      <c r="AL40" s="2" t="s">
        <v>541</v>
      </c>
      <c r="AM40" s="2" t="s">
        <v>541</v>
      </c>
      <c r="AN40" s="2" t="s">
        <v>541</v>
      </c>
      <c r="AT40" s="9">
        <f>IF(F40="","",RANK(F40,F:F)+COUNTIF($F$1:F39,F40))</f>
        <v>34</v>
      </c>
    </row>
    <row r="41" spans="1:46">
      <c r="A41" s="2">
        <v>1.7859574054965906E+18</v>
      </c>
      <c r="B41" s="2" t="s">
        <v>643</v>
      </c>
      <c r="C41" s="2" t="s">
        <v>644</v>
      </c>
      <c r="D41" s="202">
        <v>45414.75</v>
      </c>
      <c r="E41" s="2">
        <v>280</v>
      </c>
      <c r="F41" s="2">
        <v>6</v>
      </c>
      <c r="G41" s="2">
        <v>2.1428571428571429E-2</v>
      </c>
      <c r="H41" s="2">
        <v>0</v>
      </c>
      <c r="I41" s="2">
        <v>0</v>
      </c>
      <c r="J41" s="2">
        <v>4</v>
      </c>
      <c r="K41" s="2">
        <v>0</v>
      </c>
      <c r="L41" s="2">
        <v>0</v>
      </c>
      <c r="M41" s="2">
        <v>0</v>
      </c>
      <c r="N41" s="2">
        <v>0</v>
      </c>
      <c r="O41" s="2">
        <v>0</v>
      </c>
      <c r="P41" s="2">
        <v>0</v>
      </c>
      <c r="Q41" s="2">
        <v>0</v>
      </c>
      <c r="R41" s="2">
        <v>0</v>
      </c>
      <c r="S41" s="2">
        <v>0</v>
      </c>
      <c r="T41" s="2">
        <v>0</v>
      </c>
      <c r="U41" s="2">
        <v>2</v>
      </c>
      <c r="V41" s="2">
        <v>2</v>
      </c>
      <c r="W41" s="2" t="s">
        <v>541</v>
      </c>
      <c r="X41" s="2" t="s">
        <v>541</v>
      </c>
      <c r="Y41" s="2" t="s">
        <v>541</v>
      </c>
      <c r="Z41" s="2" t="s">
        <v>541</v>
      </c>
      <c r="AA41" s="2" t="s">
        <v>541</v>
      </c>
      <c r="AB41" s="2" t="s">
        <v>541</v>
      </c>
      <c r="AC41" s="2" t="s">
        <v>541</v>
      </c>
      <c r="AD41" s="2" t="s">
        <v>541</v>
      </c>
      <c r="AE41" s="2" t="s">
        <v>541</v>
      </c>
      <c r="AF41" s="2" t="s">
        <v>541</v>
      </c>
      <c r="AG41" s="2" t="s">
        <v>541</v>
      </c>
      <c r="AH41" s="2" t="s">
        <v>541</v>
      </c>
      <c r="AI41" s="2" t="s">
        <v>541</v>
      </c>
      <c r="AJ41" s="2" t="s">
        <v>541</v>
      </c>
      <c r="AK41" s="2" t="s">
        <v>541</v>
      </c>
      <c r="AL41" s="2" t="s">
        <v>541</v>
      </c>
      <c r="AM41" s="2" t="s">
        <v>541</v>
      </c>
      <c r="AN41" s="2" t="s">
        <v>541</v>
      </c>
      <c r="AT41" s="9">
        <f>IF(F41="","",RANK(F41,F:F)+COUNTIF($F$1:F40,F41))</f>
        <v>35</v>
      </c>
    </row>
    <row r="42" spans="1:46">
      <c r="A42" s="2">
        <v>1.785655416418091E+18</v>
      </c>
      <c r="B42" s="2" t="s">
        <v>645</v>
      </c>
      <c r="C42" s="2" t="s">
        <v>646</v>
      </c>
      <c r="D42" s="202">
        <v>45413.916666666664</v>
      </c>
      <c r="E42" s="2">
        <v>313</v>
      </c>
      <c r="F42" s="2">
        <v>7</v>
      </c>
      <c r="G42" s="2">
        <v>2.2364217252396165E-2</v>
      </c>
      <c r="H42" s="2">
        <v>0</v>
      </c>
      <c r="I42" s="2">
        <v>1</v>
      </c>
      <c r="J42" s="2">
        <v>4</v>
      </c>
      <c r="K42" s="2">
        <v>0</v>
      </c>
      <c r="L42" s="2">
        <v>0</v>
      </c>
      <c r="M42" s="2">
        <v>1</v>
      </c>
      <c r="N42" s="2">
        <v>0</v>
      </c>
      <c r="O42" s="2">
        <v>0</v>
      </c>
      <c r="P42" s="2">
        <v>0</v>
      </c>
      <c r="Q42" s="2">
        <v>0</v>
      </c>
      <c r="R42" s="2">
        <v>0</v>
      </c>
      <c r="S42" s="2">
        <v>0</v>
      </c>
      <c r="T42" s="2">
        <v>0</v>
      </c>
      <c r="U42" s="2">
        <v>48</v>
      </c>
      <c r="V42" s="2">
        <v>1</v>
      </c>
      <c r="W42" s="2" t="s">
        <v>541</v>
      </c>
      <c r="X42" s="2" t="s">
        <v>541</v>
      </c>
      <c r="Y42" s="2" t="s">
        <v>541</v>
      </c>
      <c r="Z42" s="2" t="s">
        <v>541</v>
      </c>
      <c r="AA42" s="2" t="s">
        <v>541</v>
      </c>
      <c r="AB42" s="2" t="s">
        <v>541</v>
      </c>
      <c r="AC42" s="2" t="s">
        <v>541</v>
      </c>
      <c r="AD42" s="2" t="s">
        <v>541</v>
      </c>
      <c r="AE42" s="2" t="s">
        <v>541</v>
      </c>
      <c r="AF42" s="2" t="s">
        <v>541</v>
      </c>
      <c r="AG42" s="2" t="s">
        <v>541</v>
      </c>
      <c r="AH42" s="2" t="s">
        <v>541</v>
      </c>
      <c r="AI42" s="2" t="s">
        <v>541</v>
      </c>
      <c r="AJ42" s="2" t="s">
        <v>541</v>
      </c>
      <c r="AK42" s="2" t="s">
        <v>541</v>
      </c>
      <c r="AL42" s="2" t="s">
        <v>541</v>
      </c>
      <c r="AM42" s="2" t="s">
        <v>541</v>
      </c>
      <c r="AN42" s="2" t="s">
        <v>541</v>
      </c>
      <c r="AT42" s="9">
        <f>IF(F42="","",RANK(F42,F:F)+COUNTIF($F$1:F41,F42))</f>
        <v>29</v>
      </c>
    </row>
    <row r="43" spans="1:46">
      <c r="A43" s="2">
        <v>1.7856252185073172E+18</v>
      </c>
      <c r="B43" s="2" t="s">
        <v>647</v>
      </c>
      <c r="C43" s="2" t="s">
        <v>648</v>
      </c>
      <c r="D43" s="202">
        <v>45413.833333333336</v>
      </c>
      <c r="E43" s="2">
        <v>281</v>
      </c>
      <c r="F43" s="2">
        <v>6</v>
      </c>
      <c r="G43" s="2">
        <v>2.1352313167259787E-2</v>
      </c>
      <c r="H43" s="2">
        <v>0</v>
      </c>
      <c r="I43" s="2">
        <v>0</v>
      </c>
      <c r="J43" s="2">
        <v>5</v>
      </c>
      <c r="K43" s="2">
        <v>0</v>
      </c>
      <c r="L43" s="2">
        <v>0</v>
      </c>
      <c r="M43" s="2">
        <v>0</v>
      </c>
      <c r="N43" s="2">
        <v>0</v>
      </c>
      <c r="O43" s="2">
        <v>0</v>
      </c>
      <c r="P43" s="2">
        <v>0</v>
      </c>
      <c r="Q43" s="2">
        <v>0</v>
      </c>
      <c r="R43" s="2">
        <v>0</v>
      </c>
      <c r="S43" s="2">
        <v>0</v>
      </c>
      <c r="T43" s="2">
        <v>0</v>
      </c>
      <c r="U43" s="2">
        <v>1</v>
      </c>
      <c r="V43" s="2">
        <v>1</v>
      </c>
      <c r="W43" s="2" t="s">
        <v>541</v>
      </c>
      <c r="X43" s="2" t="s">
        <v>541</v>
      </c>
      <c r="Y43" s="2" t="s">
        <v>541</v>
      </c>
      <c r="Z43" s="2" t="s">
        <v>541</v>
      </c>
      <c r="AA43" s="2" t="s">
        <v>541</v>
      </c>
      <c r="AB43" s="2" t="s">
        <v>541</v>
      </c>
      <c r="AC43" s="2" t="s">
        <v>541</v>
      </c>
      <c r="AD43" s="2" t="s">
        <v>541</v>
      </c>
      <c r="AE43" s="2" t="s">
        <v>541</v>
      </c>
      <c r="AF43" s="2" t="s">
        <v>541</v>
      </c>
      <c r="AG43" s="2" t="s">
        <v>541</v>
      </c>
      <c r="AH43" s="2" t="s">
        <v>541</v>
      </c>
      <c r="AI43" s="2" t="s">
        <v>541</v>
      </c>
      <c r="AJ43" s="2" t="s">
        <v>541</v>
      </c>
      <c r="AK43" s="2" t="s">
        <v>541</v>
      </c>
      <c r="AL43" s="2" t="s">
        <v>541</v>
      </c>
      <c r="AM43" s="2" t="s">
        <v>541</v>
      </c>
      <c r="AN43" s="2" t="s">
        <v>541</v>
      </c>
      <c r="AT43" s="9">
        <f>IF(F43="","",RANK(F43,F:F)+COUNTIF($F$1:F42,F43))</f>
        <v>36</v>
      </c>
    </row>
    <row r="44" spans="1:46">
      <c r="AT44" s="9" t="str">
        <f>IF(F44="","",RANK(F44,F:F)+COUNTIF($F$1:F43,F44))</f>
        <v/>
      </c>
    </row>
    <row r="45" spans="1:46">
      <c r="AT45" s="9" t="str">
        <f>IF(F45="","",RANK(F45,F:F)+COUNTIF($F$1:F44,F45))</f>
        <v/>
      </c>
    </row>
    <row r="46" spans="1:46">
      <c r="AT46" s="9" t="str">
        <f>IF(F46="","",RANK(F46,F:F)+COUNTIF($F$1:F45,F46))</f>
        <v/>
      </c>
    </row>
    <row r="47" spans="1:46">
      <c r="AT47" s="9" t="str">
        <f>IF(F47="","",RANK(F47,F:F)+COUNTIF($F$1:F46,F47))</f>
        <v/>
      </c>
    </row>
    <row r="48" spans="1:46">
      <c r="AT48" s="9" t="str">
        <f>IF(F48="","",RANK(F48,F:F)+COUNTIF($F$1:F47,F48))</f>
        <v/>
      </c>
    </row>
    <row r="49" spans="46:46">
      <c r="AT49" s="9" t="str">
        <f>IF(F49="","",RANK(F49,F:F)+COUNTIF($F$1:F48,F49))</f>
        <v/>
      </c>
    </row>
    <row r="50" spans="46:46">
      <c r="AT50" s="9" t="str">
        <f>IF(F50="","",RANK(F50,F:F)+COUNTIF($F$1:F49,F50))</f>
        <v/>
      </c>
    </row>
    <row r="51" spans="46:46">
      <c r="AT51" s="9" t="str">
        <f>IF(F51="","",RANK(F51,F:F)+COUNTIF($F$1:F50,F51))</f>
        <v/>
      </c>
    </row>
    <row r="52" spans="46:46">
      <c r="AT52" s="9" t="str">
        <f>IF(F52="","",RANK(F52,F:F)+COUNTIF($F$1:F51,F52))</f>
        <v/>
      </c>
    </row>
    <row r="53" spans="46:46">
      <c r="AT53" s="9" t="str">
        <f>IF(F53="","",RANK(F53,F:F)+COUNTIF($F$1:F52,F53))</f>
        <v/>
      </c>
    </row>
    <row r="54" spans="46:46">
      <c r="AT54" s="9" t="str">
        <f>IF(F54="","",RANK(F54,F:F)+COUNTIF($F$1:F53,F54))</f>
        <v/>
      </c>
    </row>
    <row r="55" spans="46:46">
      <c r="AT55" s="9" t="str">
        <f>IF(F55="","",RANK(F55,F:F)+COUNTIF($F$1:F54,F55))</f>
        <v/>
      </c>
    </row>
    <row r="56" spans="46:46">
      <c r="AT56" s="9" t="str">
        <f>IF(F56="","",RANK(F56,F:F)+COUNTIF($F$1:F55,F56))</f>
        <v/>
      </c>
    </row>
    <row r="57" spans="46:46">
      <c r="AT57" s="9" t="str">
        <f>IF(F57="","",RANK(F57,F:F)+COUNTIF($F$1:F56,F57))</f>
        <v/>
      </c>
    </row>
    <row r="58" spans="46:46">
      <c r="AT58" s="9" t="str">
        <f>IF(F58="","",RANK(F58,F:F)+COUNTIF($F$1:F57,F58))</f>
        <v/>
      </c>
    </row>
    <row r="59" spans="46:46">
      <c r="AT59" s="9" t="str">
        <f>IF(F59="","",RANK(F59,F:F)+COUNTIF($F$1:F58,F59))</f>
        <v/>
      </c>
    </row>
    <row r="60" spans="46:46">
      <c r="AT60" s="9" t="str">
        <f>IF(F60="","",RANK(F60,F:F)+COUNTIF($F$1:F59,F60))</f>
        <v/>
      </c>
    </row>
    <row r="61" spans="46:46">
      <c r="AT61" s="9" t="str">
        <f>IF(F61="","",RANK(F61,F:F)+COUNTIF($F$1:F60,F61))</f>
        <v/>
      </c>
    </row>
    <row r="62" spans="46:46">
      <c r="AT62" s="9" t="str">
        <f>IF(F62="","",RANK(F62,F:F)+COUNTIF($F$1:F61,F62))</f>
        <v/>
      </c>
    </row>
    <row r="63" spans="46:46">
      <c r="AT63" s="9" t="str">
        <f>IF(F63="","",RANK(F63,F:F)+COUNTIF($F$1:F62,F63))</f>
        <v/>
      </c>
    </row>
    <row r="64" spans="46:46">
      <c r="AT64" s="9" t="str">
        <f>IF(F64="","",RANK(F64,F:F)+COUNTIF($F$1:F63,F64))</f>
        <v/>
      </c>
    </row>
    <row r="65" spans="46:46">
      <c r="AT65" s="9" t="str">
        <f>IF(F65="","",RANK(F65,F:F)+COUNTIF($F$1:F64,F65))</f>
        <v/>
      </c>
    </row>
    <row r="66" spans="46:46">
      <c r="AT66" s="9" t="str">
        <f>IF(F66="","",RANK(F66,F:F)+COUNTIF($F$1:F65,F66))</f>
        <v/>
      </c>
    </row>
    <row r="67" spans="46:46">
      <c r="AT67" s="9" t="str">
        <f>IF(F67="","",RANK(F67,F:F)+COUNTIF($F$1:F66,F67))</f>
        <v/>
      </c>
    </row>
    <row r="68" spans="46:46">
      <c r="AT68" s="9" t="str">
        <f>IF(F68="","",RANK(F68,F:F)+COUNTIF($F$1:F67,F68))</f>
        <v/>
      </c>
    </row>
    <row r="69" spans="46:46">
      <c r="AT69" s="9" t="str">
        <f>IF(F69="","",RANK(F69,F:F)+COUNTIF($F$1:F68,F69))</f>
        <v/>
      </c>
    </row>
    <row r="70" spans="46:46">
      <c r="AT70" s="9" t="str">
        <f>IF(F70="","",RANK(F70,F:F)+COUNTIF($F$1:F69,F70))</f>
        <v/>
      </c>
    </row>
    <row r="71" spans="46:46">
      <c r="AT71" s="9" t="str">
        <f>IF(F71="","",RANK(F71,F:F)+COUNTIF($F$1:F70,F71))</f>
        <v/>
      </c>
    </row>
    <row r="72" spans="46:46">
      <c r="AT72" s="9" t="str">
        <f>IF(F72="","",RANK(F72,F:F)+COUNTIF($F$1:F71,F72))</f>
        <v/>
      </c>
    </row>
    <row r="73" spans="46:46">
      <c r="AT73" s="9" t="str">
        <f>IF(F73="","",RANK(F73,F:F)+COUNTIF($F$1:F72,F73))</f>
        <v/>
      </c>
    </row>
    <row r="74" spans="46:46">
      <c r="AT74" s="9" t="str">
        <f>IF(F74="","",RANK(F74,F:F)+COUNTIF($F$1:F73,F74))</f>
        <v/>
      </c>
    </row>
    <row r="75" spans="46:46">
      <c r="AT75" s="9" t="str">
        <f>IF(F75="","",RANK(F75,F:F)+COUNTIF($F$1:F74,F75))</f>
        <v/>
      </c>
    </row>
    <row r="76" spans="46:46">
      <c r="AT76" s="9" t="str">
        <f>IF(F76="","",RANK(F76,F:F)+COUNTIF($F$1:F75,F76))</f>
        <v/>
      </c>
    </row>
    <row r="77" spans="46:46">
      <c r="AT77" s="9" t="str">
        <f>IF(F77="","",RANK(F77,F:F)+COUNTIF($F$1:F76,F77))</f>
        <v/>
      </c>
    </row>
    <row r="78" spans="46:46">
      <c r="AT78" s="9" t="str">
        <f>IF(F78="","",RANK(F78,F:F)+COUNTIF($F$1:F77,F78))</f>
        <v/>
      </c>
    </row>
    <row r="79" spans="46:46">
      <c r="AT79" s="9" t="str">
        <f>IF(F79="","",RANK(F79,F:F)+COUNTIF($F$1:F78,F79))</f>
        <v/>
      </c>
    </row>
    <row r="80" spans="46:46">
      <c r="AT80" s="9" t="str">
        <f>IF(F80="","",RANK(F80,F:F)+COUNTIF($F$1:F79,F80))</f>
        <v/>
      </c>
    </row>
    <row r="81" spans="46:46">
      <c r="AT81" s="9" t="str">
        <f>IF(F81="","",RANK(F81,F:F)+COUNTIF($F$1:F80,F81))</f>
        <v/>
      </c>
    </row>
    <row r="82" spans="46:46">
      <c r="AT82" s="9" t="str">
        <f>IF(F82="","",RANK(F82,F:F)+COUNTIF($F$1:F81,F82))</f>
        <v/>
      </c>
    </row>
    <row r="83" spans="46:46">
      <c r="AT83" s="9" t="str">
        <f>IF(F83="","",RANK(F83,F:F)+COUNTIF($F$1:F82,F83))</f>
        <v/>
      </c>
    </row>
    <row r="84" spans="46:46">
      <c r="AT84" s="9" t="str">
        <f>IF(F84="","",RANK(F84,F:F)+COUNTIF($F$1:F83,F84))</f>
        <v/>
      </c>
    </row>
    <row r="85" spans="46:46">
      <c r="AT85" s="9" t="str">
        <f>IF(F85="","",RANK(F85,F:F)+COUNTIF($F$1:F84,F85))</f>
        <v/>
      </c>
    </row>
    <row r="86" spans="46:46">
      <c r="AT86" s="9" t="str">
        <f>IF(F86="","",RANK(F86,F:F)+COUNTIF($F$1:F85,F86))</f>
        <v/>
      </c>
    </row>
    <row r="87" spans="46:46">
      <c r="AT87" s="9" t="str">
        <f>IF(F87="","",RANK(F87,F:F)+COUNTIF($F$1:F86,F87))</f>
        <v/>
      </c>
    </row>
    <row r="88" spans="46:46">
      <c r="AT88" s="9" t="str">
        <f>IF(F88="","",RANK(F88,F:F)+COUNTIF($F$1:F87,F88))</f>
        <v/>
      </c>
    </row>
    <row r="89" spans="46:46">
      <c r="AT89" s="9" t="str">
        <f>IF(F89="","",RANK(F89,F:F)+COUNTIF($F$1:F88,F89))</f>
        <v/>
      </c>
    </row>
    <row r="90" spans="46:46">
      <c r="AT90" s="9" t="str">
        <f>IF(F90="","",RANK(F90,F:F)+COUNTIF($F$1:F89,F90))</f>
        <v/>
      </c>
    </row>
    <row r="91" spans="46:46">
      <c r="AT91" s="9" t="str">
        <f>IF(F91="","",RANK(F91,F:F)+COUNTIF($F$1:F90,F91))</f>
        <v/>
      </c>
    </row>
    <row r="92" spans="46:46">
      <c r="AT92" s="9" t="str">
        <f>IF(F92="","",RANK(F92,F:F)+COUNTIF($F$1:F91,F92))</f>
        <v/>
      </c>
    </row>
    <row r="93" spans="46:46">
      <c r="AT93" s="9" t="str">
        <f>IF(F93="","",RANK(F93,F:F)+COUNTIF($F$1:F92,F93))</f>
        <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9175-A098-4117-9057-4304FA3AA033}">
  <sheetPr codeName="Sheet23">
    <tabColor rgb="FFFFFF00"/>
  </sheetPr>
  <dimension ref="A1:H74"/>
  <sheetViews>
    <sheetView workbookViewId="0">
      <selection sqref="A1:B1"/>
    </sheetView>
  </sheetViews>
  <sheetFormatPr defaultRowHeight="16.5"/>
  <cols>
    <col min="2" max="2" width="155.875" customWidth="1"/>
    <col min="3" max="3" width="46" customWidth="1"/>
    <col min="4" max="6" width="17.875" customWidth="1"/>
  </cols>
  <sheetData>
    <row r="1" spans="1:8">
      <c r="A1" s="148" t="s">
        <v>85</v>
      </c>
      <c r="B1" s="92" t="s">
        <v>189</v>
      </c>
      <c r="C1" s="92" t="s">
        <v>194</v>
      </c>
      <c r="D1" s="92" t="s">
        <v>111</v>
      </c>
      <c r="E1" s="93" t="s">
        <v>195</v>
      </c>
      <c r="F1" s="52" t="s">
        <v>135</v>
      </c>
      <c r="G1" s="52" t="s">
        <v>463</v>
      </c>
      <c r="H1" s="52"/>
    </row>
    <row r="2" spans="1:8">
      <c r="A2" s="4">
        <v>1</v>
      </c>
      <c r="B2" s="147" t="str">
        <f>IFERROR(INDEX(X!C:C,MATCH(A2,X!AT:AT,0),1),"")</f>
        <v>Exciting partnership alert! @SKhynix has teamed up with @TSMC to innovate on #HBM4 and advanced packaging tech.
A strategic leap in #AI memory solutions! 
For more details, check below.
#SKhynix #TSMC #MOU https://t.co/LcXyXRnOqw</v>
      </c>
      <c r="C2" s="46"/>
      <c r="D2" s="46"/>
      <c r="E2" s="128"/>
      <c r="F2" s="32">
        <f>IFERROR(INDEX(X!D:D,MATCH(A2,X!AT:AT,0),1),"")</f>
        <v>45425.854166666664</v>
      </c>
      <c r="G2" s="9" t="str">
        <f>IFERROR(INDEX(X!B:B,MATCH(A2,X!AT:AT,0),1),"")</f>
        <v>https://twitter.com/SKhynix/status/1789981418099265699</v>
      </c>
    </row>
    <row r="3" spans="1:8">
      <c r="A3" s="4">
        <v>2</v>
      </c>
      <c r="B3" s="147" t="str">
        <f>IFERROR(INDEX(X!C:C,MATCH(A3,X!AT:AT,0),1),"")</f>
        <v>What is the most important thing in #AI?
Low Power 🌱
High Bandwidth 🚀
High Capacity 📈
Now, Introducing @SKhynix new form factor memory module, #LPCAMM2 — experience extremely reduced power consumption and higher speed with just a single memory module.
#SKhynix #LPDDR5X https://t.co/77CvGuujNs</v>
      </c>
      <c r="C3" s="46"/>
      <c r="D3" s="46"/>
      <c r="E3" s="128"/>
      <c r="F3" s="32">
        <f>IFERROR(INDEX(X!D:D,MATCH(A3,X!AT:AT,0),1),"")</f>
        <v>45426.854166666664</v>
      </c>
      <c r="G3" s="9" t="str">
        <f>IFERROR(INDEX(X!B:B,MATCH(A3,X!AT:AT,0),1),"")</f>
        <v>https://twitter.com/SKhynix/status/1790343805834559882</v>
      </c>
    </row>
    <row r="4" spans="1:8">
      <c r="A4" s="4">
        <v>3</v>
      </c>
      <c r="B4" s="147" t="str">
        <f>IFERROR(INDEX(X!C:C,MATCH(A4,X!AT:AT,0),1),"")</f>
        <v>Looking for the ultimate memory chip? Check out @SKhynix's HBM3E! 
With up to 12 stacks, 36GB capacity, and over 1.18TB/s+ bandwidth, it's perfect for AI, high-performance computing, and more. 
Upgrade your tech now!
#SKhynix #HBM3E #AI #Memory https://t.co/j4Ky8H19lf</v>
      </c>
      <c r="C4" s="46"/>
      <c r="D4" s="46"/>
      <c r="E4" s="128"/>
      <c r="F4" s="32">
        <f>IFERROR(INDEX(X!D:D,MATCH(A4,X!AT:AT,0),1),"")</f>
        <v>45440.854166666664</v>
      </c>
      <c r="G4" s="9" t="str">
        <f>IFERROR(INDEX(X!B:B,MATCH(A4,X!AT:AT,0),1),"")</f>
        <v>https://twitter.com/SKhynix/status/1795417234783027602</v>
      </c>
    </row>
    <row r="5" spans="1:8">
      <c r="A5" s="4">
        <v>4</v>
      </c>
      <c r="B5" s="147" t="str">
        <f>IFERROR(INDEX(X!C:C,MATCH(A5,X!AT:AT,0),1),"")</f>
        <v>Boost your #data performance with @SKhynix #DDR5 DRAM!
Leading the charge in data centers with top speeds and lower power use.
Check out how in our latest video!
#SKhynix #AI #Server #DRAM https://t.co/OkUUcXS2TN</v>
      </c>
      <c r="C5" s="46"/>
      <c r="D5" s="46"/>
      <c r="E5" s="128"/>
      <c r="F5" s="32">
        <f>IFERROR(INDEX(X!D:D,MATCH(A5,X!AT:AT,0),1),"")</f>
        <v>45415.880555555559</v>
      </c>
      <c r="G5" s="9" t="str">
        <f>IFERROR(INDEX(X!B:B,MATCH(A5,X!AT:AT,0),1),"")</f>
        <v>https://twitter.com/SKhynix/status/1786367143937986827</v>
      </c>
    </row>
    <row r="6" spans="1:8">
      <c r="A6" s="4">
        <v>5</v>
      </c>
      <c r="B6" s="147" t="str">
        <f>IFERROR(INDEX(X!C:C,MATCH(A6,X!AT:AT,0),1),"")</f>
        <v>Overwhelmed? Don’t let a slow, low-capacity #PC hold you back. 
Discover @SKhynix's cutting-edge memory solutions for PCs—speed up with our next-gen tech for desktops and laptops. 
Dive into the future with our image below!
#SKhynix #SSD #Memory #cSSD #eSSD https://t.co/nezFDnBCjh</v>
      </c>
      <c r="C6" s="46"/>
      <c r="D6" s="46"/>
      <c r="E6" s="128"/>
      <c r="F6" s="32">
        <f>IFERROR(INDEX(X!D:D,MATCH(A6,X!AT:AT,0),1),"")</f>
        <v>45420.854166666664</v>
      </c>
      <c r="G6" s="9" t="str">
        <f>IFERROR(INDEX(X!B:B,MATCH(A6,X!AT:AT,0),1),"")</f>
        <v>https://twitter.com/SKhynix/status/1788169478389313710</v>
      </c>
    </row>
    <row r="7" spans="1:8">
      <c r="A7" s="4">
        <v>6</v>
      </c>
      <c r="B7" s="147" t="str">
        <f>IFERROR(INDEX(X!C:C,MATCH(A7,X!AT:AT,0),1),"")</f>
        <v>Experience the future with @SKhynix at COMPUTEX TAIPEI 2024! We're ready to welcome you. Visit us anytime at booth #N0230 on the 4th floor of TaiNEX 1.
Immerse yourself in cutting-edge tech and witness it up close. See you there!
#SKhynix #COMPUTEX #COMPUTEX2024 https://t.co/0RTQgzmeal</v>
      </c>
      <c r="C7" s="46"/>
      <c r="D7" s="46"/>
      <c r="E7" s="128"/>
      <c r="F7" s="32">
        <f>IFERROR(INDEX(X!D:D,MATCH(A7,X!AT:AT,0),1),"")</f>
        <v>45442.8125</v>
      </c>
      <c r="G7" s="9" t="str">
        <f>IFERROR(INDEX(X!B:B,MATCH(A7,X!AT:AT,0),1),"")</f>
        <v>https://twitter.com/SKhynix/status/1796126912244314357</v>
      </c>
    </row>
    <row r="8" spans="1:8">
      <c r="A8" s="4">
        <v>7</v>
      </c>
      <c r="B8" s="147" t="str">
        <f>IFERROR(INDEX(X!C:C,MATCH(A8,X!AT:AT,0),1),"")</f>
        <v>Level up with @SKhynix's #PC Memory solutions!
Boost your PC with #DDR5, #LPCAMM2, #GDDR7, #LPDDR5T, &amp;amp; #SSD for unmatched speed and performance. 
Dominate the game and win every battle.
Choose the best, choose SK hynix!
#SKhynix https://t.co/9yMPdQtqdn</v>
      </c>
      <c r="C8" s="46"/>
      <c r="D8" s="46"/>
      <c r="E8" s="128"/>
      <c r="F8" s="32">
        <f>IFERROR(INDEX(X!D:D,MATCH(A8,X!AT:AT,0),1),"")</f>
        <v>45428.921527777777</v>
      </c>
      <c r="G8" s="9" t="str">
        <f>IFERROR(INDEX(X!B:B,MATCH(A8,X!AT:AT,0),1),"")</f>
        <v>https://twitter.com/SKhynix/status/1791093050707677532</v>
      </c>
    </row>
    <row r="9" spans="1:8">
      <c r="A9" s="4">
        <v>8</v>
      </c>
      <c r="B9" s="147" t="str">
        <f>IFERROR(INDEX(X!C:C,MATCH(A9,X!AT:AT,0),1),"")</f>
        <v>@SKhynix showcased its latest technologies at the #CXL #DevCon 2024 held in Santa Clara, alongside leaders from 240 semiconductor companies worldwide.
If you're curious about how SK hynix's #CXL technology is leading the #AI era, click the link below!
https://t.co/c8p3ZCgbOf</v>
      </c>
      <c r="C9" s="46"/>
      <c r="D9" s="46"/>
      <c r="E9" s="128"/>
      <c r="F9" s="32">
        <f>IFERROR(INDEX(X!D:D,MATCH(A9,X!AT:AT,0),1),"")</f>
        <v>45414.916666666664</v>
      </c>
      <c r="G9" s="9" t="str">
        <f>IFERROR(INDEX(X!B:B,MATCH(A9,X!AT:AT,0),1),"")</f>
        <v>https://twitter.com/SKhynix/status/1786017798596300806</v>
      </c>
    </row>
    <row r="10" spans="1:8">
      <c r="A10" s="4">
        <v>9</v>
      </c>
      <c r="B10" s="147" t="str">
        <f>IFERROR(INDEX(X!C:C,MATCH(A10,X!AT:AT,0),1),"")</f>
        <v>🌐In today’s digital world, SSDs are essential.
Meet @SKhynix's eSSD 'kicking off' series with the PE8000 and SE5000 – your go-to for efficiency and power, handling the toughest server workloads seamlessly!
#SKhynix #SSD #Essd #SATA #PCIe https://t.co/dvpmkX7ZMW</v>
      </c>
      <c r="C10" s="46"/>
      <c r="D10" s="46"/>
      <c r="E10" s="128"/>
      <c r="F10" s="32">
        <f>IFERROR(INDEX(X!D:D,MATCH(A10,X!AT:AT,0),1),"")</f>
        <v>45432.852083333331</v>
      </c>
      <c r="G10" s="9" t="str">
        <f>IFERROR(INDEX(X!B:B,MATCH(A10,X!AT:AT,0),1),"")</f>
        <v>https://twitter.com/SKhynix/status/1792517560065474632</v>
      </c>
    </row>
    <row r="11" spans="1:8">
      <c r="A11" s="4">
        <v>10</v>
      </c>
      <c r="B11" s="147" t="str">
        <f>IFERROR(INDEX(X!C:C,MATCH(A11,X!AT:AT,0),1),"")</f>
        <v>Explore the unity of families in the micro world of the chip at @SKhynix! 🔍
In our fast-paced world, family harmony is priceless. We treat our employees' families like our own and are committed to enhancing their well-being with more benefits.
#SKhynix #FamilyDay #IDOF https://t.co/t5MudrMOlv</v>
      </c>
      <c r="C11" s="46"/>
      <c r="D11" s="46"/>
      <c r="E11" s="128"/>
      <c r="F11" s="32">
        <f>IFERROR(INDEX(X!D:D,MATCH(A11,X!AT:AT,0),1),"")</f>
        <v>45427.854166666664</v>
      </c>
      <c r="G11" s="9" t="str">
        <f>IFERROR(INDEX(X!B:B,MATCH(A11,X!AT:AT,0),1),"")</f>
        <v>https://twitter.com/SKhynix/status/1790706191250939973</v>
      </c>
    </row>
    <row r="12" spans="1:8">
      <c r="A12" s="4">
        <v>11</v>
      </c>
      <c r="B12" s="147" t="str">
        <f>IFERROR(INDEX(X!C:C,MATCH(A12,X!AT:AT,0),1),"")</f>
        <v>Join us at #DellTechWorld 2024🌐 May 20-23, The Venetian, Las Vegas.
Dive into #AI innovation with @SKhynix at Booth #633! Explore how our "Memory, the Power of AI" is transforming life and tech.
Don't miss out!
#SKhynix #DTW2024 https://t.co/1xWsHlVJHT</v>
      </c>
      <c r="C12" s="46"/>
      <c r="D12" s="46"/>
      <c r="E12" s="128"/>
      <c r="F12" s="32">
        <f>IFERROR(INDEX(X!D:D,MATCH(A12,X!AT:AT,0),1),"")</f>
        <v>45425.75</v>
      </c>
      <c r="G12" s="9" t="str">
        <f>IFERROR(INDEX(X!B:B,MATCH(A12,X!AT:AT,0),1),"")</f>
        <v>https://twitter.com/SKhynix/status/1789943674329244015</v>
      </c>
    </row>
    <row r="13" spans="1:8">
      <c r="A13" s="4">
        <v>12</v>
      </c>
      <c r="B13" s="147" t="str">
        <f>IFERROR(INDEX(X!C:C,MATCH(A13,X!AT:AT,0),1),"")</f>
        <v>With #AI market growth, demand for high-capacity, high-performance storage memory is soaring!
@SKhynix leads with top-performing 4D #NAND and advanced solutions like #ZUFS 4.0 for mobile &amp;amp; PC AI, plus #PCB01.🌐
👀 Discover our tech innovations in AI!
#SKhynix #4DNAND https://t.co/9r5sD6ZoM2</v>
      </c>
      <c r="C13" s="46"/>
      <c r="D13" s="46"/>
      <c r="E13" s="128"/>
      <c r="F13" s="32">
        <f>IFERROR(INDEX(X!D:D,MATCH(A13,X!AT:AT,0),1),"")</f>
        <v>45435.854166666664</v>
      </c>
      <c r="G13" s="9" t="str">
        <f>IFERROR(INDEX(X!B:B,MATCH(A13,X!AT:AT,0),1),"")</f>
        <v>https://twitter.com/SKhynix/status/1793605296666886225</v>
      </c>
    </row>
    <row r="14" spans="1:8">
      <c r="A14" s="4">
        <v>13</v>
      </c>
      <c r="B14" s="147" t="str">
        <f>IFERROR(INDEX(X!C:C,MATCH(A14,X!AT:AT,0),1),"")</f>
        <v>🌟@SKhynix shines at #DellTechWorld2024 in Vegas! Showcasing cutting-edge SSD, HBM, &amp;amp; CXL® tech with Dell.
#PS1010 &amp;amp; #PCB01 boost Dell's performance, while #LPCAMM2 &amp;amp; #CMM-DDR5 push the limits on AI &amp;amp; computing.
Join us in leading the tech revolution!
https://t.co/V6cbiCLzEU</v>
      </c>
      <c r="C14" s="46"/>
      <c r="D14" s="46"/>
      <c r="E14" s="128"/>
      <c r="F14" s="32">
        <f>IFERROR(INDEX(X!D:D,MATCH(A14,X!AT:AT,0),1),"")</f>
        <v>45433.9375</v>
      </c>
      <c r="G14" s="9" t="str">
        <f>IFERROR(INDEX(X!B:B,MATCH(A14,X!AT:AT,0),1),"")</f>
        <v>https://twitter.com/SKhynix/status/1792910717466939644</v>
      </c>
    </row>
    <row r="15" spans="1:8">
      <c r="A15" s="4">
        <v>14</v>
      </c>
      <c r="B15" s="147" t="str">
        <f>IFERROR(INDEX(X!C:C,MATCH(A15,X!AT:AT,0),1),"")</f>
        <v>Explore the future at Dell Technologies World!
@SKhynix leads with next-gen AI tech.
📅 May 20-23, 2024
✈️ The Venetian, Las Vegas
🔍 "Memory, the Power of AI"
Join us to see how we're driving innovation!
#SKhynix #DTW2024 #Memory #Dell https://t.co/YK0GAvRLOD</v>
      </c>
      <c r="C15" s="46"/>
      <c r="D15" s="46"/>
      <c r="E15" s="128"/>
      <c r="F15" s="32">
        <f>IFERROR(INDEX(X!D:D,MATCH(A15,X!AT:AT,0),1),"")</f>
        <v>45419.859722222223</v>
      </c>
      <c r="G15" s="9" t="str">
        <f>IFERROR(INDEX(X!B:B,MATCH(A15,X!AT:AT,0),1),"")</f>
        <v>https://twitter.com/SKhynix/status/1787809202708320702</v>
      </c>
    </row>
    <row r="16" spans="1:8">
      <c r="A16" s="4">
        <v>15</v>
      </c>
      <c r="B16" s="147" t="str">
        <f>IFERROR(INDEX(X!C:C,MATCH(A16,X!AT:AT,0),1),"")</f>
        <v>Hello, I'm #ZUFS 4.0, @SKhynix's next-gen mobile #NAND solution! Optimized for on-device #AI, I improve performance degradation and extend lifespan by 40% over traditional UFS. Perfect for the growing memory needs of smartphone users!
Curious about me? Check out the video! https://t.co/AORUUo4iU4</v>
      </c>
      <c r="C16" s="46"/>
      <c r="D16" s="46"/>
      <c r="E16" s="128"/>
      <c r="F16" s="32">
        <f>IFERROR(INDEX(X!D:D,MATCH(A16,X!AT:AT,0),1),"")</f>
        <v>45443.854166666664</v>
      </c>
      <c r="G16" s="9" t="str">
        <f>IFERROR(INDEX(X!B:B,MATCH(A16,X!AT:AT,0),1),"")</f>
        <v>https://twitter.com/SKhynix/status/1796504400409612630</v>
      </c>
    </row>
    <row r="17" spans="1:7">
      <c r="A17" s="4">
        <v>16</v>
      </c>
      <c r="B17" s="147" t="str">
        <f>IFERROR(INDEX(X!C:C,MATCH(A17,X!AT:AT,0),1),"")</f>
        <v>Excited for the latest #AI server and PC solutions? 
Visit @SKhynix at COMPUTEX TAIPEI 2024! 🖥️✨
📅 June 4-7 | 🕤 9:30 AM - 5:30 PM
📍 TaiNEX 1, 4F #N0230, Taipei Nangang Exhibition Center
Don't miss the future of tech!
#SKhynix #COMPUTEX #COMPUTEX2024 https://t.co/tz5xXJGgPi</v>
      </c>
      <c r="C17" s="46"/>
      <c r="D17" s="46"/>
      <c r="E17" s="128"/>
      <c r="F17" s="32">
        <f>IFERROR(INDEX(X!D:D,MATCH(A17,X!AT:AT,0),1),"")</f>
        <v>45441.729166666664</v>
      </c>
      <c r="G17" s="9" t="str">
        <f>IFERROR(INDEX(X!B:B,MATCH(A17,X!AT:AT,0),1),"")</f>
        <v>https://twitter.com/SKhynix/status/1795734324962046330</v>
      </c>
    </row>
    <row r="18" spans="1:7">
      <c r="A18" s="4">
        <v>17</v>
      </c>
      <c r="B18" s="147" t="str">
        <f>IFERROR(INDEX(X!C:C,MATCH(A18,X!AT:AT,0),1),"")</f>
        <v>🌟Big thanks to everyone who visited us at the @SKhynix booth during Dell Technologies World 2024! Enjoyed sharing insights on leading #AI memory tech. 
Join us tomorrow for exciting updates and more!
#SKhynix #DTW #DTW2024 https://t.co/bcrMpSYOyu</v>
      </c>
      <c r="C18" s="46"/>
      <c r="D18" s="46"/>
      <c r="E18" s="128"/>
      <c r="F18" s="32">
        <f>IFERROR(INDEX(X!D:D,MATCH(A18,X!AT:AT,0),1),"")</f>
        <v>45434.85833333333</v>
      </c>
      <c r="G18" s="9" t="str">
        <f>IFERROR(INDEX(X!B:B,MATCH(A18,X!AT:AT,0),1),"")</f>
        <v>https://twitter.com/SKhynix/status/1793244583423627611</v>
      </c>
    </row>
    <row r="19" spans="1:7">
      <c r="A19" s="4">
        <v>18</v>
      </c>
      <c r="B19" s="147" t="str">
        <f>IFERROR(INDEX(X!C:C,MATCH(A19,X!AT:AT,0),1),"")</f>
        <v>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v>
      </c>
      <c r="C19" s="46"/>
      <c r="D19" s="46"/>
      <c r="E19" s="128"/>
      <c r="F19" s="32">
        <f>IFERROR(INDEX(X!D:D,MATCH(A19,X!AT:AT,0),1),"")</f>
        <v>45432.9375</v>
      </c>
      <c r="G19" s="9" t="str">
        <f>IFERROR(INDEX(X!B:B,MATCH(A19,X!AT:AT,0),1),"")</f>
        <v>https://twitter.com/SKhynix/status/1792548331220046087</v>
      </c>
    </row>
    <row r="20" spans="1:7">
      <c r="A20" s="4">
        <v>19</v>
      </c>
      <c r="B20" s="147" t="str">
        <f>IFERROR(INDEX(X!C:C,MATCH(A20,X!AT:AT,0),1),"")</f>
        <v>@SKhynix unveils #ZUFS 4.0, a cutting-edge mobile #NAND optimized for On-Device AI! 
With industry-leading performance, it's set to dominate the #AI memory market, following their #HBM success. 
Dive into the details 👉
https://t.co/l6RdjCxwnN
#SKhynix #ZUFS4.0 #Mobile</v>
      </c>
      <c r="C20" s="46"/>
      <c r="D20" s="46"/>
      <c r="E20" s="128"/>
      <c r="F20" s="32">
        <f>IFERROR(INDEX(X!D:D,MATCH(A20,X!AT:AT,0),1),"")</f>
        <v>45422.758333333331</v>
      </c>
      <c r="G20" s="9" t="str">
        <f>IFERROR(INDEX(X!B:B,MATCH(A20,X!AT:AT,0),1),"")</f>
        <v>https://twitter.com/SKhynix/status/1788859661644694005</v>
      </c>
    </row>
    <row r="21" spans="1:7">
      <c r="A21" s="4">
        <v>20</v>
      </c>
      <c r="B21" s="147" t="str">
        <f>IFERROR(INDEX(X!C:C,MATCH(A21,X!AT:AT,0),1),"")</f>
        <v>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v>
      </c>
      <c r="C21" s="46"/>
      <c r="D21" s="46"/>
      <c r="E21" s="128"/>
      <c r="F21" s="32">
        <f>IFERROR(INDEX(X!D:D,MATCH(A21,X!AT:AT,0),1),"")</f>
        <v>45433.836111111108</v>
      </c>
      <c r="G21" s="9" t="str">
        <f>IFERROR(INDEX(X!B:B,MATCH(A21,X!AT:AT,0),1),"")</f>
        <v>https://twitter.com/SKhynix/status/1792874075188048119</v>
      </c>
    </row>
    <row r="22" spans="1:7">
      <c r="A22" s="4">
        <v>21</v>
      </c>
      <c r="B22" s="147" t="str">
        <f>IFERROR(INDEX(X!C:C,MATCH(A22,X!AT:AT,0),1),"")</f>
        <v>How much do you know about #semiconductors? 👀
True or False! "Does Moore's Law still apply to the semiconductor industry?"
Dive into the secrets of chips! Five questions to enhance your knowledge of the semiconductor industry are waiting for you! 🔍
https://t.co/iZiMm3J8I6</v>
      </c>
      <c r="C22" s="46"/>
      <c r="D22" s="46"/>
      <c r="E22" s="128"/>
      <c r="F22" s="32">
        <f>IFERROR(INDEX(X!D:D,MATCH(A22,X!AT:AT,0),1),"")</f>
        <v>45415.770833333336</v>
      </c>
      <c r="G22" s="9" t="str">
        <f>IFERROR(INDEX(X!B:B,MATCH(A22,X!AT:AT,0),1),"")</f>
        <v>https://twitter.com/SKhynix/status/1786327338944520598</v>
      </c>
    </row>
    <row r="23" spans="1:7">
      <c r="A23" s="4">
        <v>22</v>
      </c>
      <c r="B23" s="147" t="str">
        <f>IFERROR(INDEX(X!C:C,MATCH(A23,X!AT:AT,0),1),"")</f>
        <v>Join @SKhynix at COMPUTEX TAIPEI 2024, June 4-7, at the Taipei Nangang Exhibition Center 1! 
Explore the latest in #AI server and PC solutions.
🌐 Boost your edge with our cutting-edge memory solutions. 
Visit us at our booth #N0230 on 4F!
#SKhynix #COMPUTEX #COMPUTEX2024 https://t.co/JYAULb71RD</v>
      </c>
      <c r="C23" s="46"/>
      <c r="D23" s="46"/>
      <c r="E23" s="128"/>
      <c r="F23" s="32">
        <f>IFERROR(INDEX(X!D:D,MATCH(A23,X!AT:AT,0),1),"")</f>
        <v>45439.743750000001</v>
      </c>
      <c r="G23" s="9" t="str">
        <f>IFERROR(INDEX(X!B:B,MATCH(A23,X!AT:AT,0),1),"")</f>
        <v>https://twitter.com/SKhynix/status/1795014993500373089</v>
      </c>
    </row>
    <row r="24" spans="1:7">
      <c r="A24" s="4">
        <v>23</v>
      </c>
      <c r="B24" s="147" t="str">
        <f>IFERROR(INDEX(X!C:C,MATCH(A24,X!AT:AT,0),1),"")</f>
        <v>🌟Big thanks to everyone who visited us at the @SKhynix booth during Dell Technologies World 2024! Enjoyed sharing insights on leading #AI memory tech. 
Join us tomorrow for exciting updates and more!
#SKhynix #DTW #DTW2024 https://t.co/Y8BhrBOCuf</v>
      </c>
      <c r="C24" s="46"/>
      <c r="D24" s="46"/>
      <c r="E24" s="128"/>
      <c r="F24" s="32">
        <f>IFERROR(INDEX(X!D:D,MATCH(A24,X!AT:AT,0),1),"")</f>
        <v>45434.85833333333</v>
      </c>
      <c r="G24" s="9" t="str">
        <f>IFERROR(INDEX(X!B:B,MATCH(A24,X!AT:AT,0),1),"")</f>
        <v>https://twitter.com/SKhynix/status/1793244443149230118</v>
      </c>
    </row>
    <row r="25" spans="1:7">
      <c r="A25" s="4">
        <v>24</v>
      </c>
      <c r="B25" s="147" t="str">
        <f>IFERROR(INDEX(X!C:C,MATCH(A25,X!AT:AT,0),1),"")</f>
        <v>🎉@SKhynix has just reopened their revamped America’s HQ in Silicon Valley! 
With the “re:Open re:Connect 2024” theme, it is set to boost its #AI memory market leadership and strengthen local partnerships.
https://t.co/fZcWuUY5iB
#SKhynix #SKhynixAmerica #SKHYA #SiliconValley</v>
      </c>
      <c r="C25" s="46"/>
      <c r="D25" s="46"/>
      <c r="E25" s="128"/>
      <c r="F25" s="32">
        <f>IFERROR(INDEX(X!D:D,MATCH(A25,X!AT:AT,0),1),"")</f>
        <v>45432.737500000003</v>
      </c>
      <c r="G25" s="9" t="str">
        <f>IFERROR(INDEX(X!B:B,MATCH(A25,X!AT:AT,0),1),"")</f>
        <v>https://twitter.com/SKhynix/status/1792475969137365416</v>
      </c>
    </row>
    <row r="26" spans="1:7">
      <c r="A26" s="4">
        <v>25</v>
      </c>
      <c r="B26" s="147" t="str">
        <f>IFERROR(INDEX(X!C:C,MATCH(A26,X!AT:AT,0),1),"")</f>
        <v>Big News! 🎉Kangwook Lee, head of Package Development at @SKhynix, is the first South Korean to win the IEEE Electronics Manufacturing Technology Award!
Read more: https://t.co/03w7GlcxCC
#SKhynix #IEEE #HBM #HBM2E #AI #Memory #3D #Packaging #News</v>
      </c>
      <c r="C26" s="46"/>
      <c r="D26" s="46"/>
      <c r="E26" s="128"/>
      <c r="F26" s="32">
        <f>IFERROR(INDEX(X!D:D,MATCH(A26,X!AT:AT,0),1),"")</f>
        <v>45443.770833333336</v>
      </c>
      <c r="G26" s="9" t="str">
        <f>IFERROR(INDEX(X!B:B,MATCH(A26,X!AT:AT,0),1),"")</f>
        <v>https://twitter.com/SKhynix/status/1796474198304461191</v>
      </c>
    </row>
    <row r="27" spans="1:7">
      <c r="A27" s="4">
        <v>26</v>
      </c>
      <c r="B27" s="147" t="str">
        <f>IFERROR(INDEX(X!C:C,MATCH(A27,X!AT:AT,0),1),"")</f>
        <v>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v>
      </c>
      <c r="C27" s="46"/>
      <c r="D27" s="46"/>
      <c r="E27" s="128"/>
      <c r="F27" s="32">
        <f>IFERROR(INDEX(X!D:D,MATCH(A27,X!AT:AT,0),1),"")</f>
        <v>45436.854166666664</v>
      </c>
      <c r="G27" s="9" t="str">
        <f>IFERROR(INDEX(X!B:B,MATCH(A27,X!AT:AT,0),1),"")</f>
        <v>https://twitter.com/SKhynix/status/1793967681319665664</v>
      </c>
    </row>
    <row r="28" spans="1:7">
      <c r="A28" s="4">
        <v>27</v>
      </c>
      <c r="B28" s="147" t="str">
        <f>IFERROR(INDEX(X!C:C,MATCH(A28,X!AT:AT,0),1),"")</f>
        <v>Discover cutting-edge memory tech!
@SKhynix showcased its innovation at the 16th International Memory Workshop in Seoul, May 12-15, 2024.
Missed it? Click the link below for the latest breakthroughs and papers!
https://t.co/lLHinGjqH8
#SKhynix #GlobalRTC #IMW2024 #IMW https://t.co/QoZOflFAJm</v>
      </c>
      <c r="C28" s="46"/>
      <c r="D28" s="46"/>
      <c r="E28" s="128"/>
      <c r="F28" s="32">
        <f>IFERROR(INDEX(X!D:D,MATCH(A28,X!AT:AT,0),1),"")</f>
        <v>45434.793055555558</v>
      </c>
      <c r="G28" s="9" t="str">
        <f>IFERROR(INDEX(X!B:B,MATCH(A28,X!AT:AT,0),1),"")</f>
        <v>https://twitter.com/SKhynix/status/1793220917193277447</v>
      </c>
    </row>
    <row r="29" spans="1:7">
      <c r="A29" s="4">
        <v>28</v>
      </c>
      <c r="B29" s="147" t="str">
        <f>IFERROR(INDEX(X!C:C,MATCH(A29,X!AT:AT,0),1),"")</f>
        <v>How will our daily lives change with on-device AI? 🤖 @SKhynix is maximizing PC performance through #AI memory. 
Get ready for a smarter, faster life with @SKhynix!
#SKhynix #OnDeviceAI #PC https://t.co/ttzPWsi3lf</v>
      </c>
      <c r="C29" s="46"/>
      <c r="D29" s="46"/>
      <c r="E29" s="128"/>
      <c r="F29" s="32">
        <f>IFERROR(INDEX(X!D:D,MATCH(A29,X!AT:AT,0),1),"")</f>
        <v>45418.854166666664</v>
      </c>
      <c r="G29" s="9" t="str">
        <f>IFERROR(INDEX(X!B:B,MATCH(A29,X!AT:AT,0),1),"")</f>
        <v>https://twitter.com/SKhynix/status/1787444703002296339</v>
      </c>
    </row>
    <row r="30" spans="1:7">
      <c r="A30" s="4">
        <v>29</v>
      </c>
      <c r="B30" s="147" t="str">
        <f>IFERROR(INDEX(X!C:C,MATCH(A30,X!AT:AT,0),1),"")</f>
        <v>Ready to power up the #AI era? 
Dive into @SKhynix server solutions! Mastering large-scale #data, #HPC, scalability, and more.🔒💡
Check out our latest video to see how we're setting the standards!
#SKhynix #Server https://t.co/XZYaIW6JC0</v>
      </c>
      <c r="C30" s="46"/>
      <c r="D30" s="46"/>
      <c r="E30" s="128"/>
      <c r="F30" s="32">
        <f>IFERROR(INDEX(X!D:D,MATCH(A30,X!AT:AT,0),1),"")</f>
        <v>45413.916666666664</v>
      </c>
      <c r="G30" s="9" t="str">
        <f>IFERROR(INDEX(X!B:B,MATCH(A30,X!AT:AT,0),1),"")</f>
        <v>https://twitter.com/SKhynix/status/1785655416418091040</v>
      </c>
    </row>
    <row r="31" spans="1:7">
      <c r="A31" s="4">
        <v>30</v>
      </c>
      <c r="B31" s="147" t="str">
        <f>IFERROR(INDEX(X!C:C,MATCH(A31,X!AT:AT,0),1),"")</f>
        <v>Many of us remember displaying "Hello, World!" on our screens for the first time. 🌍
Dennis Ritchie, creator of C and Unix, laid the foundation for modern programming and continues to shape our digital world. His legacy lives on.
"Goodbye, World." 🖥️
#SKhynix #DennisRitchie https://t.co/PeOyH3izEU</v>
      </c>
      <c r="C31" s="46"/>
      <c r="D31" s="46"/>
      <c r="E31" s="128"/>
      <c r="F31" s="32">
        <f>IFERROR(INDEX(X!D:D,MATCH(A31,X!AT:AT,0),1),"")</f>
        <v>45442.854166666664</v>
      </c>
      <c r="G31" s="9" t="str">
        <f>IFERROR(INDEX(X!B:B,MATCH(A31,X!AT:AT,0),1),"")</f>
        <v>https://twitter.com/SKhynix/status/1796142008559616314</v>
      </c>
    </row>
    <row r="32" spans="1:7">
      <c r="A32" s="4">
        <v>31</v>
      </c>
      <c r="B32" s="147" t="str">
        <f>IFERROR(INDEX(X!C:C,MATCH(A32,X!AT:AT,0),1),"")</f>
        <v>Curious how @SKhynix leads in the AI era? 
SK hynix is the first to mass-produce HBM3E and is fast-tracking HBM4 to 2025. Discover how our tech innovations and global partnerships drive us forward.
https://t.co/a2BHLfiihs
#SKhynix #NAND #HBM #AI #Memory #Leadership #Spotlight</v>
      </c>
      <c r="C32" s="46"/>
      <c r="D32" s="46"/>
      <c r="E32" s="128"/>
      <c r="F32" s="32">
        <f>IFERROR(INDEX(X!D:D,MATCH(A32,X!AT:AT,0),1),"")</f>
        <v>45442.771527777775</v>
      </c>
      <c r="G32" s="9" t="str">
        <f>IFERROR(INDEX(X!B:B,MATCH(A32,X!AT:AT,0),1),"")</f>
        <v>https://twitter.com/SKhynix/status/1796112201318580404</v>
      </c>
    </row>
    <row r="33" spans="1:7">
      <c r="A33" s="4">
        <v>32</v>
      </c>
      <c r="B33" s="147" t="str">
        <f>IFERROR(INDEX(X!C:C,MATCH(A33,X!AT:AT,0),1),"")</f>
        <v>Meet @SKhynix's PCB01! 👀
PCIe Gen5X4, designed for AI PCs, offers unparalleled performance and efficiency. Loads large language models(#LLMs) in seconds, perfect for gaming and high-performance computing. 
Experience cutting-edge technology with #PCB01!
#SKhynix https://t.co/tFq6IliwnV</v>
      </c>
      <c r="C33" s="46"/>
      <c r="D33" s="46"/>
      <c r="E33" s="128"/>
      <c r="F33" s="32">
        <f>IFERROR(INDEX(X!D:D,MATCH(A33,X!AT:AT,0),1),"")</f>
        <v>45441.875</v>
      </c>
      <c r="G33" s="9" t="str">
        <f>IFERROR(INDEX(X!B:B,MATCH(A33,X!AT:AT,0),1),"")</f>
        <v>https://twitter.com/SKhynix/status/1795787184005595207</v>
      </c>
    </row>
    <row r="34" spans="1:7">
      <c r="A34" s="4">
        <v>33</v>
      </c>
      <c r="B34" s="147" t="str">
        <f>IFERROR(INDEX(X!C:C,MATCH(A34,X!AT:AT,0),1),"")</f>
        <v>🌟Big thanks to everyone who visited us at the @SKhynix booth during Dell Technologies World 2024! Enjoyed sharing insights on leading #AI memory tech. 
Join us tomorrow for exciting updates and more!
#SKhynix #DTW #DTW2024 https://t.co/2dL9kBFsqI</v>
      </c>
      <c r="C34" s="46"/>
      <c r="D34" s="46"/>
      <c r="E34" s="128"/>
      <c r="F34" s="32">
        <f>IFERROR(INDEX(X!D:D,MATCH(A34,X!AT:AT,0),1),"")</f>
        <v>45434.857638888891</v>
      </c>
      <c r="G34" s="9" t="str">
        <f>IFERROR(INDEX(X!B:B,MATCH(A34,X!AT:AT,0),1),"")</f>
        <v>https://twitter.com/SKhynix/status/1793244300165451885</v>
      </c>
    </row>
    <row r="35" spans="1:7">
      <c r="A35" s="4">
        <v>34</v>
      </c>
      <c r="B35" s="147" t="str">
        <f>IFERROR(INDEX(X!C:C,MATCH(A35,X!AT:AT,0),1),"")</f>
        <v>At #DevCon 2024, @SKhynix's Thomas Won Ha Choi dives into "Enabling CXL® Memory Module" - a game changer for data center efficiency and high-performance computing.
Future of hardware and software? Massively impacted by #CXL tech!
#SKhynix #Server #CMM https://t.co/PHgaZe6oQL</v>
      </c>
      <c r="C35" s="46"/>
      <c r="D35" s="46"/>
      <c r="E35" s="128"/>
      <c r="F35" s="32">
        <f>IFERROR(INDEX(X!D:D,MATCH(A35,X!AT:AT,0),1),"")</f>
        <v>45414.854166666664</v>
      </c>
      <c r="G35" s="9" t="str">
        <f>IFERROR(INDEX(X!B:B,MATCH(A35,X!AT:AT,0),1),"")</f>
        <v>https://twitter.com/SKhynix/status/1785995150243799179</v>
      </c>
    </row>
    <row r="36" spans="1:7">
      <c r="A36" s="4">
        <v>35</v>
      </c>
      <c r="B36" s="147" t="str">
        <f>IFERROR(INDEX(X!C:C,MATCH(A36,X!AT:AT,0),1),"")</f>
        <v>#DevCon2024 wrapped up! 🎉 Thanks to everyone who explored the latest #AI &amp;amp; #CXL trends with us at booth #7. 
Shoutout to our amazing @SKhynix team! 
Got questions? Just ask – we’re here to help!
#SKhynix #Server #CMM https://t.co/5mYj1z0JSV</v>
      </c>
      <c r="C36" s="46"/>
      <c r="D36" s="46"/>
      <c r="E36" s="128"/>
      <c r="F36" s="32">
        <f>IFERROR(INDEX(X!D:D,MATCH(A36,X!AT:AT,0),1),"")</f>
        <v>45414.75</v>
      </c>
      <c r="G36" s="9" t="str">
        <f>IFERROR(INDEX(X!B:B,MATCH(A36,X!AT:AT,0),1),"")</f>
        <v>https://twitter.com/SKhynix/status/1785957405496590626</v>
      </c>
    </row>
    <row r="37" spans="1:7">
      <c r="A37" s="4">
        <v>36</v>
      </c>
      <c r="B37" s="147" t="str">
        <f>IFERROR(INDEX(X!C:C,MATCH(A37,X!AT:AT,0),1),"")</f>
        <v>Dive into @SKhynix Niagara 2.0 at #DevCon 2024! Boosting #AI and data systems with #CXL tech to cut bottlenecks and ramp up efficiency.
Curious? We offer you a sneak peek!
#SKhynix #Server #CMM #Niagara2.0 https://t.co/eumabRfeUL</v>
      </c>
      <c r="C37" s="46"/>
      <c r="D37" s="46"/>
      <c r="E37" s="128"/>
      <c r="F37" s="32">
        <f>IFERROR(INDEX(X!D:D,MATCH(A37,X!AT:AT,0),1),"")</f>
        <v>45413.833333333336</v>
      </c>
      <c r="G37" s="9" t="str">
        <f>IFERROR(INDEX(X!B:B,MATCH(A37,X!AT:AT,0),1),"")</f>
        <v>https://twitter.com/SKhynix/status/1785625218507317303</v>
      </c>
    </row>
    <row r="38" spans="1:7">
      <c r="A38" s="4">
        <v>37</v>
      </c>
      <c r="B38" s="147" t="str">
        <f>IFERROR(INDEX(X!C:C,MATCH(A38,X!AT:AT,0),1),"")</f>
        <v>Boost productivity, optimize operations, and elevate your gaming with @SKhynix's latest PC memory!
Experience high speed, high bandwidth, and energy efficiency, transforming your workspace.
Time to accelerate! 💪
#SKhynix #PC #Memory #Solution https://t.co/BXuK2Vki2Y</v>
      </c>
      <c r="C38" s="46"/>
      <c r="D38" s="46"/>
      <c r="E38" s="128"/>
      <c r="F38" s="32">
        <f>IFERROR(INDEX(X!D:D,MATCH(A38,X!AT:AT,0),1),"")</f>
        <v>45440.9375</v>
      </c>
      <c r="G38" s="9" t="str">
        <f>IFERROR(INDEX(X!B:B,MATCH(A38,X!AT:AT,0),1),"")</f>
        <v>https://twitter.com/SKhynix/status/1795447433633411249</v>
      </c>
    </row>
    <row r="39" spans="1:7">
      <c r="A39" s="4">
        <v>38</v>
      </c>
      <c r="B39" s="147" t="str">
        <f>IFERROR(INDEX(X!C:C,MATCH(A39,X!AT:AT,0),1),"")</f>
        <v>Just 3 days to go until #DellTechWorld2024!
Dive into the future of #AI with @SKhynix at booth #633. 
Don't miss out on experiencing our innovative tech firsthand! Discover the heart of AI innovation with us.
#SKhynix #DTW #DTW2024 https://t.co/3fXC4tt0pd</v>
      </c>
      <c r="C39" s="46"/>
      <c r="D39" s="46"/>
      <c r="E39" s="128"/>
      <c r="F39" s="32">
        <f>IFERROR(INDEX(X!D:D,MATCH(A39,X!AT:AT,0),1),"")</f>
        <v>45429.854166666664</v>
      </c>
      <c r="G39" s="9" t="str">
        <f>IFERROR(INDEX(X!B:B,MATCH(A39,X!AT:AT,0),1),"")</f>
        <v>https://twitter.com/SKhynix/status/1791430966415884502</v>
      </c>
    </row>
    <row r="40" spans="1:7">
      <c r="A40" s="4">
        <v>39</v>
      </c>
      <c r="B40" s="147" t="str">
        <f>IFERROR(INDEX(X!C:C,MATCH(A40,X!AT:AT,0),1),"")</f>
        <v>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v>
      </c>
      <c r="C40" s="46"/>
      <c r="D40" s="46"/>
      <c r="E40" s="128"/>
      <c r="F40" s="32">
        <f>IFERROR(INDEX(X!D:D,MATCH(A40,X!AT:AT,0),1),"")</f>
        <v>45429.770833333336</v>
      </c>
      <c r="G40" s="9" t="str">
        <f>IFERROR(INDEX(X!B:B,MATCH(A40,X!AT:AT,0),1),"")</f>
        <v>https://twitter.com/SKhynix/status/1791400770048532666</v>
      </c>
    </row>
    <row r="41" spans="1:7">
      <c r="A41" s="4">
        <v>40</v>
      </c>
      <c r="B41" s="147" t="str">
        <f>IFERROR(INDEX(X!C:C,MATCH(A41,X!AT:AT,0),1),"")</f>
        <v>Q. What's the biggest way you kill time at the office on Friday at 4 PM?</v>
      </c>
      <c r="C41" s="46"/>
      <c r="D41" s="46"/>
      <c r="E41" s="128"/>
      <c r="F41" s="32">
        <f>IFERROR(INDEX(X!D:D,MATCH(A41,X!AT:AT,0),1),"")</f>
        <v>45423.307638888888</v>
      </c>
      <c r="G41" s="9" t="str">
        <f>IFERROR(INDEX(X!B:B,MATCH(A41,X!AT:AT,0),1),"")</f>
        <v>https://twitter.com/SKhynix/status/1789058596015050770</v>
      </c>
    </row>
    <row r="42" spans="1:7">
      <c r="A42" s="4">
        <v>41</v>
      </c>
      <c r="B42" s="147" t="str">
        <f>IFERROR(INDEX(X!C:C,MATCH(A42,X!AT:AT,0),1),"")</f>
        <v>Q. What was the most interesting SK hynix product at Dell Technologies World 2024?
#SKhynix #DTW2024 #DellTechWorld</v>
      </c>
      <c r="C42" s="46"/>
      <c r="D42" s="46"/>
      <c r="E42" s="128"/>
      <c r="F42" s="32">
        <f>IFERROR(INDEX(X!D:D,MATCH(A42,X!AT:AT,0),1),"")</f>
        <v>45436.938888888886</v>
      </c>
      <c r="G42" s="9" t="str">
        <f>IFERROR(INDEX(X!B:B,MATCH(A42,X!AT:AT,0),1),"")</f>
        <v>https://twitter.com/SKhynix/status/1793998539305140280</v>
      </c>
    </row>
    <row r="43" spans="1:7">
      <c r="A43" s="4">
        <v>42</v>
      </c>
      <c r="B43" s="147" t="str">
        <f>IFERROR(INDEX(X!C:C,MATCH(A43,X!AT:AT,0),1),"")</f>
        <v>New Standard in AI Memory? @SK hynix's HBM3E.
Memory, the Power of #AI
https://t.co/x8meAdvjOS
#SKhynix #HBM3E https://t.co/iNrmZ2lB8F</v>
      </c>
      <c r="C43" s="46"/>
      <c r="D43" s="46"/>
      <c r="E43" s="128"/>
      <c r="F43" s="32">
        <f>IFERROR(INDEX(X!D:D,MATCH(A43,X!AT:AT,0),1),"")</f>
        <v>45428.666666666664</v>
      </c>
      <c r="G43" s="9" t="str">
        <f>IFERROR(INDEX(X!B:B,MATCH(A43,X!AT:AT,0),1),"")</f>
        <v>https://twitter.com/SKhynix/status/1791000632750399840</v>
      </c>
    </row>
    <row r="44" spans="1:7">
      <c r="A44" s="4">
        <v>43</v>
      </c>
      <c r="B44" s="147" t="str">
        <f>IFERROR(INDEX(X!C:C,MATCH(A44,X!AT:AT,0),1),"")</f>
        <v/>
      </c>
      <c r="C44" s="46"/>
      <c r="D44" s="46"/>
      <c r="E44" s="128"/>
      <c r="F44" s="32" t="str">
        <f>IFERROR(INDEX(X!D:D,MATCH(A44,X!AT:AT,0),1),"")</f>
        <v/>
      </c>
      <c r="G44" s="9" t="str">
        <f>IFERROR(INDEX(X!B:B,MATCH(A44,X!AT:AT,0),1),"")</f>
        <v/>
      </c>
    </row>
    <row r="45" spans="1:7">
      <c r="A45" s="4">
        <v>44</v>
      </c>
      <c r="B45" s="147" t="str">
        <f>IFERROR(INDEX(X!C:C,MATCH(A45,X!AT:AT,0),1),"")</f>
        <v/>
      </c>
      <c r="C45" s="46"/>
      <c r="D45" s="46"/>
      <c r="E45" s="128"/>
      <c r="F45" s="32" t="str">
        <f>IFERROR(INDEX(X!D:D,MATCH(A45,X!AT:AT,0),1),"")</f>
        <v/>
      </c>
      <c r="G45" s="9" t="str">
        <f>IFERROR(INDEX(X!B:B,MATCH(A45,X!AT:AT,0),1),"")</f>
        <v/>
      </c>
    </row>
    <row r="46" spans="1:7">
      <c r="A46" s="4">
        <v>45</v>
      </c>
      <c r="B46" s="147" t="str">
        <f>IFERROR(INDEX(X!C:C,MATCH(A46,X!AT:AT,0),1),"")</f>
        <v/>
      </c>
      <c r="C46" s="46"/>
      <c r="D46" s="46"/>
      <c r="E46" s="128"/>
      <c r="F46" s="32" t="str">
        <f>IFERROR(INDEX(X!D:D,MATCH(A46,X!AT:AT,0),1),"")</f>
        <v/>
      </c>
      <c r="G46" s="9" t="str">
        <f>IFERROR(INDEX(X!B:B,MATCH(A46,X!AT:AT,0),1),"")</f>
        <v/>
      </c>
    </row>
    <row r="47" spans="1:7">
      <c r="A47" s="4">
        <v>46</v>
      </c>
      <c r="B47" s="147" t="str">
        <f>IFERROR(INDEX(X!C:C,MATCH(A47,X!AT:AT,0),1),"")</f>
        <v/>
      </c>
      <c r="C47" s="46"/>
      <c r="D47" s="46"/>
      <c r="E47" s="128"/>
      <c r="F47" s="32" t="str">
        <f>IFERROR(INDEX(X!D:D,MATCH(A47,X!AT:AT,0),1),"")</f>
        <v/>
      </c>
      <c r="G47" s="9" t="str">
        <f>IFERROR(INDEX(X!B:B,MATCH(A47,X!AT:AT,0),1),"")</f>
        <v/>
      </c>
    </row>
    <row r="48" spans="1:7">
      <c r="A48" s="4">
        <v>47</v>
      </c>
      <c r="B48" s="147" t="str">
        <f>IFERROR(INDEX(X!C:C,MATCH(A48,X!AT:AT,0),1),"")</f>
        <v/>
      </c>
      <c r="C48" s="46"/>
      <c r="D48" s="46"/>
      <c r="E48" s="128"/>
      <c r="F48" s="32" t="str">
        <f>IFERROR(INDEX(X!D:D,MATCH(A48,X!AT:AT,0),1),"")</f>
        <v/>
      </c>
      <c r="G48" s="9" t="str">
        <f>IFERROR(INDEX(X!B:B,MATCH(A48,X!AT:AT,0),1),"")</f>
        <v/>
      </c>
    </row>
    <row r="49" spans="1:7">
      <c r="A49" s="4">
        <v>48</v>
      </c>
      <c r="B49" s="147" t="str">
        <f>IFERROR(INDEX(X!C:C,MATCH(A49,X!AT:AT,0),1),"")</f>
        <v/>
      </c>
      <c r="C49" s="46"/>
      <c r="D49" s="46"/>
      <c r="E49" s="128"/>
      <c r="F49" s="32" t="str">
        <f>IFERROR(INDEX(X!D:D,MATCH(A49,X!AT:AT,0),1),"")</f>
        <v/>
      </c>
      <c r="G49" s="9" t="str">
        <f>IFERROR(INDEX(X!B:B,MATCH(A49,X!AT:AT,0),1),"")</f>
        <v/>
      </c>
    </row>
    <row r="50" spans="1:7">
      <c r="A50" s="4">
        <v>49</v>
      </c>
      <c r="B50" s="147" t="str">
        <f>IFERROR(INDEX(X!C:C,MATCH(A50,X!AT:AT,0),1),"")</f>
        <v/>
      </c>
      <c r="C50" s="46"/>
      <c r="D50" s="46"/>
      <c r="E50" s="128"/>
      <c r="F50" s="32" t="str">
        <f>IFERROR(INDEX(X!D:D,MATCH(A50,X!AT:AT,0),1),"")</f>
        <v/>
      </c>
      <c r="G50" s="9" t="str">
        <f>IFERROR(INDEX(X!B:B,MATCH(A50,X!AT:AT,0),1),"")</f>
        <v/>
      </c>
    </row>
    <row r="51" spans="1:7">
      <c r="A51" s="4">
        <v>50</v>
      </c>
      <c r="B51" s="147" t="str">
        <f>IFERROR(INDEX(X!C:C,MATCH(A51,X!AT:AT,0),1),"")</f>
        <v/>
      </c>
      <c r="C51" s="46"/>
      <c r="D51" s="46"/>
      <c r="E51" s="128"/>
      <c r="F51" s="32" t="str">
        <f>IFERROR(INDEX(X!D:D,MATCH(A51,X!AT:AT,0),1),"")</f>
        <v/>
      </c>
      <c r="G51" s="9" t="str">
        <f>IFERROR(INDEX(X!B:B,MATCH(A51,X!AT:AT,0),1),"")</f>
        <v/>
      </c>
    </row>
    <row r="52" spans="1:7">
      <c r="A52" s="4">
        <v>51</v>
      </c>
      <c r="B52" s="147" t="str">
        <f>IFERROR(INDEX(X!C:C,MATCH(A52,X!AT:AT,0),1),"")</f>
        <v/>
      </c>
      <c r="C52" s="46"/>
      <c r="D52" s="46"/>
      <c r="E52" s="128"/>
      <c r="F52" s="32" t="str">
        <f>IFERROR(INDEX(X!D:D,MATCH(A52,X!AT:AT,0),1),"")</f>
        <v/>
      </c>
      <c r="G52" s="9" t="str">
        <f>IFERROR(INDEX(X!B:B,MATCH(A52,X!AT:AT,0),1),"")</f>
        <v/>
      </c>
    </row>
    <row r="53" spans="1:7">
      <c r="A53" s="4">
        <v>52</v>
      </c>
      <c r="B53" s="147" t="str">
        <f>IFERROR(INDEX(X!C:C,MATCH(A53,X!AT:AT,0),1),"")</f>
        <v/>
      </c>
      <c r="C53" s="46"/>
      <c r="D53" s="46"/>
      <c r="E53" s="128"/>
      <c r="F53" s="32" t="str">
        <f>IFERROR(INDEX(X!D:D,MATCH(A53,X!AT:AT,0),1),"")</f>
        <v/>
      </c>
      <c r="G53" s="9" t="str">
        <f>IFERROR(INDEX(X!B:B,MATCH(A53,X!AT:AT,0),1),"")</f>
        <v/>
      </c>
    </row>
    <row r="54" spans="1:7">
      <c r="A54" s="4">
        <v>53</v>
      </c>
      <c r="B54" s="147" t="str">
        <f>IFERROR(INDEX(X!C:C,MATCH(A54,X!AT:AT,0),1),"")</f>
        <v/>
      </c>
      <c r="C54" s="46"/>
      <c r="D54" s="46"/>
      <c r="E54" s="128"/>
      <c r="F54" s="32" t="str">
        <f>IFERROR(INDEX(X!D:D,MATCH(A54,X!AT:AT,0),1),"")</f>
        <v/>
      </c>
      <c r="G54" s="9" t="str">
        <f>IFERROR(INDEX(X!B:B,MATCH(A54,X!AT:AT,0),1),"")</f>
        <v/>
      </c>
    </row>
    <row r="55" spans="1:7">
      <c r="A55" s="4">
        <v>54</v>
      </c>
      <c r="B55" s="147" t="str">
        <f>IFERROR(INDEX(X!C:C,MATCH(A55,X!AT:AT,0),1),"")</f>
        <v/>
      </c>
      <c r="C55" s="46"/>
      <c r="D55" s="46"/>
      <c r="E55" s="128"/>
      <c r="F55" s="32" t="str">
        <f>IFERROR(INDEX(X!D:D,MATCH(A55,X!AT:AT,0),1),"")</f>
        <v/>
      </c>
      <c r="G55" s="9" t="str">
        <f>IFERROR(INDEX(X!B:B,MATCH(A55,X!AT:AT,0),1),"")</f>
        <v/>
      </c>
    </row>
    <row r="56" spans="1:7">
      <c r="A56" s="4">
        <v>55</v>
      </c>
      <c r="B56" s="147" t="str">
        <f>IFERROR(INDEX(X!C:C,MATCH(A56,X!AT:AT,0),1),"")</f>
        <v/>
      </c>
      <c r="C56" s="46"/>
      <c r="D56" s="46"/>
      <c r="E56" s="128"/>
      <c r="F56" s="32" t="str">
        <f>IFERROR(INDEX(X!D:D,MATCH(A56,X!AT:AT,0),1),"")</f>
        <v/>
      </c>
      <c r="G56" s="9" t="str">
        <f>IFERROR(INDEX(X!B:B,MATCH(A56,X!AT:AT,0),1),"")</f>
        <v/>
      </c>
    </row>
    <row r="57" spans="1:7">
      <c r="A57" s="4">
        <v>56</v>
      </c>
      <c r="B57" s="147" t="str">
        <f>IFERROR(INDEX(X!C:C,MATCH(A57,X!AT:AT,0),1),"")</f>
        <v/>
      </c>
      <c r="C57" s="46"/>
      <c r="D57" s="46"/>
      <c r="E57" s="128"/>
      <c r="F57" s="32" t="str">
        <f>IFERROR(INDEX(X!D:D,MATCH(A57,X!AT:AT,0),1),"")</f>
        <v/>
      </c>
      <c r="G57" s="9" t="str">
        <f>IFERROR(INDEX(X!B:B,MATCH(A57,X!AT:AT,0),1),"")</f>
        <v/>
      </c>
    </row>
    <row r="58" spans="1:7">
      <c r="A58" s="4">
        <v>57</v>
      </c>
      <c r="B58" s="147" t="str">
        <f>IFERROR(INDEX(X!C:C,MATCH(A58,X!AT:AT,0),1),"")</f>
        <v/>
      </c>
      <c r="C58" s="46"/>
      <c r="D58" s="46"/>
      <c r="E58" s="128"/>
      <c r="F58" s="32" t="str">
        <f>IFERROR(INDEX(X!D:D,MATCH(A58,X!AT:AT,0),1),"")</f>
        <v/>
      </c>
      <c r="G58" s="9" t="str">
        <f>IFERROR(INDEX(X!B:B,MATCH(A58,X!AT:AT,0),1),"")</f>
        <v/>
      </c>
    </row>
    <row r="59" spans="1:7">
      <c r="A59" s="4">
        <v>58</v>
      </c>
      <c r="B59" s="147" t="str">
        <f>IFERROR(INDEX(X!C:C,MATCH(A59,X!AT:AT,0),1),"")</f>
        <v/>
      </c>
      <c r="C59" s="46"/>
      <c r="D59" s="46"/>
      <c r="E59" s="128"/>
      <c r="F59" s="32" t="str">
        <f>IFERROR(INDEX(X!D:D,MATCH(A59,X!AT:AT,0),1),"")</f>
        <v/>
      </c>
      <c r="G59" s="9" t="str">
        <f>IFERROR(INDEX(X!B:B,MATCH(A59,X!AT:AT,0),1),"")</f>
        <v/>
      </c>
    </row>
    <row r="60" spans="1:7">
      <c r="A60" s="4">
        <v>59</v>
      </c>
      <c r="B60" s="147" t="str">
        <f>IFERROR(INDEX(X!C:C,MATCH(A60,X!AT:AT,0),1),"")</f>
        <v/>
      </c>
      <c r="C60" s="46"/>
      <c r="D60" s="46"/>
      <c r="E60" s="128"/>
      <c r="F60" s="32" t="str">
        <f>IFERROR(INDEX(X!D:D,MATCH(A60,X!AT:AT,0),1),"")</f>
        <v/>
      </c>
      <c r="G60" s="9" t="str">
        <f>IFERROR(INDEX(X!B:B,MATCH(A60,X!AT:AT,0),1),"")</f>
        <v/>
      </c>
    </row>
    <row r="61" spans="1:7">
      <c r="A61" s="4">
        <v>60</v>
      </c>
      <c r="B61" s="147" t="str">
        <f>IFERROR(INDEX(X!C:C,MATCH(A61,X!AT:AT,0),1),"")</f>
        <v/>
      </c>
      <c r="C61" s="46"/>
      <c r="D61" s="46"/>
      <c r="E61" s="128"/>
      <c r="F61" s="32" t="str">
        <f>IFERROR(INDEX(X!D:D,MATCH(A61,X!AT:AT,0),1),"")</f>
        <v/>
      </c>
      <c r="G61" s="9" t="str">
        <f>IFERROR(INDEX(X!B:B,MATCH(A61,X!AT:AT,0),1),"")</f>
        <v/>
      </c>
    </row>
    <row r="62" spans="1:7">
      <c r="A62" s="4">
        <v>61</v>
      </c>
      <c r="B62" s="147" t="str">
        <f>IFERROR(INDEX(X!C:C,MATCH(A62,X!AT:AT,0),1),"")</f>
        <v/>
      </c>
      <c r="C62" s="46"/>
      <c r="D62" s="46"/>
      <c r="E62" s="128"/>
      <c r="F62" s="32" t="str">
        <f>IFERROR(INDEX(X!D:D,MATCH(A62,X!AT:AT,0),1),"")</f>
        <v/>
      </c>
      <c r="G62" s="9" t="str">
        <f>IFERROR(INDEX(X!B:B,MATCH(A62,X!AT:AT,0),1),"")</f>
        <v/>
      </c>
    </row>
    <row r="63" spans="1:7">
      <c r="A63" s="4">
        <v>62</v>
      </c>
      <c r="B63" s="147" t="str">
        <f>IFERROR(INDEX(X!C:C,MATCH(A63,X!AT:AT,0),1),"")</f>
        <v/>
      </c>
      <c r="C63" s="46"/>
      <c r="D63" s="46"/>
      <c r="E63" s="128"/>
      <c r="F63" s="32" t="str">
        <f>IFERROR(INDEX(X!D:D,MATCH(A63,X!AT:AT,0),1),"")</f>
        <v/>
      </c>
      <c r="G63" s="9" t="str">
        <f>IFERROR(INDEX(X!B:B,MATCH(A63,X!AT:AT,0),1),"")</f>
        <v/>
      </c>
    </row>
    <row r="64" spans="1:7">
      <c r="A64" s="4">
        <v>63</v>
      </c>
      <c r="B64" s="147" t="str">
        <f>IFERROR(INDEX(X!C:C,MATCH(A64,X!AT:AT,0),1),"")</f>
        <v/>
      </c>
      <c r="C64" s="46"/>
      <c r="D64" s="46"/>
      <c r="E64" s="128"/>
      <c r="F64" s="32" t="str">
        <f>IFERROR(INDEX(X!D:D,MATCH(A64,X!AT:AT,0),1),"")</f>
        <v/>
      </c>
      <c r="G64" s="9" t="str">
        <f>IFERROR(INDEX(X!B:B,MATCH(A64,X!AT:AT,0),1),"")</f>
        <v/>
      </c>
    </row>
    <row r="65" spans="1:7">
      <c r="A65" s="4">
        <v>64</v>
      </c>
      <c r="B65" s="147" t="str">
        <f>IFERROR(INDEX(X!C:C,MATCH(A65,X!AT:AT,0),1),"")</f>
        <v/>
      </c>
      <c r="C65" s="46"/>
      <c r="D65" s="46"/>
      <c r="E65" s="128"/>
      <c r="F65" s="32" t="str">
        <f>IFERROR(INDEX(X!D:D,MATCH(A65,X!AT:AT,0),1),"")</f>
        <v/>
      </c>
      <c r="G65" s="9" t="str">
        <f>IFERROR(INDEX(X!B:B,MATCH(A65,X!AT:AT,0),1),"")</f>
        <v/>
      </c>
    </row>
    <row r="66" spans="1:7">
      <c r="A66" s="4">
        <v>65</v>
      </c>
      <c r="B66" s="147" t="str">
        <f>IFERROR(INDEX(X!C:C,MATCH(A66,X!AT:AT,0),1),"")</f>
        <v/>
      </c>
      <c r="C66" s="46"/>
      <c r="D66" s="46"/>
      <c r="E66" s="128"/>
      <c r="F66" s="32" t="str">
        <f>IFERROR(INDEX(X!D:D,MATCH(A66,X!AT:AT,0),1),"")</f>
        <v/>
      </c>
      <c r="G66" s="9" t="str">
        <f>IFERROR(INDEX(X!B:B,MATCH(A66,X!AT:AT,0),1),"")</f>
        <v/>
      </c>
    </row>
    <row r="67" spans="1:7">
      <c r="A67" s="4">
        <v>66</v>
      </c>
      <c r="B67" s="147" t="str">
        <f>IFERROR(INDEX(X!C:C,MATCH(A67,X!AT:AT,0),1),"")</f>
        <v/>
      </c>
      <c r="C67" s="46"/>
      <c r="D67" s="46"/>
      <c r="E67" s="128"/>
      <c r="F67" s="32" t="str">
        <f>IFERROR(INDEX(X!D:D,MATCH(A67,X!AT:AT,0),1),"")</f>
        <v/>
      </c>
      <c r="G67" s="9" t="str">
        <f>IFERROR(INDEX(X!B:B,MATCH(A67,X!AT:AT,0),1),"")</f>
        <v/>
      </c>
    </row>
    <row r="68" spans="1:7">
      <c r="A68" s="4">
        <v>67</v>
      </c>
      <c r="B68" s="147" t="str">
        <f>IFERROR(INDEX(X!C:C,MATCH(A68,X!AT:AT,0),1),"")</f>
        <v/>
      </c>
      <c r="C68" s="46"/>
      <c r="D68" s="46"/>
      <c r="E68" s="128"/>
      <c r="F68" s="32" t="str">
        <f>IFERROR(INDEX(X!D:D,MATCH(A68,X!AT:AT,0),1),"")</f>
        <v/>
      </c>
      <c r="G68" s="9" t="str">
        <f>IFERROR(INDEX(X!B:B,MATCH(A68,X!AT:AT,0),1),"")</f>
        <v/>
      </c>
    </row>
    <row r="69" spans="1:7">
      <c r="A69" s="4">
        <v>68</v>
      </c>
      <c r="B69" s="147" t="str">
        <f>IFERROR(INDEX(X!C:C,MATCH(A69,X!AT:AT,0),1),"")</f>
        <v/>
      </c>
      <c r="C69" s="46"/>
      <c r="D69" s="46"/>
      <c r="E69" s="128"/>
      <c r="F69" s="32" t="str">
        <f>IFERROR(INDEX(X!D:D,MATCH(A69,X!AT:AT,0),1),"")</f>
        <v/>
      </c>
      <c r="G69" s="9" t="str">
        <f>IFERROR(INDEX(X!B:B,MATCH(A69,X!AT:AT,0),1),"")</f>
        <v/>
      </c>
    </row>
    <row r="70" spans="1:7">
      <c r="A70" s="4">
        <v>69</v>
      </c>
      <c r="B70" s="147" t="str">
        <f>IFERROR(INDEX(X!C:C,MATCH(A70,X!AT:AT,0),1),"")</f>
        <v/>
      </c>
      <c r="C70" s="46"/>
      <c r="D70" s="46"/>
      <c r="E70" s="128"/>
      <c r="F70" s="32" t="str">
        <f>IFERROR(INDEX(X!D:D,MATCH(A70,X!AT:AT,0),1),"")</f>
        <v/>
      </c>
      <c r="G70" s="9" t="str">
        <f>IFERROR(INDEX(X!B:B,MATCH(A70,X!AT:AT,0),1),"")</f>
        <v/>
      </c>
    </row>
    <row r="71" spans="1:7">
      <c r="A71" s="4">
        <v>70</v>
      </c>
      <c r="B71" s="147" t="str">
        <f>IFERROR(INDEX(X!C:C,MATCH(A71,X!AT:AT,0),1),"")</f>
        <v/>
      </c>
      <c r="C71" s="46"/>
      <c r="D71" s="46"/>
      <c r="E71" s="128"/>
      <c r="F71" s="32" t="str">
        <f>IFERROR(INDEX(X!D:D,MATCH(A71,X!AT:AT,0),1),"")</f>
        <v/>
      </c>
      <c r="G71" s="9" t="str">
        <f>IFERROR(INDEX(X!B:B,MATCH(A71,X!AT:AT,0),1),"")</f>
        <v/>
      </c>
    </row>
    <row r="72" spans="1:7">
      <c r="A72" s="4">
        <v>71</v>
      </c>
      <c r="B72" s="147" t="str">
        <f>IFERROR(INDEX(X!C:C,MATCH(A72,X!AT:AT,0),1),"")</f>
        <v/>
      </c>
      <c r="C72" s="46"/>
      <c r="D72" s="46"/>
      <c r="E72" s="128"/>
      <c r="F72" s="32" t="str">
        <f>IFERROR(INDEX(X!D:D,MATCH(A72,X!AT:AT,0),1),"")</f>
        <v/>
      </c>
      <c r="G72" s="9" t="str">
        <f>IFERROR(INDEX(X!B:B,MATCH(A72,X!AT:AT,0),1),"")</f>
        <v/>
      </c>
    </row>
    <row r="73" spans="1:7">
      <c r="A73" s="4">
        <v>72</v>
      </c>
      <c r="B73" s="147" t="str">
        <f>IFERROR(INDEX(X!C:C,MATCH(A73,X!AT:AT,0),1),"")</f>
        <v/>
      </c>
      <c r="C73" s="46"/>
      <c r="D73" s="46"/>
      <c r="E73" s="128"/>
      <c r="F73" s="32" t="str">
        <f>IFERROR(INDEX(X!D:D,MATCH(A73,X!AT:AT,0),1),"")</f>
        <v/>
      </c>
      <c r="G73" s="9" t="str">
        <f>IFERROR(INDEX(X!B:B,MATCH(A73,X!AT:AT,0),1),"")</f>
        <v/>
      </c>
    </row>
    <row r="74" spans="1:7" ht="17.25" thickBot="1">
      <c r="A74" s="5">
        <v>73</v>
      </c>
      <c r="B74" s="147" t="str">
        <f>IFERROR(INDEX(X!C:C,MATCH(A74,X!AT:AT,0),1),"")</f>
        <v/>
      </c>
      <c r="C74" s="107"/>
      <c r="D74" s="107"/>
      <c r="E74" s="108"/>
      <c r="F74" s="32" t="str">
        <f>IFERROR(INDEX(X!D:D,MATCH(A74,X!AT:AT,0),1),"")</f>
        <v/>
      </c>
      <c r="G74" s="9" t="str">
        <f>IFERROR(INDEX(X!B:B,MATCH(A74,X!AT:AT,0),1),"")</f>
        <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F6F48-4D03-45A9-AF58-AA8DC977619A}">
  <sheetPr codeName="Sheet24">
    <tabColor theme="9" tint="0.79998168889431442"/>
  </sheetPr>
  <dimension ref="B2:K86"/>
  <sheetViews>
    <sheetView zoomScale="115" zoomScaleNormal="115" workbookViewId="0">
      <selection sqref="A1:B1"/>
    </sheetView>
  </sheetViews>
  <sheetFormatPr defaultRowHeight="16.5"/>
  <cols>
    <col min="2" max="2" width="4" customWidth="1"/>
    <col min="7" max="7" width="41.875" customWidth="1"/>
    <col min="9" max="9" width="11.625" bestFit="1" customWidth="1"/>
  </cols>
  <sheetData>
    <row r="2" spans="2:11" ht="17.25" thickBot="1">
      <c r="I2" t="s">
        <v>707</v>
      </c>
      <c r="J2" t="s">
        <v>705</v>
      </c>
      <c r="K2" t="s">
        <v>706</v>
      </c>
    </row>
    <row r="3" spans="2:11" ht="24">
      <c r="B3" s="210" t="s">
        <v>69</v>
      </c>
      <c r="C3" s="211" t="s">
        <v>703</v>
      </c>
      <c r="D3" s="211" t="s">
        <v>702</v>
      </c>
      <c r="E3" s="211" t="s">
        <v>70</v>
      </c>
      <c r="F3" s="211"/>
      <c r="G3" s="211" t="s">
        <v>704</v>
      </c>
      <c r="H3" s="211" t="s">
        <v>72</v>
      </c>
      <c r="I3" s="211" t="s">
        <v>29</v>
      </c>
      <c r="J3" s="212" t="s">
        <v>74</v>
      </c>
      <c r="K3" s="213" t="s">
        <v>76</v>
      </c>
    </row>
    <row r="4" spans="2:11">
      <c r="B4" s="214">
        <v>1</v>
      </c>
      <c r="C4" s="203" t="str">
        <f>IFERROR(TEXT(INDEX(X!D:D,MATCH(B4,X!AT:AT,0),0),"mm월 dd일"),"")</f>
        <v>05월 13일</v>
      </c>
      <c r="D4" s="203" t="str">
        <f>IFERROR(TEXT(INDEX(X!D:D,MATCH(B4,X!AT:AT,0),0),"aaa"),"")</f>
        <v>월</v>
      </c>
      <c r="E4" s="203"/>
      <c r="F4" s="204"/>
      <c r="G4" s="205"/>
      <c r="H4" s="206"/>
      <c r="I4" s="207" cm="1">
        <f t="array" ref="I4">IFERROR(INDEX(X!E:E,MATCH(B4,X!AT:AT,0),0),"")</f>
        <v>16246</v>
      </c>
      <c r="J4" s="208" cm="1">
        <f t="array" ref="J4">IFERROR(INDEX(X!J:J,MATCH(B4,X!AT:AT,0),0),"")</f>
        <v>8</v>
      </c>
      <c r="K4" s="215" cm="1">
        <f t="array" ref="K4">IFERROR(INDEX(X!F:F,MATCH(B4,X!AT:AT,0),0),"")</f>
        <v>186</v>
      </c>
    </row>
    <row r="5" spans="2:11">
      <c r="B5" s="214">
        <v>2</v>
      </c>
      <c r="C5" s="203" t="str">
        <f>IFERROR(TEXT(INDEX(X!D:D,MATCH(B5,X!AT:AT,0),0),"mm월 dd일"),"")</f>
        <v>05월 14일</v>
      </c>
      <c r="D5" s="203" t="str">
        <f>IFERROR(TEXT(INDEX(X!D:D,MATCH(B5,X!AT:AT,0),0),"aaa"),"")</f>
        <v>화</v>
      </c>
      <c r="E5" s="203"/>
      <c r="F5" s="209"/>
      <c r="G5" s="205"/>
      <c r="H5" s="206"/>
      <c r="I5" s="207" cm="1">
        <f t="array" ref="I5">IFERROR(INDEX(X!E:E,MATCH(B5,X!AT:AT,0),0),"")</f>
        <v>3439</v>
      </c>
      <c r="J5" s="208" cm="1">
        <f t="array" ref="J5">IFERROR(INDEX(X!J:J,MATCH(B5,X!AT:AT,0),0),"")</f>
        <v>0</v>
      </c>
      <c r="K5" s="215" cm="1">
        <f t="array" ref="K5">IFERROR(INDEX(X!F:F,MATCH(B5,X!AT:AT,0),0),"")</f>
        <v>86</v>
      </c>
    </row>
    <row r="6" spans="2:11">
      <c r="B6" s="214">
        <v>3</v>
      </c>
      <c r="C6" s="203" t="str">
        <f>IFERROR(TEXT(INDEX(X!D:D,MATCH(B6,X!AT:AT,0),0),"mm월 dd일"),"")</f>
        <v>05월 28일</v>
      </c>
      <c r="D6" s="203" t="str">
        <f>IFERROR(TEXT(INDEX(X!D:D,MATCH(B6,X!AT:AT,0),0),"aaa"),"")</f>
        <v>화</v>
      </c>
      <c r="E6" s="203"/>
      <c r="F6" s="209"/>
      <c r="G6" s="205"/>
      <c r="H6" s="206"/>
      <c r="I6" s="207" cm="1">
        <f t="array" ref="I6">IFERROR(INDEX(X!E:E,MATCH(B6,X!AT:AT,0),0),"")</f>
        <v>2674</v>
      </c>
      <c r="J6" s="208" cm="1">
        <f t="array" ref="J6">IFERROR(INDEX(X!J:J,MATCH(B6,X!AT:AT,0),0),"")</f>
        <v>0</v>
      </c>
      <c r="K6" s="215" cm="1">
        <f t="array" ref="K6">IFERROR(INDEX(X!F:F,MATCH(B6,X!AT:AT,0),0),"")</f>
        <v>30</v>
      </c>
    </row>
    <row r="7" spans="2:11">
      <c r="B7" s="214">
        <v>4</v>
      </c>
      <c r="C7" s="203" t="str">
        <f>IFERROR(TEXT(INDEX(X!D:D,MATCH(B7,X!AT:AT,0),0),"mm월 dd일"),"")</f>
        <v>05월 03일</v>
      </c>
      <c r="D7" s="203" t="str">
        <f>IFERROR(TEXT(INDEX(X!D:D,MATCH(B7,X!AT:AT,0),0),"aaa"),"")</f>
        <v>금</v>
      </c>
      <c r="E7" s="203"/>
      <c r="F7" s="204"/>
      <c r="G7" s="205"/>
      <c r="H7" s="206"/>
      <c r="I7" s="207" cm="1">
        <f t="array" ref="I7">IFERROR(INDEX(X!E:E,MATCH(B7,X!AT:AT,0),0),"")</f>
        <v>981</v>
      </c>
      <c r="J7" s="208" cm="1">
        <f t="array" ref="J7">IFERROR(INDEX(X!J:J,MATCH(B7,X!AT:AT,0),0),"")</f>
        <v>6</v>
      </c>
      <c r="K7" s="215" cm="1">
        <f t="array" ref="K7">IFERROR(INDEX(X!F:F,MATCH(B7,X!AT:AT,0),0),"")</f>
        <v>24</v>
      </c>
    </row>
    <row r="8" spans="2:11">
      <c r="B8" s="214">
        <v>5</v>
      </c>
      <c r="C8" s="203" t="str">
        <f>IFERROR(TEXT(INDEX(X!D:D,MATCH(B8,X!AT:AT,0),0),"mm월 dd일"),"")</f>
        <v>05월 08일</v>
      </c>
      <c r="D8" s="203" t="str">
        <f>IFERROR(TEXT(INDEX(X!D:D,MATCH(B8,X!AT:AT,0),0),"aaa"),"")</f>
        <v>수</v>
      </c>
      <c r="E8" s="203"/>
      <c r="F8" s="209"/>
      <c r="G8" s="205"/>
      <c r="H8" s="206"/>
      <c r="I8" s="207" cm="1">
        <f t="array" ref="I8">IFERROR(INDEX(X!E:E,MATCH(B8,X!AT:AT,0),0),"")</f>
        <v>403</v>
      </c>
      <c r="J8" s="208" cm="1">
        <f t="array" ref="J8">IFERROR(INDEX(X!J:J,MATCH(B8,X!AT:AT,0),0),"")</f>
        <v>6</v>
      </c>
      <c r="K8" s="215" cm="1">
        <f t="array" ref="K8">IFERROR(INDEX(X!F:F,MATCH(B8,X!AT:AT,0),0),"")</f>
        <v>19</v>
      </c>
    </row>
    <row r="9" spans="2:11">
      <c r="B9" s="214">
        <v>6</v>
      </c>
      <c r="C9" s="203" t="str">
        <f>IFERROR(TEXT(INDEX(X!D:D,MATCH(B9,X!AT:AT,0),0),"mm월 dd일"),"")</f>
        <v>05월 30일</v>
      </c>
      <c r="D9" s="203" t="str">
        <f>IFERROR(TEXT(INDEX(X!D:D,MATCH(B9,X!AT:AT,0),0),"aaa"),"")</f>
        <v>목</v>
      </c>
      <c r="E9" s="203"/>
      <c r="F9" s="204"/>
      <c r="G9" s="205"/>
      <c r="H9" s="206"/>
      <c r="I9" s="207" cm="1">
        <f t="array" ref="I9">IFERROR(INDEX(X!E:E,MATCH(B9,X!AT:AT,0),0),"")</f>
        <v>628</v>
      </c>
      <c r="J9" s="208" cm="1">
        <f t="array" ref="J9">IFERROR(INDEX(X!J:J,MATCH(B9,X!AT:AT,0),0),"")</f>
        <v>6</v>
      </c>
      <c r="K9" s="215" cm="1">
        <f t="array" ref="K9">IFERROR(INDEX(X!F:F,MATCH(B9,X!AT:AT,0),0),"")</f>
        <v>16</v>
      </c>
    </row>
    <row r="10" spans="2:11">
      <c r="B10" s="214">
        <v>7</v>
      </c>
      <c r="C10" s="203" t="str">
        <f>IFERROR(TEXT(INDEX(X!D:D,MATCH(B10,X!AT:AT,0),0),"mm월 dd일"),"")</f>
        <v>05월 16일</v>
      </c>
      <c r="D10" s="203" t="str">
        <f>IFERROR(TEXT(INDEX(X!D:D,MATCH(B10,X!AT:AT,0),0),"aaa"),"")</f>
        <v>목</v>
      </c>
      <c r="E10" s="203"/>
      <c r="F10" s="204"/>
      <c r="G10" s="205"/>
      <c r="H10" s="206"/>
      <c r="I10" s="207" cm="1">
        <f t="array" ref="I10">IFERROR(INDEX(X!E:E,MATCH(B10,X!AT:AT,0),0),"")</f>
        <v>395</v>
      </c>
      <c r="J10" s="208" cm="1">
        <f t="array" ref="J10">IFERROR(INDEX(X!J:J,MATCH(B10,X!AT:AT,0),0),"")</f>
        <v>3</v>
      </c>
      <c r="K10" s="215" cm="1">
        <f t="array" ref="K10">IFERROR(INDEX(X!F:F,MATCH(B10,X!AT:AT,0),0),"")</f>
        <v>16</v>
      </c>
    </row>
    <row r="11" spans="2:11">
      <c r="B11" s="214">
        <v>8</v>
      </c>
      <c r="C11" s="203" t="str">
        <f>IFERROR(TEXT(INDEX(X!D:D,MATCH(B11,X!AT:AT,0),0),"mm월 dd일"),"")</f>
        <v>05월 02일</v>
      </c>
      <c r="D11" s="203" t="str">
        <f>IFERROR(TEXT(INDEX(X!D:D,MATCH(B11,X!AT:AT,0),0),"aaa"),"")</f>
        <v>목</v>
      </c>
      <c r="E11" s="203"/>
      <c r="F11" s="204"/>
      <c r="G11" s="205"/>
      <c r="H11" s="206"/>
      <c r="I11" s="207" cm="1">
        <f t="array" ref="I11">IFERROR(INDEX(X!E:E,MATCH(B11,X!AT:AT,0),0),"")</f>
        <v>314</v>
      </c>
      <c r="J11" s="208" cm="1">
        <f t="array" ref="J11">IFERROR(INDEX(X!J:J,MATCH(B11,X!AT:AT,0),0),"")</f>
        <v>5</v>
      </c>
      <c r="K11" s="215" cm="1">
        <f t="array" ref="K11">IFERROR(INDEX(X!F:F,MATCH(B11,X!AT:AT,0),0),"")</f>
        <v>16</v>
      </c>
    </row>
    <row r="12" spans="2:11">
      <c r="B12" s="214">
        <v>9</v>
      </c>
      <c r="C12" s="203" t="str">
        <f>IFERROR(TEXT(INDEX(X!D:D,MATCH(B12,X!AT:AT,0),0),"mm월 dd일"),"")</f>
        <v>05월 20일</v>
      </c>
      <c r="D12" s="203" t="str">
        <f>IFERROR(TEXT(INDEX(X!D:D,MATCH(B12,X!AT:AT,0),0),"aaa"),"")</f>
        <v>월</v>
      </c>
      <c r="E12" s="203"/>
      <c r="F12" s="204"/>
      <c r="G12" s="205"/>
      <c r="H12" s="206"/>
      <c r="I12" s="207" cm="1">
        <f t="array" ref="I12">IFERROR(INDEX(X!E:E,MATCH(B12,X!AT:AT,0),0),"")</f>
        <v>286</v>
      </c>
      <c r="J12" s="208" cm="1">
        <f t="array" ref="J12">IFERROR(INDEX(X!J:J,MATCH(B12,X!AT:AT,0),0),"")</f>
        <v>2</v>
      </c>
      <c r="K12" s="215" cm="1">
        <f t="array" ref="K12">IFERROR(INDEX(X!F:F,MATCH(B12,X!AT:AT,0),0),"")</f>
        <v>15</v>
      </c>
    </row>
    <row r="13" spans="2:11">
      <c r="B13" s="214">
        <v>10</v>
      </c>
      <c r="C13" s="203" t="str">
        <f>IFERROR(TEXT(INDEX(X!D:D,MATCH(B13,X!AT:AT,0),0),"mm월 dd일"),"")</f>
        <v>05월 15일</v>
      </c>
      <c r="D13" s="203" t="str">
        <f>IFERROR(TEXT(INDEX(X!D:D,MATCH(B13,X!AT:AT,0),0),"aaa"),"")</f>
        <v>수</v>
      </c>
      <c r="E13" s="203"/>
      <c r="F13" s="204"/>
      <c r="G13" s="205"/>
      <c r="H13" s="206"/>
      <c r="I13" s="207" cm="1">
        <f t="array" ref="I13">IFERROR(INDEX(X!E:E,MATCH(B13,X!AT:AT,0),0),"")</f>
        <v>389</v>
      </c>
      <c r="J13" s="208" cm="1">
        <f t="array" ref="J13">IFERROR(INDEX(X!J:J,MATCH(B13,X!AT:AT,0),0),"")</f>
        <v>5</v>
      </c>
      <c r="K13" s="215" cm="1">
        <f t="array" ref="K13">IFERROR(INDEX(X!F:F,MATCH(B13,X!AT:AT,0),0),"")</f>
        <v>14</v>
      </c>
    </row>
    <row r="14" spans="2:11">
      <c r="B14" s="214">
        <v>11</v>
      </c>
      <c r="C14" s="203" t="str">
        <f>IFERROR(TEXT(INDEX(X!D:D,MATCH(B14,X!AT:AT,0),0),"mm월 dd일"),"")</f>
        <v>05월 13일</v>
      </c>
      <c r="D14" s="203" t="str">
        <f>IFERROR(TEXT(INDEX(X!D:D,MATCH(B14,X!AT:AT,0),0),"aaa"),"")</f>
        <v>월</v>
      </c>
      <c r="E14" s="203"/>
      <c r="F14" s="204"/>
      <c r="G14" s="205"/>
      <c r="H14" s="206"/>
      <c r="I14" s="207" cm="1">
        <f t="array" ref="I14">IFERROR(INDEX(X!E:E,MATCH(B14,X!AT:AT,0),0),"")</f>
        <v>452</v>
      </c>
      <c r="J14" s="208" cm="1">
        <f t="array" ref="J14">IFERROR(INDEX(X!J:J,MATCH(B14,X!AT:AT,0),0),"")</f>
        <v>5</v>
      </c>
      <c r="K14" s="215" cm="1">
        <f t="array" ref="K14">IFERROR(INDEX(X!F:F,MATCH(B14,X!AT:AT,0),0),"")</f>
        <v>13</v>
      </c>
    </row>
    <row r="15" spans="2:11">
      <c r="B15" s="214">
        <v>12</v>
      </c>
      <c r="C15" s="203" t="str">
        <f>IFERROR(TEXT(INDEX(X!D:D,MATCH(B15,X!AT:AT,0),0),"mm월 dd일"),"")</f>
        <v>05월 23일</v>
      </c>
      <c r="D15" s="203" t="str">
        <f>IFERROR(TEXT(INDEX(X!D:D,MATCH(B15,X!AT:AT,0),0),"aaa"),"")</f>
        <v>목</v>
      </c>
      <c r="E15" s="203"/>
      <c r="F15" s="204"/>
      <c r="G15" s="205"/>
      <c r="H15" s="206"/>
      <c r="I15" s="207" cm="1">
        <f t="array" ref="I15">IFERROR(INDEX(X!E:E,MATCH(B15,X!AT:AT,0),0),"")</f>
        <v>406</v>
      </c>
      <c r="J15" s="208" cm="1">
        <f t="array" ref="J15">IFERROR(INDEX(X!J:J,MATCH(B15,X!AT:AT,0),0),"")</f>
        <v>6</v>
      </c>
      <c r="K15" s="215" cm="1">
        <f t="array" ref="K15">IFERROR(INDEX(X!F:F,MATCH(B15,X!AT:AT,0),0),"")</f>
        <v>12</v>
      </c>
    </row>
    <row r="16" spans="2:11">
      <c r="B16" s="214">
        <v>13</v>
      </c>
      <c r="C16" s="203" t="str">
        <f>IFERROR(TEXT(INDEX(X!D:D,MATCH(B16,X!AT:AT,0),0),"mm월 dd일"),"")</f>
        <v>05월 21일</v>
      </c>
      <c r="D16" s="203" t="str">
        <f>IFERROR(TEXT(INDEX(X!D:D,MATCH(B16,X!AT:AT,0),0),"aaa"),"")</f>
        <v>화</v>
      </c>
      <c r="E16" s="203"/>
      <c r="F16" s="204"/>
      <c r="G16" s="205"/>
      <c r="H16" s="208"/>
      <c r="I16" s="207" cm="1">
        <f t="array" ref="I16">IFERROR(INDEX(X!E:E,MATCH(B16,X!AT:AT,0),0),"")</f>
        <v>406</v>
      </c>
      <c r="J16" s="208" cm="1">
        <f t="array" ref="J16">IFERROR(INDEX(X!J:J,MATCH(B16,X!AT:AT,0),0),"")</f>
        <v>3</v>
      </c>
      <c r="K16" s="215" cm="1">
        <f t="array" ref="K16">IFERROR(INDEX(X!F:F,MATCH(B16,X!AT:AT,0),0),"")</f>
        <v>11</v>
      </c>
    </row>
    <row r="17" spans="2:11">
      <c r="B17" s="214">
        <v>14</v>
      </c>
      <c r="C17" s="203" t="str">
        <f>IFERROR(TEXT(INDEX(X!D:D,MATCH(B17,X!AT:AT,0),0),"mm월 dd일"),"")</f>
        <v>05월 07일</v>
      </c>
      <c r="D17" s="203" t="str">
        <f>IFERROR(TEXT(INDEX(X!D:D,MATCH(B17,X!AT:AT,0),0),"aaa"),"")</f>
        <v>화</v>
      </c>
      <c r="E17" s="203"/>
      <c r="F17" s="209"/>
      <c r="G17" s="205"/>
      <c r="H17" s="208"/>
      <c r="I17" s="207" cm="1">
        <f t="array" ref="I17">IFERROR(INDEX(X!E:E,MATCH(B17,X!AT:AT,0),0),"")</f>
        <v>458</v>
      </c>
      <c r="J17" s="208" cm="1">
        <f t="array" ref="J17">IFERROR(INDEX(X!J:J,MATCH(B17,X!AT:AT,0),0),"")</f>
        <v>4</v>
      </c>
      <c r="K17" s="215" cm="1">
        <f t="array" ref="K17">IFERROR(INDEX(X!F:F,MATCH(B17,X!AT:AT,0),0),"")</f>
        <v>11</v>
      </c>
    </row>
    <row r="18" spans="2:11">
      <c r="B18" s="214">
        <v>15</v>
      </c>
      <c r="C18" s="203" t="str">
        <f>IFERROR(TEXT(INDEX(X!D:D,MATCH(B18,X!AT:AT,0),0),"mm월 dd일"),"")</f>
        <v>05월 31일</v>
      </c>
      <c r="D18" s="203" t="str">
        <f>IFERROR(TEXT(INDEX(X!D:D,MATCH(B18,X!AT:AT,0),0),"aaa"),"")</f>
        <v>금</v>
      </c>
      <c r="E18" s="203"/>
      <c r="F18" s="204"/>
      <c r="G18" s="205"/>
      <c r="H18" s="208"/>
      <c r="I18" s="207" cm="1">
        <f t="array" ref="I18">IFERROR(INDEX(X!E:E,MATCH(B18,X!AT:AT,0),0),"")</f>
        <v>407</v>
      </c>
      <c r="J18" s="208" cm="1">
        <f t="array" ref="J18">IFERROR(INDEX(X!J:J,MATCH(B18,X!AT:AT,0),0),"")</f>
        <v>2</v>
      </c>
      <c r="K18" s="215" cm="1">
        <f t="array" ref="K18">IFERROR(INDEX(X!F:F,MATCH(B18,X!AT:AT,0),0),"")</f>
        <v>10</v>
      </c>
    </row>
    <row r="19" spans="2:11">
      <c r="B19" s="214">
        <v>16</v>
      </c>
      <c r="C19" s="203" t="str">
        <f>IFERROR(TEXT(INDEX(X!D:D,MATCH(B19,X!AT:AT,0),0),"mm월 dd일"),"")</f>
        <v>05월 29일</v>
      </c>
      <c r="D19" s="203" t="str">
        <f>IFERROR(TEXT(INDEX(X!D:D,MATCH(B19,X!AT:AT,0),0),"aaa"),"")</f>
        <v>수</v>
      </c>
      <c r="E19" s="203"/>
      <c r="F19" s="204"/>
      <c r="G19" s="205"/>
      <c r="H19" s="206"/>
      <c r="I19" s="207" cm="1">
        <f t="array" ref="I19">IFERROR(INDEX(X!E:E,MATCH(B19,X!AT:AT,0),0),"")</f>
        <v>499</v>
      </c>
      <c r="J19" s="208" cm="1">
        <f t="array" ref="J19">IFERROR(INDEX(X!J:J,MATCH(B19,X!AT:AT,0),0),"")</f>
        <v>5</v>
      </c>
      <c r="K19" s="215" cm="1">
        <f t="array" ref="K19">IFERROR(INDEX(X!F:F,MATCH(B19,X!AT:AT,0),0),"")</f>
        <v>10</v>
      </c>
    </row>
    <row r="20" spans="2:11">
      <c r="B20" s="214">
        <v>17</v>
      </c>
      <c r="C20" s="203" t="str">
        <f>IFERROR(TEXT(INDEX(X!D:D,MATCH(B20,X!AT:AT,0),0),"mm월 dd일"),"")</f>
        <v>05월 22일</v>
      </c>
      <c r="D20" s="203" t="str">
        <f>IFERROR(TEXT(INDEX(X!D:D,MATCH(B20,X!AT:AT,0),0),"aaa"),"")</f>
        <v>수</v>
      </c>
      <c r="E20" s="203"/>
      <c r="F20" s="209"/>
      <c r="G20" s="205"/>
      <c r="H20" s="208"/>
      <c r="I20" s="207" cm="1">
        <f t="array" ref="I20">IFERROR(INDEX(X!E:E,MATCH(B20,X!AT:AT,0),0),"")</f>
        <v>367</v>
      </c>
      <c r="J20" s="208" cm="1">
        <f t="array" ref="J20">IFERROR(INDEX(X!J:J,MATCH(B20,X!AT:AT,0),0),"")</f>
        <v>3</v>
      </c>
      <c r="K20" s="215" cm="1">
        <f t="array" ref="K20">IFERROR(INDEX(X!F:F,MATCH(B20,X!AT:AT,0),0),"")</f>
        <v>10</v>
      </c>
    </row>
    <row r="21" spans="2:11">
      <c r="B21" s="214">
        <v>18</v>
      </c>
      <c r="C21" s="203" t="str">
        <f>IFERROR(TEXT(INDEX(X!D:D,MATCH(B21,X!AT:AT,0),0),"mm월 dd일"),"")</f>
        <v>05월 20일</v>
      </c>
      <c r="D21" s="203" t="str">
        <f>IFERROR(TEXT(INDEX(X!D:D,MATCH(B21,X!AT:AT,0),0),"aaa"),"")</f>
        <v>월</v>
      </c>
      <c r="E21" s="203"/>
      <c r="F21" s="204"/>
      <c r="G21" s="205"/>
      <c r="H21" s="206"/>
      <c r="I21" s="207" cm="1">
        <f t="array" ref="I21">IFERROR(INDEX(X!E:E,MATCH(B21,X!AT:AT,0),0),"")</f>
        <v>352</v>
      </c>
      <c r="J21" s="208" cm="1">
        <f t="array" ref="J21">IFERROR(INDEX(X!J:J,MATCH(B21,X!AT:AT,0),0),"")</f>
        <v>3</v>
      </c>
      <c r="K21" s="215" cm="1">
        <f t="array" ref="K21">IFERROR(INDEX(X!F:F,MATCH(B21,X!AT:AT,0),0),"")</f>
        <v>10</v>
      </c>
    </row>
    <row r="22" spans="2:11">
      <c r="B22" s="214">
        <v>19</v>
      </c>
      <c r="C22" s="203" t="str">
        <f>IFERROR(TEXT(INDEX(X!D:D,MATCH(B22,X!AT:AT,0),0),"mm월 dd일"),"")</f>
        <v>05월 10일</v>
      </c>
      <c r="D22" s="203" t="str">
        <f>IFERROR(TEXT(INDEX(X!D:D,MATCH(B22,X!AT:AT,0),0),"aaa"),"")</f>
        <v>금</v>
      </c>
      <c r="E22" s="203"/>
      <c r="F22" s="204"/>
      <c r="G22" s="205"/>
      <c r="H22" s="206"/>
      <c r="I22" s="207" cm="1">
        <f t="array" ref="I22">IFERROR(INDEX(X!E:E,MATCH(B22,X!AT:AT,0),0),"")</f>
        <v>373</v>
      </c>
      <c r="J22" s="208" cm="1">
        <f t="array" ref="J22">IFERROR(INDEX(X!J:J,MATCH(B22,X!AT:AT,0),0),"")</f>
        <v>6</v>
      </c>
      <c r="K22" s="215" cm="1">
        <f t="array" ref="K22">IFERROR(INDEX(X!F:F,MATCH(B22,X!AT:AT,0),0),"")</f>
        <v>10</v>
      </c>
    </row>
    <row r="23" spans="2:11">
      <c r="B23" s="214">
        <v>20</v>
      </c>
      <c r="C23" s="203" t="str">
        <f>IFERROR(TEXT(INDEX(X!D:D,MATCH(B23,X!AT:AT,0),0),"mm월 dd일"),"")</f>
        <v>05월 21일</v>
      </c>
      <c r="D23" s="203" t="str">
        <f>IFERROR(TEXT(INDEX(X!D:D,MATCH(B23,X!AT:AT,0),0),"aaa"),"")</f>
        <v>화</v>
      </c>
      <c r="E23" s="203"/>
      <c r="F23" s="209"/>
      <c r="G23" s="205"/>
      <c r="H23" s="206"/>
      <c r="I23" s="207" cm="1">
        <f t="array" ref="I23">IFERROR(INDEX(X!E:E,MATCH(B23,X!AT:AT,0),0),"")</f>
        <v>307</v>
      </c>
      <c r="J23" s="208" cm="1">
        <f t="array" ref="J23">IFERROR(INDEX(X!J:J,MATCH(B23,X!AT:AT,0),0),"")</f>
        <v>3</v>
      </c>
      <c r="K23" s="215" cm="1">
        <f t="array" ref="K23">IFERROR(INDEX(X!F:F,MATCH(B23,X!AT:AT,0),0),"")</f>
        <v>9</v>
      </c>
    </row>
    <row r="24" spans="2:11">
      <c r="B24" s="214">
        <v>21</v>
      </c>
      <c r="C24" s="203" t="str">
        <f>IFERROR(TEXT(INDEX(X!D:D,MATCH(B24,X!AT:AT,0),0),"mm월 dd일"),"")</f>
        <v>05월 03일</v>
      </c>
      <c r="D24" s="203" t="str">
        <f>IFERROR(TEXT(INDEX(X!D:D,MATCH(B24,X!AT:AT,0),0),"aaa"),"")</f>
        <v>금</v>
      </c>
      <c r="E24" s="203"/>
      <c r="F24" s="209"/>
      <c r="G24" s="205"/>
      <c r="H24" s="206"/>
      <c r="I24" s="207" cm="1">
        <f t="array" ref="I24">IFERROR(INDEX(X!E:E,MATCH(B24,X!AT:AT,0),0),"")</f>
        <v>313</v>
      </c>
      <c r="J24" s="208" cm="1">
        <f t="array" ref="J24">IFERROR(INDEX(X!J:J,MATCH(B24,X!AT:AT,0),0),"")</f>
        <v>5</v>
      </c>
      <c r="K24" s="215" cm="1">
        <f t="array" ref="K24">IFERROR(INDEX(X!F:F,MATCH(B24,X!AT:AT,0),0),"")</f>
        <v>9</v>
      </c>
    </row>
    <row r="25" spans="2:11">
      <c r="B25" s="214">
        <v>22</v>
      </c>
      <c r="C25" s="203" t="str">
        <f>IFERROR(TEXT(INDEX(X!D:D,MATCH(B25,X!AT:AT,0),0),"mm월 dd일"),"")</f>
        <v>05월 27일</v>
      </c>
      <c r="D25" s="203" t="str">
        <f>IFERROR(TEXT(INDEX(X!D:D,MATCH(B25,X!AT:AT,0),0),"aaa"),"")</f>
        <v>월</v>
      </c>
      <c r="E25" s="203"/>
      <c r="F25" s="209"/>
      <c r="G25" s="205"/>
      <c r="H25" s="206"/>
      <c r="I25" s="207" cm="1">
        <f t="array" ref="I25">IFERROR(INDEX(X!E:E,MATCH(B25,X!AT:AT,0),0),"")</f>
        <v>483</v>
      </c>
      <c r="J25" s="208" cm="1">
        <f t="array" ref="J25">IFERROR(INDEX(X!J:J,MATCH(B25,X!AT:AT,0),0),"")</f>
        <v>5</v>
      </c>
      <c r="K25" s="215" cm="1">
        <f t="array" ref="K25">IFERROR(INDEX(X!F:F,MATCH(B25,X!AT:AT,0),0),"")</f>
        <v>8</v>
      </c>
    </row>
    <row r="26" spans="2:11">
      <c r="B26" s="214">
        <v>23</v>
      </c>
      <c r="C26" s="203" t="str">
        <f>IFERROR(TEXT(INDEX(X!D:D,MATCH(B26,X!AT:AT,0),0),"mm월 dd일"),"")</f>
        <v>05월 22일</v>
      </c>
      <c r="D26" s="203" t="str">
        <f>IFERROR(TEXT(INDEX(X!D:D,MATCH(B26,X!AT:AT,0),0),"aaa"),"")</f>
        <v>수</v>
      </c>
      <c r="E26" s="203"/>
      <c r="F26" s="209"/>
      <c r="G26" s="205"/>
      <c r="H26" s="206"/>
      <c r="I26" s="207" cm="1">
        <f t="array" ref="I26">IFERROR(INDEX(X!E:E,MATCH(B26,X!AT:AT,0),0),"")</f>
        <v>274</v>
      </c>
      <c r="J26" s="208" cm="1">
        <f t="array" ref="J26">IFERROR(INDEX(X!J:J,MATCH(B26,X!AT:AT,0),0),"")</f>
        <v>3</v>
      </c>
      <c r="K26" s="215" cm="1">
        <f t="array" ref="K26">IFERROR(INDEX(X!F:F,MATCH(B26,X!AT:AT,0),0),"")</f>
        <v>8</v>
      </c>
    </row>
    <row r="27" spans="2:11">
      <c r="B27" s="214">
        <v>24</v>
      </c>
      <c r="C27" s="203" t="str">
        <f>IFERROR(TEXT(INDEX(X!D:D,MATCH(B27,X!AT:AT,0),0),"mm월 dd일"),"")</f>
        <v>05월 20일</v>
      </c>
      <c r="D27" s="203" t="str">
        <f>IFERROR(TEXT(INDEX(X!D:D,MATCH(B27,X!AT:AT,0),0),"aaa"),"")</f>
        <v>월</v>
      </c>
      <c r="E27" s="203"/>
      <c r="F27" s="209"/>
      <c r="G27" s="205"/>
      <c r="H27" s="206"/>
      <c r="I27" s="207" cm="1">
        <f t="array" ref="I27">IFERROR(INDEX(X!E:E,MATCH(B27,X!AT:AT,0),0),"")</f>
        <v>320</v>
      </c>
      <c r="J27" s="208" cm="1">
        <f t="array" ref="J27">IFERROR(INDEX(X!J:J,MATCH(B27,X!AT:AT,0),0),"")</f>
        <v>3</v>
      </c>
      <c r="K27" s="215" cm="1">
        <f t="array" ref="K27">IFERROR(INDEX(X!F:F,MATCH(B27,X!AT:AT,0),0),"")</f>
        <v>8</v>
      </c>
    </row>
    <row r="28" spans="2:11">
      <c r="B28" s="214">
        <v>25</v>
      </c>
      <c r="C28" s="203" t="str">
        <f>IFERROR(TEXT(INDEX(X!D:D,MATCH(B28,X!AT:AT,0),0),"mm월 dd일"),"")</f>
        <v>05월 31일</v>
      </c>
      <c r="D28" s="203" t="str">
        <f>IFERROR(TEXT(INDEX(X!D:D,MATCH(B28,X!AT:AT,0),0),"aaa"),"")</f>
        <v>금</v>
      </c>
      <c r="E28" s="203"/>
      <c r="F28" s="209"/>
      <c r="G28" s="205"/>
      <c r="H28" s="206"/>
      <c r="I28" s="207" cm="1">
        <f t="array" ref="I28">IFERROR(INDEX(X!E:E,MATCH(B28,X!AT:AT,0),0),"")</f>
        <v>351</v>
      </c>
      <c r="J28" s="208" cm="1">
        <f t="array" ref="J28">IFERROR(INDEX(X!J:J,MATCH(B28,X!AT:AT,0),0),"")</f>
        <v>1</v>
      </c>
      <c r="K28" s="215" cm="1">
        <f t="array" ref="K28">IFERROR(INDEX(X!F:F,MATCH(B28,X!AT:AT,0),0),"")</f>
        <v>7</v>
      </c>
    </row>
    <row r="29" spans="2:11">
      <c r="B29" s="214">
        <v>26</v>
      </c>
      <c r="C29" s="203" t="str">
        <f>IFERROR(TEXT(INDEX(X!D:D,MATCH(B29,X!AT:AT,0),0),"mm월 dd일"),"")</f>
        <v>05월 24일</v>
      </c>
      <c r="D29" s="203" t="str">
        <f>IFERROR(TEXT(INDEX(X!D:D,MATCH(B29,X!AT:AT,0),0),"aaa"),"")</f>
        <v>금</v>
      </c>
      <c r="E29" s="203"/>
      <c r="F29" s="209"/>
      <c r="G29" s="205"/>
      <c r="H29" s="206"/>
      <c r="I29" s="207" cm="1">
        <f t="array" ref="I29">IFERROR(INDEX(X!E:E,MATCH(B29,X!AT:AT,0),0),"")</f>
        <v>329</v>
      </c>
      <c r="J29" s="208" cm="1">
        <f t="array" ref="J29">IFERROR(INDEX(X!J:J,MATCH(B29,X!AT:AT,0),0),"")</f>
        <v>4</v>
      </c>
      <c r="K29" s="215" cm="1">
        <f t="array" ref="K29">IFERROR(INDEX(X!F:F,MATCH(B29,X!AT:AT,0),0),"")</f>
        <v>7</v>
      </c>
    </row>
    <row r="30" spans="2:11">
      <c r="B30" s="214">
        <v>27</v>
      </c>
      <c r="C30" s="203" t="str">
        <f>IFERROR(TEXT(INDEX(X!D:D,MATCH(B30,X!AT:AT,0),0),"mm월 dd일"),"")</f>
        <v>05월 22일</v>
      </c>
      <c r="D30" s="203" t="str">
        <f>IFERROR(TEXT(INDEX(X!D:D,MATCH(B30,X!AT:AT,0),0),"aaa"),"")</f>
        <v>수</v>
      </c>
      <c r="E30" s="203"/>
      <c r="F30" s="209"/>
      <c r="G30" s="205"/>
      <c r="H30" s="206"/>
      <c r="I30" s="207" cm="1">
        <f t="array" ref="I30">IFERROR(INDEX(X!E:E,MATCH(B30,X!AT:AT,0),0),"")</f>
        <v>302</v>
      </c>
      <c r="J30" s="208" cm="1">
        <f t="array" ref="J30">IFERROR(INDEX(X!J:J,MATCH(B30,X!AT:AT,0),0),"")</f>
        <v>3</v>
      </c>
      <c r="K30" s="215" cm="1">
        <f t="array" ref="K30">IFERROR(INDEX(X!F:F,MATCH(B30,X!AT:AT,0),0),"")</f>
        <v>7</v>
      </c>
    </row>
    <row r="31" spans="2:11">
      <c r="B31" s="214">
        <v>28</v>
      </c>
      <c r="C31" s="203" t="str">
        <f>IFERROR(TEXT(INDEX(X!D:D,MATCH(B31,X!AT:AT,0),0),"mm월 dd일"),"")</f>
        <v>05월 06일</v>
      </c>
      <c r="D31" s="203" t="str">
        <f>IFERROR(TEXT(INDEX(X!D:D,MATCH(B31,X!AT:AT,0),0),"aaa"),"")</f>
        <v>월</v>
      </c>
      <c r="E31" s="203"/>
      <c r="F31" s="209"/>
      <c r="G31" s="205"/>
      <c r="H31" s="206"/>
      <c r="I31" s="207" cm="1">
        <f t="array" ref="I31">IFERROR(INDEX(X!E:E,MATCH(B31,X!AT:AT,0),0),"")</f>
        <v>390</v>
      </c>
      <c r="J31" s="208" cm="1">
        <f t="array" ref="J31">IFERROR(INDEX(X!J:J,MATCH(B31,X!AT:AT,0),0),"")</f>
        <v>5</v>
      </c>
      <c r="K31" s="215" cm="1">
        <f t="array" ref="K31">IFERROR(INDEX(X!F:F,MATCH(B31,X!AT:AT,0),0),"")</f>
        <v>7</v>
      </c>
    </row>
    <row r="32" spans="2:11">
      <c r="B32" s="214">
        <v>29</v>
      </c>
      <c r="C32" s="203" t="str">
        <f>IFERROR(TEXT(INDEX(X!D:D,MATCH(B32,X!AT:AT,0),0),"mm월 dd일"),"")</f>
        <v>05월 01일</v>
      </c>
      <c r="D32" s="203" t="str">
        <f>IFERROR(TEXT(INDEX(X!D:D,MATCH(B32,X!AT:AT,0),0),"aaa"),"")</f>
        <v>수</v>
      </c>
      <c r="E32" s="203"/>
      <c r="F32" s="209"/>
      <c r="G32" s="205"/>
      <c r="H32" s="206"/>
      <c r="I32" s="207" cm="1">
        <f t="array" ref="I32">IFERROR(INDEX(X!E:E,MATCH(B32,X!AT:AT,0),0),"")</f>
        <v>313</v>
      </c>
      <c r="J32" s="208" cm="1">
        <f t="array" ref="J32">IFERROR(INDEX(X!J:J,MATCH(B32,X!AT:AT,0),0),"")</f>
        <v>4</v>
      </c>
      <c r="K32" s="215" cm="1">
        <f t="array" ref="K32">IFERROR(INDEX(X!F:F,MATCH(B32,X!AT:AT,0),0),"")</f>
        <v>7</v>
      </c>
    </row>
    <row r="33" spans="2:11">
      <c r="B33" s="214">
        <v>30</v>
      </c>
      <c r="C33" s="203" t="str">
        <f>IFERROR(TEXT(INDEX(X!D:D,MATCH(B33,X!AT:AT,0),0),"mm월 dd일"),"")</f>
        <v>05월 30일</v>
      </c>
      <c r="D33" s="203" t="str">
        <f>IFERROR(TEXT(INDEX(X!D:D,MATCH(B33,X!AT:AT,0),0),"aaa"),"")</f>
        <v>목</v>
      </c>
      <c r="E33" s="203"/>
      <c r="F33" s="209"/>
      <c r="G33" s="205"/>
      <c r="H33" s="206"/>
      <c r="I33" s="207" cm="1">
        <f t="array" ref="I33">IFERROR(INDEX(X!E:E,MATCH(B33,X!AT:AT,0),0),"")</f>
        <v>395</v>
      </c>
      <c r="J33" s="208" cm="1">
        <f t="array" ref="J33">IFERROR(INDEX(X!J:J,MATCH(B33,X!AT:AT,0),0),"")</f>
        <v>2</v>
      </c>
      <c r="K33" s="215" cm="1">
        <f t="array" ref="K33">IFERROR(INDEX(X!F:F,MATCH(B33,X!AT:AT,0),0),"")</f>
        <v>6</v>
      </c>
    </row>
    <row r="34" spans="2:11">
      <c r="B34" s="214">
        <v>31</v>
      </c>
      <c r="C34" s="203" t="str">
        <f>IFERROR(TEXT(INDEX(X!D:D,MATCH(B34,X!AT:AT,0),0),"mm월 dd일"),"")</f>
        <v>05월 30일</v>
      </c>
      <c r="D34" s="203" t="str">
        <f>IFERROR(TEXT(INDEX(X!D:D,MATCH(B34,X!AT:AT,0),0),"aaa"),"")</f>
        <v>목</v>
      </c>
      <c r="E34" s="203"/>
      <c r="F34" s="209"/>
      <c r="G34" s="205"/>
      <c r="H34" s="206"/>
      <c r="I34" s="207" cm="1">
        <f t="array" ref="I34">IFERROR(INDEX(X!E:E,MATCH(B34,X!AT:AT,0),0),"")</f>
        <v>311</v>
      </c>
      <c r="J34" s="208" cm="1">
        <f t="array" ref="J34">IFERROR(INDEX(X!J:J,MATCH(B34,X!AT:AT,0),0),"")</f>
        <v>3</v>
      </c>
      <c r="K34" s="215" cm="1">
        <f t="array" ref="K34">IFERROR(INDEX(X!F:F,MATCH(B34,X!AT:AT,0),0),"")</f>
        <v>6</v>
      </c>
    </row>
    <row r="35" spans="2:11">
      <c r="B35" s="214">
        <v>32</v>
      </c>
      <c r="C35" s="203" t="str">
        <f>IFERROR(TEXT(INDEX(X!D:D,MATCH(B35,X!AT:AT,0),0),"mm월 dd일"),"")</f>
        <v>05월 29일</v>
      </c>
      <c r="D35" s="203" t="str">
        <f>IFERROR(TEXT(INDEX(X!D:D,MATCH(B35,X!AT:AT,0),0),"aaa"),"")</f>
        <v>수</v>
      </c>
      <c r="E35" s="203"/>
      <c r="F35" s="209"/>
      <c r="G35" s="205"/>
      <c r="H35" s="206"/>
      <c r="I35" s="207" cm="1">
        <f t="array" ref="I35">IFERROR(INDEX(X!E:E,MATCH(B35,X!AT:AT,0),0),"")</f>
        <v>273</v>
      </c>
      <c r="J35" s="208" cm="1">
        <f t="array" ref="J35">IFERROR(INDEX(X!J:J,MATCH(B35,X!AT:AT,0),0),"")</f>
        <v>1</v>
      </c>
      <c r="K35" s="215" cm="1">
        <f t="array" ref="K35">IFERROR(INDEX(X!F:F,MATCH(B35,X!AT:AT,0),0),"")</f>
        <v>6</v>
      </c>
    </row>
    <row r="36" spans="2:11">
      <c r="B36" s="214">
        <v>33</v>
      </c>
      <c r="C36" s="203" t="str">
        <f>IFERROR(TEXT(INDEX(X!D:D,MATCH(B36,X!AT:AT,0),0),"mm월 dd일"),"")</f>
        <v>05월 22일</v>
      </c>
      <c r="D36" s="203" t="str">
        <f>IFERROR(TEXT(INDEX(X!D:D,MATCH(B36,X!AT:AT,0),0),"aaa"),"")</f>
        <v>수</v>
      </c>
      <c r="E36" s="203"/>
      <c r="F36" s="209"/>
      <c r="G36" s="205"/>
      <c r="H36" s="206"/>
      <c r="I36" s="207" cm="1">
        <f t="array" ref="I36">IFERROR(INDEX(X!E:E,MATCH(B36,X!AT:AT,0),0),"")</f>
        <v>240</v>
      </c>
      <c r="J36" s="208" cm="1">
        <f t="array" ref="J36">IFERROR(INDEX(X!J:J,MATCH(B36,X!AT:AT,0),0),"")</f>
        <v>3</v>
      </c>
      <c r="K36" s="215" cm="1">
        <f t="array" ref="K36">IFERROR(INDEX(X!F:F,MATCH(B36,X!AT:AT,0),0),"")</f>
        <v>6</v>
      </c>
    </row>
    <row r="37" spans="2:11">
      <c r="B37" s="214">
        <v>34</v>
      </c>
      <c r="C37" s="203" t="str">
        <f>IFERROR(TEXT(INDEX(X!D:D,MATCH(B37,X!AT:AT,0),0),"mm월 dd일"),"")</f>
        <v>05월 02일</v>
      </c>
      <c r="D37" s="203" t="str">
        <f>IFERROR(TEXT(INDEX(X!D:D,MATCH(B37,X!AT:AT,0),0),"aaa"),"")</f>
        <v>목</v>
      </c>
      <c r="E37" s="203"/>
      <c r="F37" s="209"/>
      <c r="G37" s="205"/>
      <c r="H37" s="206"/>
      <c r="I37" s="207" cm="1">
        <f t="array" ref="I37">IFERROR(INDEX(X!E:E,MATCH(B37,X!AT:AT,0),0),"")</f>
        <v>349</v>
      </c>
      <c r="J37" s="208" cm="1">
        <f t="array" ref="J37">IFERROR(INDEX(X!J:J,MATCH(B37,X!AT:AT,0),0),"")</f>
        <v>4</v>
      </c>
      <c r="K37" s="215" cm="1">
        <f t="array" ref="K37">IFERROR(INDEX(X!F:F,MATCH(B37,X!AT:AT,0),0),"")</f>
        <v>6</v>
      </c>
    </row>
    <row r="38" spans="2:11">
      <c r="B38" s="214">
        <v>35</v>
      </c>
      <c r="C38" s="203" t="str">
        <f>IFERROR(TEXT(INDEX(X!D:D,MATCH(B38,X!AT:AT,0),0),"mm월 dd일"),"")</f>
        <v>05월 02일</v>
      </c>
      <c r="D38" s="203" t="str">
        <f>IFERROR(TEXT(INDEX(X!D:D,MATCH(B38,X!AT:AT,0),0),"aaa"),"")</f>
        <v>목</v>
      </c>
      <c r="E38" s="203"/>
      <c r="F38" s="209"/>
      <c r="G38" s="205"/>
      <c r="H38" s="206"/>
      <c r="I38" s="207" cm="1">
        <f t="array" ref="I38">IFERROR(INDEX(X!E:E,MATCH(B38,X!AT:AT,0),0),"")</f>
        <v>280</v>
      </c>
      <c r="J38" s="208" cm="1">
        <f t="array" ref="J38">IFERROR(INDEX(X!J:J,MATCH(B38,X!AT:AT,0),0),"")</f>
        <v>4</v>
      </c>
      <c r="K38" s="215" cm="1">
        <f t="array" ref="K38">IFERROR(INDEX(X!F:F,MATCH(B38,X!AT:AT,0),0),"")</f>
        <v>6</v>
      </c>
    </row>
    <row r="39" spans="2:11">
      <c r="B39" s="214">
        <v>36</v>
      </c>
      <c r="C39" s="203" t="str">
        <f>IFERROR(TEXT(INDEX(X!D:D,MATCH(B39,X!AT:AT,0),0),"mm월 dd일"),"")</f>
        <v>05월 01일</v>
      </c>
      <c r="D39" s="203" t="str">
        <f>IFERROR(TEXT(INDEX(X!D:D,MATCH(B39,X!AT:AT,0),0),"aaa"),"")</f>
        <v>수</v>
      </c>
      <c r="E39" s="203"/>
      <c r="F39" s="209"/>
      <c r="G39" s="205"/>
      <c r="H39" s="206"/>
      <c r="I39" s="207" cm="1">
        <f t="array" ref="I39">IFERROR(INDEX(X!E:E,MATCH(B39,X!AT:AT,0),0),"")</f>
        <v>281</v>
      </c>
      <c r="J39" s="208" cm="1">
        <f t="array" ref="J39">IFERROR(INDEX(X!J:J,MATCH(B39,X!AT:AT,0),0),"")</f>
        <v>5</v>
      </c>
      <c r="K39" s="215" cm="1">
        <f t="array" ref="K39">IFERROR(INDEX(X!F:F,MATCH(B39,X!AT:AT,0),0),"")</f>
        <v>6</v>
      </c>
    </row>
    <row r="40" spans="2:11">
      <c r="B40" s="214">
        <v>37</v>
      </c>
      <c r="C40" s="203" t="str">
        <f>IFERROR(TEXT(INDEX(X!D:D,MATCH(B40,X!AT:AT,0),0),"mm월 dd일"),"")</f>
        <v>05월 28일</v>
      </c>
      <c r="D40" s="203" t="str">
        <f>IFERROR(TEXT(INDEX(X!D:D,MATCH(B40,X!AT:AT,0),0),"aaa"),"")</f>
        <v>화</v>
      </c>
      <c r="E40" s="203"/>
      <c r="F40" s="209"/>
      <c r="G40" s="205"/>
      <c r="H40" s="206"/>
      <c r="I40" s="207" cm="1">
        <f t="array" ref="I40">IFERROR(INDEX(X!E:E,MATCH(B40,X!AT:AT,0),0),"")</f>
        <v>307</v>
      </c>
      <c r="J40" s="208" cm="1">
        <f t="array" ref="J40">IFERROR(INDEX(X!J:J,MATCH(B40,X!AT:AT,0),0),"")</f>
        <v>2</v>
      </c>
      <c r="K40" s="215" cm="1">
        <f t="array" ref="K40">IFERROR(INDEX(X!F:F,MATCH(B40,X!AT:AT,0),0),"")</f>
        <v>5</v>
      </c>
    </row>
    <row r="41" spans="2:11">
      <c r="B41" s="214">
        <v>38</v>
      </c>
      <c r="C41" s="203" t="str">
        <f>IFERROR(TEXT(INDEX(X!D:D,MATCH(B41,X!AT:AT,0),0),"mm월 dd일"),"")</f>
        <v>05월 17일</v>
      </c>
      <c r="D41" s="203" t="str">
        <f>IFERROR(TEXT(INDEX(X!D:D,MATCH(B41,X!AT:AT,0),0),"aaa"),"")</f>
        <v>금</v>
      </c>
      <c r="E41" s="203"/>
      <c r="F41" s="209"/>
      <c r="G41" s="205"/>
      <c r="H41" s="206"/>
      <c r="I41" s="207" cm="1">
        <f t="array" ref="I41">IFERROR(INDEX(X!E:E,MATCH(B41,X!AT:AT,0),0),"")</f>
        <v>347</v>
      </c>
      <c r="J41" s="208" cm="1">
        <f t="array" ref="J41">IFERROR(INDEX(X!J:J,MATCH(B41,X!AT:AT,0),0),"")</f>
        <v>3</v>
      </c>
      <c r="K41" s="215" cm="1">
        <f t="array" ref="K41">IFERROR(INDEX(X!F:F,MATCH(B41,X!AT:AT,0),0),"")</f>
        <v>5</v>
      </c>
    </row>
    <row r="42" spans="2:11">
      <c r="B42" s="214">
        <v>39</v>
      </c>
      <c r="C42" s="203" t="str">
        <f>IFERROR(TEXT(INDEX(X!D:D,MATCH(B42,X!AT:AT,0),0),"mm월 dd일"),"")</f>
        <v>05월 17일</v>
      </c>
      <c r="D42" s="203" t="str">
        <f>IFERROR(TEXT(INDEX(X!D:D,MATCH(B42,X!AT:AT,0),0),"aaa"),"")</f>
        <v>금</v>
      </c>
      <c r="E42" s="203"/>
      <c r="F42" s="209"/>
      <c r="G42" s="205"/>
      <c r="H42" s="206"/>
      <c r="I42" s="207" cm="1">
        <f t="array" ref="I42">IFERROR(INDEX(X!E:E,MATCH(B42,X!AT:AT,0),0),"")</f>
        <v>244</v>
      </c>
      <c r="J42" s="208" cm="1">
        <f t="array" ref="J42">IFERROR(INDEX(X!J:J,MATCH(B42,X!AT:AT,0),0),"")</f>
        <v>2</v>
      </c>
      <c r="K42" s="215" cm="1">
        <f t="array" ref="K42">IFERROR(INDEX(X!F:F,MATCH(B42,X!AT:AT,0),0),"")</f>
        <v>5</v>
      </c>
    </row>
    <row r="43" spans="2:11">
      <c r="B43" s="214">
        <v>40</v>
      </c>
      <c r="C43" s="203" t="str">
        <f>IFERROR(TEXT(INDEX(X!D:D,MATCH(B43,X!AT:AT,0),0),"mm월 dd일"),"")</f>
        <v>05월 11일</v>
      </c>
      <c r="D43" s="203" t="str">
        <f>IFERROR(TEXT(INDEX(X!D:D,MATCH(B43,X!AT:AT,0),0),"aaa"),"")</f>
        <v>토</v>
      </c>
      <c r="E43" s="203"/>
      <c r="F43" s="209"/>
      <c r="G43" s="205"/>
      <c r="H43" s="206"/>
      <c r="I43" s="207" cm="1">
        <f t="array" ref="I43">IFERROR(INDEX(X!E:E,MATCH(B43,X!AT:AT,0),0),"")</f>
        <v>454</v>
      </c>
      <c r="J43" s="208" cm="1">
        <f t="array" ref="J43">IFERROR(INDEX(X!J:J,MATCH(B43,X!AT:AT,0),0),"")</f>
        <v>3</v>
      </c>
      <c r="K43" s="215" cm="1">
        <f t="array" ref="K43">IFERROR(INDEX(X!F:F,MATCH(B43,X!AT:AT,0),0),"")</f>
        <v>5</v>
      </c>
    </row>
    <row r="44" spans="2:11">
      <c r="B44" s="214">
        <v>41</v>
      </c>
      <c r="C44" s="203" t="str">
        <f>IFERROR(TEXT(INDEX(X!D:D,MATCH(B44,X!AT:AT,0),0),"mm월 dd일"),"")</f>
        <v>05월 24일</v>
      </c>
      <c r="D44" s="203" t="str">
        <f>IFERROR(TEXT(INDEX(X!D:D,MATCH(B44,X!AT:AT,0),0),"aaa"),"")</f>
        <v>금</v>
      </c>
      <c r="E44" s="203"/>
      <c r="F44" s="209"/>
      <c r="G44" s="205"/>
      <c r="H44" s="206"/>
      <c r="I44" s="207" cm="1">
        <f t="array" ref="I44">IFERROR(INDEX(X!E:E,MATCH(B44,X!AT:AT,0),0),"")</f>
        <v>314</v>
      </c>
      <c r="J44" s="208" cm="1">
        <f t="array" ref="J44">IFERROR(INDEX(X!J:J,MATCH(B44,X!AT:AT,0),0),"")</f>
        <v>2</v>
      </c>
      <c r="K44" s="215" cm="1">
        <f t="array" ref="K44">IFERROR(INDEX(X!F:F,MATCH(B44,X!AT:AT,0),0),"")</f>
        <v>4</v>
      </c>
    </row>
    <row r="45" spans="2:11">
      <c r="B45" s="214">
        <v>42</v>
      </c>
      <c r="C45" s="203" t="str">
        <f>IFERROR(TEXT(INDEX(X!D:D,MATCH(B45,X!AT:AT,0),0),"mm월 dd일"),"")</f>
        <v>05월 16일</v>
      </c>
      <c r="D45" s="203" t="str">
        <f>IFERROR(TEXT(INDEX(X!D:D,MATCH(B45,X!AT:AT,0),0),"aaa"),"")</f>
        <v>목</v>
      </c>
      <c r="E45" s="203"/>
      <c r="F45" s="209"/>
      <c r="G45" s="205"/>
      <c r="H45" s="206"/>
      <c r="I45" s="207" cm="1">
        <f t="array" ref="I45">IFERROR(INDEX(X!E:E,MATCH(B45,X!AT:AT,0),0),"")</f>
        <v>0</v>
      </c>
      <c r="J45" s="208" cm="1">
        <f t="array" ref="J45">IFERROR(INDEX(X!J:J,MATCH(B45,X!AT:AT,0),0),"")</f>
        <v>0</v>
      </c>
      <c r="K45" s="215" cm="1">
        <f t="array" ref="K45">IFERROR(INDEX(X!F:F,MATCH(B45,X!AT:AT,0),0),"")</f>
        <v>0</v>
      </c>
    </row>
    <row r="46" spans="2:11">
      <c r="B46" s="214">
        <v>43</v>
      </c>
      <c r="C46" s="203" t="str">
        <f>IFERROR(TEXT(INDEX(X!D:D,MATCH(B46,X!AT:AT,0),0),"mm월 dd일"),"")</f>
        <v/>
      </c>
      <c r="D46" s="203" t="str">
        <f>IFERROR(TEXT(INDEX(X!D:D,MATCH(B46,X!AT:AT,0),0),"aaa"),"")</f>
        <v/>
      </c>
      <c r="E46" s="203"/>
      <c r="F46" s="209"/>
      <c r="G46" s="205"/>
      <c r="H46" s="206"/>
      <c r="I46" s="207" t="str" cm="1">
        <f t="array" ref="I46">IFERROR(INDEX(X!E:E,MATCH(B46,X!AT:AT,0),0),"")</f>
        <v/>
      </c>
      <c r="J46" s="208" t="str" cm="1">
        <f t="array" ref="J46">IFERROR(INDEX(X!J:J,MATCH(B46,X!AT:AT,0),0),"")</f>
        <v/>
      </c>
      <c r="K46" s="215" t="str" cm="1">
        <f t="array" ref="K46">IFERROR(INDEX(X!F:F,MATCH(B46,X!AT:AT,0),0),"")</f>
        <v/>
      </c>
    </row>
    <row r="47" spans="2:11">
      <c r="B47" s="214">
        <v>44</v>
      </c>
      <c r="C47" s="203" t="str">
        <f>IFERROR(TEXT(INDEX(X!D:D,MATCH(B47,X!AT:AT,0),0),"mm월 dd일"),"")</f>
        <v/>
      </c>
      <c r="D47" s="203" t="str">
        <f>IFERROR(TEXT(INDEX(X!D:D,MATCH(B47,X!AT:AT,0),0),"aaa"),"")</f>
        <v/>
      </c>
      <c r="E47" s="203"/>
      <c r="F47" s="209"/>
      <c r="G47" s="205"/>
      <c r="H47" s="206"/>
      <c r="I47" s="207" t="str" cm="1">
        <f t="array" ref="I47">IFERROR(INDEX(X!E:E,MATCH(B47,X!AT:AT,0),0),"")</f>
        <v/>
      </c>
      <c r="J47" s="208" t="str" cm="1">
        <f t="array" ref="J47">IFERROR(INDEX(X!J:J,MATCH(B47,X!AT:AT,0),0),"")</f>
        <v/>
      </c>
      <c r="K47" s="215" t="str" cm="1">
        <f t="array" ref="K47">IFERROR(INDEX(X!F:F,MATCH(B47,X!AT:AT,0),0),"")</f>
        <v/>
      </c>
    </row>
    <row r="48" spans="2:11">
      <c r="B48" s="214">
        <v>45</v>
      </c>
      <c r="C48" s="203" t="str">
        <f>IFERROR(TEXT(INDEX(X!D:D,MATCH(B48,X!AT:AT,0),0),"mm월 dd일"),"")</f>
        <v/>
      </c>
      <c r="D48" s="203" t="str">
        <f>IFERROR(TEXT(INDEX(X!D:D,MATCH(B48,X!AT:AT,0),0),"aaa"),"")</f>
        <v/>
      </c>
      <c r="E48" s="203"/>
      <c r="F48" s="209"/>
      <c r="G48" s="205"/>
      <c r="H48" s="206"/>
      <c r="I48" s="207" t="str" cm="1">
        <f t="array" ref="I48">IFERROR(INDEX(X!E:E,MATCH(B48,X!AT:AT,0),0),"")</f>
        <v/>
      </c>
      <c r="J48" s="208" t="str" cm="1">
        <f t="array" ref="J48">IFERROR(INDEX(X!J:J,MATCH(B48,X!AT:AT,0),0),"")</f>
        <v/>
      </c>
      <c r="K48" s="215" t="str" cm="1">
        <f t="array" ref="K48">IFERROR(INDEX(X!F:F,MATCH(B48,X!AT:AT,0),0),"")</f>
        <v/>
      </c>
    </row>
    <row r="49" spans="2:11">
      <c r="B49" s="214">
        <v>46</v>
      </c>
      <c r="C49" s="203" t="str">
        <f>IFERROR(TEXT(INDEX(X!D:D,MATCH(B49,X!AT:AT,0),0),"mm월 dd일"),"")</f>
        <v/>
      </c>
      <c r="D49" s="203" t="str">
        <f>IFERROR(TEXT(INDEX(X!D:D,MATCH(B49,X!AT:AT,0),0),"aaa"),"")</f>
        <v/>
      </c>
      <c r="E49" s="203"/>
      <c r="F49" s="209"/>
      <c r="G49" s="205"/>
      <c r="H49" s="206"/>
      <c r="I49" s="207" t="str" cm="1">
        <f t="array" ref="I49">IFERROR(INDEX(X!E:E,MATCH(B49,X!AT:AT,0),0),"")</f>
        <v/>
      </c>
      <c r="J49" s="208" t="str" cm="1">
        <f t="array" ref="J49">IFERROR(INDEX(X!J:J,MATCH(B49,X!AT:AT,0),0),"")</f>
        <v/>
      </c>
      <c r="K49" s="215" t="str" cm="1">
        <f t="array" ref="K49">IFERROR(INDEX(X!F:F,MATCH(B49,X!AT:AT,0),0),"")</f>
        <v/>
      </c>
    </row>
    <row r="50" spans="2:11">
      <c r="B50" s="214">
        <v>47</v>
      </c>
      <c r="C50" s="203" t="str">
        <f>IFERROR(TEXT(INDEX(X!D:D,MATCH(B50,X!AT:AT,0),0),"mm월 dd일"),"")</f>
        <v/>
      </c>
      <c r="D50" s="203" t="str">
        <f>IFERROR(TEXT(INDEX(X!D:D,MATCH(B50,X!AT:AT,0),0),"aaa"),"")</f>
        <v/>
      </c>
      <c r="E50" s="203"/>
      <c r="F50" s="209"/>
      <c r="G50" s="205"/>
      <c r="H50" s="206"/>
      <c r="I50" s="207" t="str" cm="1">
        <f t="array" ref="I50">IFERROR(INDEX(X!E:E,MATCH(B50,X!AT:AT,0),0),"")</f>
        <v/>
      </c>
      <c r="J50" s="208" t="str" cm="1">
        <f t="array" ref="J50">IFERROR(INDEX(X!J:J,MATCH(B50,X!AT:AT,0),0),"")</f>
        <v/>
      </c>
      <c r="K50" s="215" t="str" cm="1">
        <f t="array" ref="K50">IFERROR(INDEX(X!F:F,MATCH(B50,X!AT:AT,0),0),"")</f>
        <v/>
      </c>
    </row>
    <row r="51" spans="2:11">
      <c r="B51" s="214">
        <v>48</v>
      </c>
      <c r="C51" s="203" t="str">
        <f>IFERROR(TEXT(INDEX(X!D:D,MATCH(B51,X!AT:AT,0),0),"mm월 dd일"),"")</f>
        <v/>
      </c>
      <c r="D51" s="203" t="str">
        <f>IFERROR(TEXT(INDEX(X!D:D,MATCH(B51,X!AT:AT,0),0),"aaa"),"")</f>
        <v/>
      </c>
      <c r="E51" s="203"/>
      <c r="F51" s="209"/>
      <c r="G51" s="205"/>
      <c r="H51" s="206"/>
      <c r="I51" s="207" t="str" cm="1">
        <f t="array" ref="I51">IFERROR(INDEX(X!E:E,MATCH(B51,X!AT:AT,0),0),"")</f>
        <v/>
      </c>
      <c r="J51" s="208" t="str" cm="1">
        <f t="array" ref="J51">IFERROR(INDEX(X!J:J,MATCH(B51,X!AT:AT,0),0),"")</f>
        <v/>
      </c>
      <c r="K51" s="215" t="str" cm="1">
        <f t="array" ref="K51">IFERROR(INDEX(X!F:F,MATCH(B51,X!AT:AT,0),0),"")</f>
        <v/>
      </c>
    </row>
    <row r="52" spans="2:11">
      <c r="B52" s="214">
        <v>49</v>
      </c>
      <c r="C52" s="203" t="str">
        <f>IFERROR(TEXT(INDEX(X!D:D,MATCH(B52,X!AT:AT,0),0),"mm월 dd일"),"")</f>
        <v/>
      </c>
      <c r="D52" s="203" t="str">
        <f>IFERROR(TEXT(INDEX(X!D:D,MATCH(B52,X!AT:AT,0),0),"aaa"),"")</f>
        <v/>
      </c>
      <c r="E52" s="203"/>
      <c r="F52" s="209"/>
      <c r="G52" s="205"/>
      <c r="H52" s="206"/>
      <c r="I52" s="207" t="str" cm="1">
        <f t="array" ref="I52">IFERROR(INDEX(X!E:E,MATCH(B52,X!AT:AT,0),0),"")</f>
        <v/>
      </c>
      <c r="J52" s="208" t="str" cm="1">
        <f t="array" ref="J52">IFERROR(INDEX(X!J:J,MATCH(B52,X!AT:AT,0),0),"")</f>
        <v/>
      </c>
      <c r="K52" s="215" t="str" cm="1">
        <f t="array" ref="K52">IFERROR(INDEX(X!F:F,MATCH(B52,X!AT:AT,0),0),"")</f>
        <v/>
      </c>
    </row>
    <row r="53" spans="2:11">
      <c r="B53" s="214">
        <v>50</v>
      </c>
      <c r="C53" s="203" t="str">
        <f>IFERROR(TEXT(INDEX(X!D:D,MATCH(B53,X!AT:AT,0),0),"mm월 dd일"),"")</f>
        <v/>
      </c>
      <c r="D53" s="203" t="str">
        <f>IFERROR(TEXT(INDEX(X!D:D,MATCH(B53,X!AT:AT,0),0),"aaa"),"")</f>
        <v/>
      </c>
      <c r="E53" s="203"/>
      <c r="F53" s="209"/>
      <c r="G53" s="205"/>
      <c r="H53" s="206"/>
      <c r="I53" s="207" t="str" cm="1">
        <f t="array" ref="I53">IFERROR(INDEX(X!E:E,MATCH(B53,X!AT:AT,0),0),"")</f>
        <v/>
      </c>
      <c r="J53" s="208" t="str" cm="1">
        <f t="array" ref="J53">IFERROR(INDEX(X!J:J,MATCH(B53,X!AT:AT,0),0),"")</f>
        <v/>
      </c>
      <c r="K53" s="215" t="str" cm="1">
        <f t="array" ref="K53">IFERROR(INDEX(X!F:F,MATCH(B53,X!AT:AT,0),0),"")</f>
        <v/>
      </c>
    </row>
    <row r="54" spans="2:11">
      <c r="B54" s="214">
        <v>51</v>
      </c>
      <c r="C54" s="203" t="str">
        <f>IFERROR(TEXT(INDEX(X!D:D,MATCH(B54,X!AT:AT,0),0),"mm월 dd일"),"")</f>
        <v/>
      </c>
      <c r="D54" s="203" t="str">
        <f>IFERROR(TEXT(INDEX(X!D:D,MATCH(B54,X!AT:AT,0),0),"aaa"),"")</f>
        <v/>
      </c>
      <c r="E54" s="203"/>
      <c r="F54" s="209"/>
      <c r="G54" s="205"/>
      <c r="H54" s="206"/>
      <c r="I54" s="207" t="str" cm="1">
        <f t="array" ref="I54">IFERROR(INDEX(X!E:E,MATCH(B54,X!AT:AT,0),0),"")</f>
        <v/>
      </c>
      <c r="J54" s="208" t="str" cm="1">
        <f t="array" ref="J54">IFERROR(INDEX(X!J:J,MATCH(B54,X!AT:AT,0),0),"")</f>
        <v/>
      </c>
      <c r="K54" s="215" t="str" cm="1">
        <f t="array" ref="K54">IFERROR(INDEX(X!F:F,MATCH(B54,X!AT:AT,0),0),"")</f>
        <v/>
      </c>
    </row>
    <row r="55" spans="2:11">
      <c r="B55" s="214">
        <v>52</v>
      </c>
      <c r="C55" s="203" t="str">
        <f>IFERROR(TEXT(INDEX(X!D:D,MATCH(B55,X!AT:AT,0),0),"mm월 dd일"),"")</f>
        <v/>
      </c>
      <c r="D55" s="203" t="str">
        <f>IFERROR(TEXT(INDEX(X!D:D,MATCH(B55,X!AT:AT,0),0),"aaa"),"")</f>
        <v/>
      </c>
      <c r="E55" s="203"/>
      <c r="F55" s="209"/>
      <c r="G55" s="205"/>
      <c r="H55" s="206"/>
      <c r="I55" s="207" t="str" cm="1">
        <f t="array" ref="I55">IFERROR(INDEX(X!E:E,MATCH(B55,X!AT:AT,0),0),"")</f>
        <v/>
      </c>
      <c r="J55" s="208" t="str" cm="1">
        <f t="array" ref="J55">IFERROR(INDEX(X!J:J,MATCH(B55,X!AT:AT,0),0),"")</f>
        <v/>
      </c>
      <c r="K55" s="215" t="str" cm="1">
        <f t="array" ref="K55">IFERROR(INDEX(X!F:F,MATCH(B55,X!AT:AT,0),0),"")</f>
        <v/>
      </c>
    </row>
    <row r="56" spans="2:11">
      <c r="B56" s="214">
        <v>53</v>
      </c>
      <c r="C56" s="203" t="str">
        <f>IFERROR(TEXT(INDEX(X!D:D,MATCH(B56,X!AT:AT,0),0),"mm월 dd일"),"")</f>
        <v/>
      </c>
      <c r="D56" s="203" t="str">
        <f>IFERROR(TEXT(INDEX(X!D:D,MATCH(B56,X!AT:AT,0),0),"aaa"),"")</f>
        <v/>
      </c>
      <c r="E56" s="203"/>
      <c r="F56" s="209"/>
      <c r="G56" s="205"/>
      <c r="H56" s="206"/>
      <c r="I56" s="207" t="str" cm="1">
        <f t="array" ref="I56">IFERROR(INDEX(X!E:E,MATCH(B56,X!AT:AT,0),0),"")</f>
        <v/>
      </c>
      <c r="J56" s="208" t="str" cm="1">
        <f t="array" ref="J56">IFERROR(INDEX(X!J:J,MATCH(B56,X!AT:AT,0),0),"")</f>
        <v/>
      </c>
      <c r="K56" s="215" t="str" cm="1">
        <f t="array" ref="K56">IFERROR(INDEX(X!F:F,MATCH(B56,X!AT:AT,0),0),"")</f>
        <v/>
      </c>
    </row>
    <row r="57" spans="2:11">
      <c r="B57" s="214">
        <v>54</v>
      </c>
      <c r="C57" s="203" t="str">
        <f>IFERROR(TEXT(INDEX(X!D:D,MATCH(B57,X!AT:AT,0),0),"mm월 dd일"),"")</f>
        <v/>
      </c>
      <c r="D57" s="203" t="str">
        <f>IFERROR(TEXT(INDEX(X!D:D,MATCH(B57,X!AT:AT,0),0),"aaa"),"")</f>
        <v/>
      </c>
      <c r="E57" s="203"/>
      <c r="F57" s="209"/>
      <c r="G57" s="205"/>
      <c r="H57" s="206"/>
      <c r="I57" s="207" t="str" cm="1">
        <f t="array" ref="I57">IFERROR(INDEX(X!E:E,MATCH(B57,X!AT:AT,0),0),"")</f>
        <v/>
      </c>
      <c r="J57" s="208" t="str" cm="1">
        <f t="array" ref="J57">IFERROR(INDEX(X!J:J,MATCH(B57,X!AT:AT,0),0),"")</f>
        <v/>
      </c>
      <c r="K57" s="215" t="str" cm="1">
        <f t="array" ref="K57">IFERROR(INDEX(X!F:F,MATCH(B57,X!AT:AT,0),0),"")</f>
        <v/>
      </c>
    </row>
    <row r="58" spans="2:11">
      <c r="B58" s="214">
        <v>55</v>
      </c>
      <c r="C58" s="203" t="str">
        <f>IFERROR(TEXT(INDEX(X!D:D,MATCH(B58,X!AT:AT,0),0),"mm월 dd일"),"")</f>
        <v/>
      </c>
      <c r="D58" s="203" t="str">
        <f>IFERROR(TEXT(INDEX(X!D:D,MATCH(B58,X!AT:AT,0),0),"aaa"),"")</f>
        <v/>
      </c>
      <c r="E58" s="203"/>
      <c r="F58" s="209"/>
      <c r="G58" s="205"/>
      <c r="H58" s="206"/>
      <c r="I58" s="207" t="str" cm="1">
        <f t="array" ref="I58">IFERROR(INDEX(X!E:E,MATCH(B58,X!AT:AT,0),0),"")</f>
        <v/>
      </c>
      <c r="J58" s="208" t="str" cm="1">
        <f t="array" ref="J58">IFERROR(INDEX(X!J:J,MATCH(B58,X!AT:AT,0),0),"")</f>
        <v/>
      </c>
      <c r="K58" s="215" t="str" cm="1">
        <f t="array" ref="K58">IFERROR(INDEX(X!F:F,MATCH(B58,X!AT:AT,0),0),"")</f>
        <v/>
      </c>
    </row>
    <row r="59" spans="2:11">
      <c r="B59" s="214">
        <v>56</v>
      </c>
      <c r="C59" s="203" t="str">
        <f>IFERROR(TEXT(INDEX(X!D:D,MATCH(B59,X!AT:AT,0),0),"mm월 dd일"),"")</f>
        <v/>
      </c>
      <c r="D59" s="203" t="str">
        <f>IFERROR(TEXT(INDEX(X!D:D,MATCH(B59,X!AT:AT,0),0),"aaa"),"")</f>
        <v/>
      </c>
      <c r="E59" s="203"/>
      <c r="F59" s="209"/>
      <c r="G59" s="205"/>
      <c r="H59" s="206"/>
      <c r="I59" s="207" t="str" cm="1">
        <f t="array" ref="I59">IFERROR(INDEX(X!E:E,MATCH(B59,X!AT:AT,0),0),"")</f>
        <v/>
      </c>
      <c r="J59" s="208" t="str" cm="1">
        <f t="array" ref="J59">IFERROR(INDEX(X!J:J,MATCH(B59,X!AT:AT,0),0),"")</f>
        <v/>
      </c>
      <c r="K59" s="215" t="str" cm="1">
        <f t="array" ref="K59">IFERROR(INDEX(X!F:F,MATCH(B59,X!AT:AT,0),0),"")</f>
        <v/>
      </c>
    </row>
    <row r="60" spans="2:11">
      <c r="B60" s="214">
        <v>57</v>
      </c>
      <c r="C60" s="203" t="str">
        <f>IFERROR(TEXT(INDEX(X!D:D,MATCH(B60,X!AT:AT,0),0),"mm월 dd일"),"")</f>
        <v/>
      </c>
      <c r="D60" s="203" t="str">
        <f>IFERROR(TEXT(INDEX(X!D:D,MATCH(B60,X!AT:AT,0),0),"aaa"),"")</f>
        <v/>
      </c>
      <c r="E60" s="203"/>
      <c r="F60" s="209"/>
      <c r="G60" s="205"/>
      <c r="H60" s="206"/>
      <c r="I60" s="207" t="str" cm="1">
        <f t="array" ref="I60">IFERROR(INDEX(X!E:E,MATCH(B60,X!AT:AT,0),0),"")</f>
        <v/>
      </c>
      <c r="J60" s="208" t="str" cm="1">
        <f t="array" ref="J60">IFERROR(INDEX(X!J:J,MATCH(B60,X!AT:AT,0),0),"")</f>
        <v/>
      </c>
      <c r="K60" s="215" t="str" cm="1">
        <f t="array" ref="K60">IFERROR(INDEX(X!F:F,MATCH(B60,X!AT:AT,0),0),"")</f>
        <v/>
      </c>
    </row>
    <row r="61" spans="2:11">
      <c r="B61" s="214">
        <v>58</v>
      </c>
      <c r="C61" s="203" t="str">
        <f>IFERROR(TEXT(INDEX(X!D:D,MATCH(B61,X!AT:AT,0),0),"mm월 dd일"),"")</f>
        <v/>
      </c>
      <c r="D61" s="203" t="str">
        <f>IFERROR(TEXT(INDEX(X!D:D,MATCH(B61,X!AT:AT,0),0),"aaa"),"")</f>
        <v/>
      </c>
      <c r="E61" s="203"/>
      <c r="F61" s="209"/>
      <c r="G61" s="205"/>
      <c r="H61" s="206"/>
      <c r="I61" s="207" t="str" cm="1">
        <f t="array" ref="I61">IFERROR(INDEX(X!E:E,MATCH(B61,X!AT:AT,0),0),"")</f>
        <v/>
      </c>
      <c r="J61" s="208" t="str" cm="1">
        <f t="array" ref="J61">IFERROR(INDEX(X!J:J,MATCH(B61,X!AT:AT,0),0),"")</f>
        <v/>
      </c>
      <c r="K61" s="215" t="str" cm="1">
        <f t="array" ref="K61">IFERROR(INDEX(X!F:F,MATCH(B61,X!AT:AT,0),0),"")</f>
        <v/>
      </c>
    </row>
    <row r="62" spans="2:11">
      <c r="B62" s="214">
        <v>59</v>
      </c>
      <c r="C62" s="203" t="str">
        <f>IFERROR(TEXT(INDEX(X!D:D,MATCH(B62,X!AT:AT,0),0),"mm월 dd일"),"")</f>
        <v/>
      </c>
      <c r="D62" s="203" t="str">
        <f>IFERROR(TEXT(INDEX(X!D:D,MATCH(B62,X!AT:AT,0),0),"aaa"),"")</f>
        <v/>
      </c>
      <c r="E62" s="203"/>
      <c r="F62" s="209"/>
      <c r="G62" s="205"/>
      <c r="H62" s="206"/>
      <c r="I62" s="207" t="str" cm="1">
        <f t="array" ref="I62">IFERROR(INDEX(X!E:E,MATCH(B62,X!AT:AT,0),0),"")</f>
        <v/>
      </c>
      <c r="J62" s="208" t="str" cm="1">
        <f t="array" ref="J62">IFERROR(INDEX(X!J:J,MATCH(B62,X!AT:AT,0),0),"")</f>
        <v/>
      </c>
      <c r="K62" s="215" t="str" cm="1">
        <f t="array" ref="K62">IFERROR(INDEX(X!F:F,MATCH(B62,X!AT:AT,0),0),"")</f>
        <v/>
      </c>
    </row>
    <row r="63" spans="2:11">
      <c r="B63" s="214">
        <v>60</v>
      </c>
      <c r="C63" s="203" t="str">
        <f>IFERROR(TEXT(INDEX(X!D:D,MATCH(B63,X!AT:AT,0),0),"mm월 dd일"),"")</f>
        <v/>
      </c>
      <c r="D63" s="203" t="str">
        <f>IFERROR(TEXT(INDEX(X!D:D,MATCH(B63,X!AT:AT,0),0),"aaa"),"")</f>
        <v/>
      </c>
      <c r="E63" s="203"/>
      <c r="F63" s="209"/>
      <c r="G63" s="205"/>
      <c r="H63" s="206"/>
      <c r="I63" s="207" t="str" cm="1">
        <f t="array" ref="I63">IFERROR(INDEX(X!E:E,MATCH(B63,X!AT:AT,0),0),"")</f>
        <v/>
      </c>
      <c r="J63" s="208" t="str" cm="1">
        <f t="array" ref="J63">IFERROR(INDEX(X!J:J,MATCH(B63,X!AT:AT,0),0),"")</f>
        <v/>
      </c>
      <c r="K63" s="215" t="str" cm="1">
        <f t="array" ref="K63">IFERROR(INDEX(X!F:F,MATCH(B63,X!AT:AT,0),0),"")</f>
        <v/>
      </c>
    </row>
    <row r="64" spans="2:11">
      <c r="B64" s="214">
        <v>61</v>
      </c>
      <c r="C64" s="203" t="str">
        <f>IFERROR(TEXT(INDEX(X!D:D,MATCH(B64,X!AT:AT,0),0),"mm월 dd일"),"")</f>
        <v/>
      </c>
      <c r="D64" s="203" t="str">
        <f>IFERROR(TEXT(INDEX(X!D:D,MATCH(B64,X!AT:AT,0),0),"aaa"),"")</f>
        <v/>
      </c>
      <c r="E64" s="203"/>
      <c r="F64" s="209"/>
      <c r="G64" s="205"/>
      <c r="H64" s="206"/>
      <c r="I64" s="207" t="str" cm="1">
        <f t="array" ref="I64">IFERROR(INDEX(X!E:E,MATCH(B64,X!AT:AT,0),0),"")</f>
        <v/>
      </c>
      <c r="J64" s="208" t="str" cm="1">
        <f t="array" ref="J64">IFERROR(INDEX(X!J:J,MATCH(B64,X!AT:AT,0),0),"")</f>
        <v/>
      </c>
      <c r="K64" s="215" t="str" cm="1">
        <f t="array" ref="K64">IFERROR(INDEX(X!F:F,MATCH(B64,X!AT:AT,0),0),"")</f>
        <v/>
      </c>
    </row>
    <row r="65" spans="2:11">
      <c r="B65" s="214">
        <v>62</v>
      </c>
      <c r="C65" s="203" t="str">
        <f>IFERROR(TEXT(INDEX(X!D:D,MATCH(B65,X!AT:AT,0),0),"mm월 dd일"),"")</f>
        <v/>
      </c>
      <c r="D65" s="203" t="str">
        <f>IFERROR(TEXT(INDEX(X!D:D,MATCH(B65,X!AT:AT,0),0),"aaa"),"")</f>
        <v/>
      </c>
      <c r="E65" s="203"/>
      <c r="F65" s="209"/>
      <c r="G65" s="205"/>
      <c r="H65" s="206"/>
      <c r="I65" s="207" t="str" cm="1">
        <f t="array" ref="I65">IFERROR(INDEX(X!E:E,MATCH(B65,X!AT:AT,0),0),"")</f>
        <v/>
      </c>
      <c r="J65" s="208" t="str" cm="1">
        <f t="array" ref="J65">IFERROR(INDEX(X!J:J,MATCH(B65,X!AT:AT,0),0),"")</f>
        <v/>
      </c>
      <c r="K65" s="215" t="str" cm="1">
        <f t="array" ref="K65">IFERROR(INDEX(X!F:F,MATCH(B65,X!AT:AT,0),0),"")</f>
        <v/>
      </c>
    </row>
    <row r="66" spans="2:11">
      <c r="B66" s="214">
        <v>63</v>
      </c>
      <c r="C66" s="203" t="str">
        <f>IFERROR(TEXT(INDEX(X!D:D,MATCH(B66,X!AT:AT,0),0),"mm월 dd일"),"")</f>
        <v/>
      </c>
      <c r="D66" s="203" t="str">
        <f>IFERROR(TEXT(INDEX(X!D:D,MATCH(B66,X!AT:AT,0),0),"aaa"),"")</f>
        <v/>
      </c>
      <c r="E66" s="203"/>
      <c r="F66" s="209"/>
      <c r="G66" s="205"/>
      <c r="H66" s="206"/>
      <c r="I66" s="207" t="str" cm="1">
        <f t="array" ref="I66">IFERROR(INDEX(X!E:E,MATCH(B66,X!AT:AT,0),0),"")</f>
        <v/>
      </c>
      <c r="J66" s="208" t="str" cm="1">
        <f t="array" ref="J66">IFERROR(INDEX(X!J:J,MATCH(B66,X!AT:AT,0),0),"")</f>
        <v/>
      </c>
      <c r="K66" s="215" t="str" cm="1">
        <f t="array" ref="K66">IFERROR(INDEX(X!F:F,MATCH(B66,X!AT:AT,0),0),"")</f>
        <v/>
      </c>
    </row>
    <row r="67" spans="2:11">
      <c r="B67" s="214">
        <v>64</v>
      </c>
      <c r="C67" s="203" t="str">
        <f>IFERROR(TEXT(INDEX(X!D:D,MATCH(B67,X!AT:AT,0),0),"mm월 dd일"),"")</f>
        <v/>
      </c>
      <c r="D67" s="203" t="str">
        <f>IFERROR(TEXT(INDEX(X!D:D,MATCH(B67,X!AT:AT,0),0),"aaa"),"")</f>
        <v/>
      </c>
      <c r="E67" s="203"/>
      <c r="F67" s="209"/>
      <c r="G67" s="205"/>
      <c r="H67" s="206"/>
      <c r="I67" s="207" t="str" cm="1">
        <f t="array" ref="I67">IFERROR(INDEX(X!E:E,MATCH(B67,X!AT:AT,0),0),"")</f>
        <v/>
      </c>
      <c r="J67" s="208" t="str" cm="1">
        <f t="array" ref="J67">IFERROR(INDEX(X!J:J,MATCH(B67,X!AT:AT,0),0),"")</f>
        <v/>
      </c>
      <c r="K67" s="215" t="str" cm="1">
        <f t="array" ref="K67">IFERROR(INDEX(X!F:F,MATCH(B67,X!AT:AT,0),0),"")</f>
        <v/>
      </c>
    </row>
    <row r="68" spans="2:11">
      <c r="B68" s="214">
        <v>65</v>
      </c>
      <c r="C68" s="203" t="str">
        <f>IFERROR(TEXT(INDEX(X!D:D,MATCH(B68,X!AT:AT,0),0),"mm월 dd일"),"")</f>
        <v/>
      </c>
      <c r="D68" s="203" t="str">
        <f>IFERROR(TEXT(INDEX(X!D:D,MATCH(B68,X!AT:AT,0),0),"aaa"),"")</f>
        <v/>
      </c>
      <c r="E68" s="203"/>
      <c r="F68" s="209"/>
      <c r="G68" s="205"/>
      <c r="H68" s="206"/>
      <c r="I68" s="207" t="str" cm="1">
        <f t="array" ref="I68">IFERROR(INDEX(X!E:E,MATCH(B68,X!AT:AT,0),0),"")</f>
        <v/>
      </c>
      <c r="J68" s="208" t="str" cm="1">
        <f t="array" ref="J68">IFERROR(INDEX(X!J:J,MATCH(B68,X!AT:AT,0),0),"")</f>
        <v/>
      </c>
      <c r="K68" s="215" t="str" cm="1">
        <f t="array" ref="K68">IFERROR(INDEX(X!F:F,MATCH(B68,X!AT:AT,0),0),"")</f>
        <v/>
      </c>
    </row>
    <row r="69" spans="2:11">
      <c r="B69" s="214">
        <v>66</v>
      </c>
      <c r="C69" s="203" t="str">
        <f>IFERROR(TEXT(INDEX(X!D:D,MATCH(B69,X!AT:AT,0),0),"mm월 dd일"),"")</f>
        <v/>
      </c>
      <c r="D69" s="203" t="str">
        <f>IFERROR(TEXT(INDEX(X!D:D,MATCH(B69,X!AT:AT,0),0),"aaa"),"")</f>
        <v/>
      </c>
      <c r="E69" s="203"/>
      <c r="F69" s="209"/>
      <c r="G69" s="205"/>
      <c r="H69" s="206"/>
      <c r="I69" s="207" t="str" cm="1">
        <f t="array" ref="I69">IFERROR(INDEX(X!E:E,MATCH(B69,X!AT:AT,0),0),"")</f>
        <v/>
      </c>
      <c r="J69" s="208" t="str" cm="1">
        <f t="array" ref="J69">IFERROR(INDEX(X!J:J,MATCH(B69,X!AT:AT,0),0),"")</f>
        <v/>
      </c>
      <c r="K69" s="215" t="str" cm="1">
        <f t="array" ref="K69">IFERROR(INDEX(X!F:F,MATCH(B69,X!AT:AT,0),0),"")</f>
        <v/>
      </c>
    </row>
    <row r="70" spans="2:11">
      <c r="B70" s="214">
        <v>67</v>
      </c>
      <c r="C70" s="203" t="str">
        <f>IFERROR(TEXT(INDEX(X!D:D,MATCH(B70,X!AT:AT,0),0),"mm월 dd일"),"")</f>
        <v/>
      </c>
      <c r="D70" s="203" t="str">
        <f>IFERROR(TEXT(INDEX(X!D:D,MATCH(B70,X!AT:AT,0),0),"aaa"),"")</f>
        <v/>
      </c>
      <c r="E70" s="203"/>
      <c r="F70" s="209"/>
      <c r="G70" s="205"/>
      <c r="H70" s="206"/>
      <c r="I70" s="207" t="str" cm="1">
        <f t="array" ref="I70">IFERROR(INDEX(X!E:E,MATCH(B70,X!AT:AT,0),0),"")</f>
        <v/>
      </c>
      <c r="J70" s="208" t="str" cm="1">
        <f t="array" ref="J70">IFERROR(INDEX(X!J:J,MATCH(B70,X!AT:AT,0),0),"")</f>
        <v/>
      </c>
      <c r="K70" s="215" t="str" cm="1">
        <f t="array" ref="K70">IFERROR(INDEX(X!F:F,MATCH(B70,X!AT:AT,0),0),"")</f>
        <v/>
      </c>
    </row>
    <row r="71" spans="2:11">
      <c r="B71" s="214">
        <v>68</v>
      </c>
      <c r="C71" s="203" t="str">
        <f>IFERROR(TEXT(INDEX(X!D:D,MATCH(B71,X!AT:AT,0),0),"mm월 dd일"),"")</f>
        <v/>
      </c>
      <c r="D71" s="203" t="str">
        <f>IFERROR(TEXT(INDEX(X!D:D,MATCH(B71,X!AT:AT,0),0),"aaa"),"")</f>
        <v/>
      </c>
      <c r="E71" s="203"/>
      <c r="F71" s="209"/>
      <c r="G71" s="205"/>
      <c r="H71" s="206"/>
      <c r="I71" s="207" t="str" cm="1">
        <f t="array" ref="I71">IFERROR(INDEX(X!E:E,MATCH(B71,X!AT:AT,0),0),"")</f>
        <v/>
      </c>
      <c r="J71" s="208" t="str" cm="1">
        <f t="array" ref="J71">IFERROR(INDEX(X!J:J,MATCH(B71,X!AT:AT,0),0),"")</f>
        <v/>
      </c>
      <c r="K71" s="215" t="str" cm="1">
        <f t="array" ref="K71">IFERROR(INDEX(X!F:F,MATCH(B71,X!AT:AT,0),0),"")</f>
        <v/>
      </c>
    </row>
    <row r="72" spans="2:11">
      <c r="B72" s="214">
        <v>69</v>
      </c>
      <c r="C72" s="203" t="str">
        <f>IFERROR(TEXT(INDEX(X!D:D,MATCH(B72,X!AT:AT,0),0),"mm월 dd일"),"")</f>
        <v/>
      </c>
      <c r="D72" s="203" t="str">
        <f>IFERROR(TEXT(INDEX(X!D:D,MATCH(B72,X!AT:AT,0),0),"aaa"),"")</f>
        <v/>
      </c>
      <c r="E72" s="203"/>
      <c r="F72" s="209"/>
      <c r="G72" s="205"/>
      <c r="H72" s="206"/>
      <c r="I72" s="207" t="str" cm="1">
        <f t="array" ref="I72">IFERROR(INDEX(X!E:E,MATCH(B72,X!AT:AT,0),0),"")</f>
        <v/>
      </c>
      <c r="J72" s="208" t="str" cm="1">
        <f t="array" ref="J72">IFERROR(INDEX(X!J:J,MATCH(B72,X!AT:AT,0),0),"")</f>
        <v/>
      </c>
      <c r="K72" s="215" t="str" cm="1">
        <f t="array" ref="K72">IFERROR(INDEX(X!F:F,MATCH(B72,X!AT:AT,0),0),"")</f>
        <v/>
      </c>
    </row>
    <row r="73" spans="2:11">
      <c r="B73" s="214">
        <v>70</v>
      </c>
      <c r="C73" s="203" t="str">
        <f>IFERROR(TEXT(INDEX(X!D:D,MATCH(B73,X!AT:AT,0),0),"mm월 dd일"),"")</f>
        <v/>
      </c>
      <c r="D73" s="203" t="str">
        <f>IFERROR(TEXT(INDEX(X!D:D,MATCH(B73,X!AT:AT,0),0),"aaa"),"")</f>
        <v/>
      </c>
      <c r="E73" s="203"/>
      <c r="F73" s="209"/>
      <c r="G73" s="205"/>
      <c r="H73" s="206"/>
      <c r="I73" s="207" t="str" cm="1">
        <f t="array" ref="I73">IFERROR(INDEX(X!E:E,MATCH(B73,X!AT:AT,0),0),"")</f>
        <v/>
      </c>
      <c r="J73" s="208" t="str" cm="1">
        <f t="array" ref="J73">IFERROR(INDEX(X!J:J,MATCH(B73,X!AT:AT,0),0),"")</f>
        <v/>
      </c>
      <c r="K73" s="215" t="str" cm="1">
        <f t="array" ref="K73">IFERROR(INDEX(X!F:F,MATCH(B73,X!AT:AT,0),0),"")</f>
        <v/>
      </c>
    </row>
    <row r="74" spans="2:11">
      <c r="B74" s="214">
        <v>71</v>
      </c>
      <c r="C74" s="203" t="str">
        <f>IFERROR(TEXT(INDEX(X!D:D,MATCH(B74,X!AT:AT,0),0),"mm월 dd일"),"")</f>
        <v/>
      </c>
      <c r="D74" s="203" t="str">
        <f>IFERROR(TEXT(INDEX(X!D:D,MATCH(B74,X!AT:AT,0),0),"aaa"),"")</f>
        <v/>
      </c>
      <c r="E74" s="203"/>
      <c r="F74" s="209"/>
      <c r="G74" s="205"/>
      <c r="H74" s="206"/>
      <c r="I74" s="207" t="str" cm="1">
        <f t="array" ref="I74">IFERROR(INDEX(X!E:E,MATCH(B74,X!AT:AT,0),0),"")</f>
        <v/>
      </c>
      <c r="J74" s="208" t="str" cm="1">
        <f t="array" ref="J74">IFERROR(INDEX(X!J:J,MATCH(B74,X!AT:AT,0),0),"")</f>
        <v/>
      </c>
      <c r="K74" s="215" t="str" cm="1">
        <f t="array" ref="K74">IFERROR(INDEX(X!F:F,MATCH(B74,X!AT:AT,0),0),"")</f>
        <v/>
      </c>
    </row>
    <row r="75" spans="2:11">
      <c r="B75" s="214">
        <v>72</v>
      </c>
      <c r="C75" s="203" t="str">
        <f>IFERROR(TEXT(INDEX(X!D:D,MATCH(B75,X!AT:AT,0),0),"mm월 dd일"),"")</f>
        <v/>
      </c>
      <c r="D75" s="203" t="str">
        <f>IFERROR(TEXT(INDEX(X!D:D,MATCH(B75,X!AT:AT,0),0),"aaa"),"")</f>
        <v/>
      </c>
      <c r="E75" s="203"/>
      <c r="F75" s="209"/>
      <c r="G75" s="205"/>
      <c r="H75" s="206"/>
      <c r="I75" s="207" t="str" cm="1">
        <f t="array" ref="I75">IFERROR(INDEX(X!E:E,MATCH(B75,X!AT:AT,0),0),"")</f>
        <v/>
      </c>
      <c r="J75" s="208" t="str" cm="1">
        <f t="array" ref="J75">IFERROR(INDEX(X!J:J,MATCH(B75,X!AT:AT,0),0),"")</f>
        <v/>
      </c>
      <c r="K75" s="215" t="str" cm="1">
        <f t="array" ref="K75">IFERROR(INDEX(X!F:F,MATCH(B75,X!AT:AT,0),0),"")</f>
        <v/>
      </c>
    </row>
    <row r="76" spans="2:11">
      <c r="B76" s="214">
        <v>73</v>
      </c>
      <c r="C76" s="203" t="str">
        <f>IFERROR(TEXT(INDEX(X!D:D,MATCH(B76,X!AT:AT,0),0),"mm월 dd일"),"")</f>
        <v/>
      </c>
      <c r="D76" s="203" t="str">
        <f>IFERROR(TEXT(INDEX(X!D:D,MATCH(B76,X!AT:AT,0),0),"aaa"),"")</f>
        <v/>
      </c>
      <c r="E76" s="203"/>
      <c r="F76" s="209"/>
      <c r="G76" s="205"/>
      <c r="H76" s="206"/>
      <c r="I76" s="207" t="str" cm="1">
        <f t="array" ref="I76">IFERROR(INDEX(X!E:E,MATCH(B76,X!AT:AT,0),0),"")</f>
        <v/>
      </c>
      <c r="J76" s="208" t="str" cm="1">
        <f t="array" ref="J76">IFERROR(INDEX(X!J:J,MATCH(B76,X!AT:AT,0),0),"")</f>
        <v/>
      </c>
      <c r="K76" s="215" t="str" cm="1">
        <f t="array" ref="K76">IFERROR(INDEX(X!F:F,MATCH(B76,X!AT:AT,0),0),"")</f>
        <v/>
      </c>
    </row>
    <row r="77" spans="2:11">
      <c r="B77" s="214">
        <v>74</v>
      </c>
      <c r="C77" s="203" t="str">
        <f>IFERROR(TEXT(INDEX(X!D:D,MATCH(B77,X!AT:AT,0),0),"mm월 dd일"),"")</f>
        <v/>
      </c>
      <c r="D77" s="203" t="str">
        <f>IFERROR(TEXT(INDEX(X!D:D,MATCH(B77,X!AT:AT,0),0),"aaa"),"")</f>
        <v/>
      </c>
      <c r="E77" s="203"/>
      <c r="F77" s="209"/>
      <c r="G77" s="205"/>
      <c r="H77" s="206"/>
      <c r="I77" s="207" t="str" cm="1">
        <f t="array" ref="I77">IFERROR(INDEX(X!E:E,MATCH(B77,X!AT:AT,0),0),"")</f>
        <v/>
      </c>
      <c r="J77" s="208" t="str" cm="1">
        <f t="array" ref="J77">IFERROR(INDEX(X!J:J,MATCH(B77,X!AT:AT,0),0),"")</f>
        <v/>
      </c>
      <c r="K77" s="215" t="str" cm="1">
        <f t="array" ref="K77">IFERROR(INDEX(X!F:F,MATCH(B77,X!AT:AT,0),0),"")</f>
        <v/>
      </c>
    </row>
    <row r="78" spans="2:11">
      <c r="B78" s="214">
        <v>75</v>
      </c>
      <c r="C78" s="203" t="str">
        <f>IFERROR(TEXT(INDEX(X!D:D,MATCH(B78,X!AT:AT,0),0),"mm월 dd일"),"")</f>
        <v/>
      </c>
      <c r="D78" s="203" t="str">
        <f>IFERROR(TEXT(INDEX(X!D:D,MATCH(B78,X!AT:AT,0),0),"aaa"),"")</f>
        <v/>
      </c>
      <c r="E78" s="203"/>
      <c r="F78" s="209"/>
      <c r="G78" s="205"/>
      <c r="H78" s="206"/>
      <c r="I78" s="207" t="str" cm="1">
        <f t="array" ref="I78">IFERROR(INDEX(X!E:E,MATCH(B78,X!AT:AT,0),0),"")</f>
        <v/>
      </c>
      <c r="J78" s="208" t="str" cm="1">
        <f t="array" ref="J78">IFERROR(INDEX(X!J:J,MATCH(B78,X!AT:AT,0),0),"")</f>
        <v/>
      </c>
      <c r="K78" s="215" t="str" cm="1">
        <f t="array" ref="K78">IFERROR(INDEX(X!F:F,MATCH(B78,X!AT:AT,0),0),"")</f>
        <v/>
      </c>
    </row>
    <row r="79" spans="2:11">
      <c r="B79" s="214">
        <v>76</v>
      </c>
      <c r="C79" s="203" t="str">
        <f>IFERROR(TEXT(INDEX(X!D:D,MATCH(B79,X!AT:AT,0),0),"mm월 dd일"),"")</f>
        <v/>
      </c>
      <c r="D79" s="203" t="str">
        <f>IFERROR(TEXT(INDEX(X!D:D,MATCH(B79,X!AT:AT,0),0),"aaa"),"")</f>
        <v/>
      </c>
      <c r="E79" s="203"/>
      <c r="F79" s="209"/>
      <c r="G79" s="205"/>
      <c r="H79" s="206"/>
      <c r="I79" s="207" t="str" cm="1">
        <f t="array" ref="I79">IFERROR(INDEX(X!E:E,MATCH(B79,X!AT:AT,0),0),"")</f>
        <v/>
      </c>
      <c r="J79" s="208" t="str" cm="1">
        <f t="array" ref="J79">IFERROR(INDEX(X!J:J,MATCH(B79,X!AT:AT,0),0),"")</f>
        <v/>
      </c>
      <c r="K79" s="215" t="str" cm="1">
        <f t="array" ref="K79">IFERROR(INDEX(X!F:F,MATCH(B79,X!AT:AT,0),0),"")</f>
        <v/>
      </c>
    </row>
    <row r="80" spans="2:11">
      <c r="B80" s="214">
        <v>77</v>
      </c>
      <c r="C80" s="203" t="str">
        <f>IFERROR(TEXT(INDEX(X!D:D,MATCH(B80,X!AT:AT,0),0),"mm월 dd일"),"")</f>
        <v/>
      </c>
      <c r="D80" s="203" t="str">
        <f>IFERROR(TEXT(INDEX(X!D:D,MATCH(B80,X!AT:AT,0),0),"aaa"),"")</f>
        <v/>
      </c>
      <c r="E80" s="203"/>
      <c r="F80" s="209"/>
      <c r="G80" s="205"/>
      <c r="H80" s="206"/>
      <c r="I80" s="207" t="str" cm="1">
        <f t="array" ref="I80">IFERROR(INDEX(X!E:E,MATCH(B80,X!AT:AT,0),0),"")</f>
        <v/>
      </c>
      <c r="J80" s="208" t="str" cm="1">
        <f t="array" ref="J80">IFERROR(INDEX(X!J:J,MATCH(B80,X!AT:AT,0),0),"")</f>
        <v/>
      </c>
      <c r="K80" s="215" t="str" cm="1">
        <f t="array" ref="K80">IFERROR(INDEX(X!F:F,MATCH(B80,X!AT:AT,0),0),"")</f>
        <v/>
      </c>
    </row>
    <row r="81" spans="2:11">
      <c r="B81" s="214">
        <v>78</v>
      </c>
      <c r="C81" s="203" t="str">
        <f>IFERROR(TEXT(INDEX(X!D:D,MATCH(B81,X!AT:AT,0),0),"mm월 dd일"),"")</f>
        <v/>
      </c>
      <c r="D81" s="203" t="str">
        <f>IFERROR(TEXT(INDEX(X!D:D,MATCH(B81,X!AT:AT,0),0),"aaa"),"")</f>
        <v/>
      </c>
      <c r="E81" s="203"/>
      <c r="F81" s="209"/>
      <c r="G81" s="205"/>
      <c r="H81" s="206"/>
      <c r="I81" s="207" t="str" cm="1">
        <f t="array" ref="I81">IFERROR(INDEX(X!E:E,MATCH(B81,X!AT:AT,0),0),"")</f>
        <v/>
      </c>
      <c r="J81" s="208" t="str" cm="1">
        <f t="array" ref="J81">IFERROR(INDEX(X!J:J,MATCH(B81,X!AT:AT,0),0),"")</f>
        <v/>
      </c>
      <c r="K81" s="215" t="str" cm="1">
        <f t="array" ref="K81">IFERROR(INDEX(X!F:F,MATCH(B81,X!AT:AT,0),0),"")</f>
        <v/>
      </c>
    </row>
    <row r="82" spans="2:11">
      <c r="B82" s="214">
        <v>79</v>
      </c>
      <c r="C82" s="203" t="str">
        <f>IFERROR(TEXT(INDEX(X!D:D,MATCH(B82,X!AT:AT,0),0),"mm월 dd일"),"")</f>
        <v/>
      </c>
      <c r="D82" s="203" t="str">
        <f>IFERROR(TEXT(INDEX(X!D:D,MATCH(B82,X!AT:AT,0),0),"aaa"),"")</f>
        <v/>
      </c>
      <c r="E82" s="203"/>
      <c r="F82" s="209"/>
      <c r="G82" s="205"/>
      <c r="H82" s="206"/>
      <c r="I82" s="207" t="str" cm="1">
        <f t="array" ref="I82">IFERROR(INDEX(X!E:E,MATCH(B82,X!AT:AT,0),0),"")</f>
        <v/>
      </c>
      <c r="J82" s="208" t="str" cm="1">
        <f t="array" ref="J82">IFERROR(INDEX(X!J:J,MATCH(B82,X!AT:AT,0),0),"")</f>
        <v/>
      </c>
      <c r="K82" s="215" t="str" cm="1">
        <f t="array" ref="K82">IFERROR(INDEX(X!F:F,MATCH(B82,X!AT:AT,0),0),"")</f>
        <v/>
      </c>
    </row>
    <row r="83" spans="2:11">
      <c r="B83" s="214">
        <v>80</v>
      </c>
      <c r="C83" s="203" t="str">
        <f>IFERROR(TEXT(INDEX(X!D:D,MATCH(B83,X!AT:AT,0),0),"mm월 dd일"),"")</f>
        <v/>
      </c>
      <c r="D83" s="203" t="str">
        <f>IFERROR(TEXT(INDEX(X!D:D,MATCH(B83,X!AT:AT,0),0),"aaa"),"")</f>
        <v/>
      </c>
      <c r="E83" s="203"/>
      <c r="F83" s="209"/>
      <c r="G83" s="205"/>
      <c r="H83" s="206"/>
      <c r="I83" s="207" t="str" cm="1">
        <f t="array" ref="I83">IFERROR(INDEX(X!E:E,MATCH(B83,X!AT:AT,0),0),"")</f>
        <v/>
      </c>
      <c r="J83" s="208" t="str" cm="1">
        <f t="array" ref="J83">IFERROR(INDEX(X!J:J,MATCH(B83,X!AT:AT,0),0),"")</f>
        <v/>
      </c>
      <c r="K83" s="215" t="str" cm="1">
        <f t="array" ref="K83">IFERROR(INDEX(X!F:F,MATCH(B83,X!AT:AT,0),0),"")</f>
        <v/>
      </c>
    </row>
    <row r="84" spans="2:11">
      <c r="B84" s="214">
        <v>81</v>
      </c>
      <c r="C84" s="203" t="str">
        <f>IFERROR(TEXT(INDEX(X!D:D,MATCH(B84,X!AT:AT,0),0),"mm월 dd일"),"")</f>
        <v/>
      </c>
      <c r="D84" s="203" t="str">
        <f>IFERROR(TEXT(INDEX(X!D:D,MATCH(B84,X!AT:AT,0),0),"aaa"),"")</f>
        <v/>
      </c>
      <c r="E84" s="203"/>
      <c r="F84" s="209"/>
      <c r="G84" s="205"/>
      <c r="H84" s="206"/>
      <c r="I84" s="207" t="str" cm="1">
        <f t="array" ref="I84">IFERROR(INDEX(X!E:E,MATCH(B84,X!AT:AT,0),0),"")</f>
        <v/>
      </c>
      <c r="J84" s="208" t="str" cm="1">
        <f t="array" ref="J84">IFERROR(INDEX(X!J:J,MATCH(B84,X!AT:AT,0),0),"")</f>
        <v/>
      </c>
      <c r="K84" s="215" t="str" cm="1">
        <f t="array" ref="K84">IFERROR(INDEX(X!F:F,MATCH(B84,X!AT:AT,0),0),"")</f>
        <v/>
      </c>
    </row>
    <row r="85" spans="2:11">
      <c r="B85" s="214">
        <v>82</v>
      </c>
      <c r="C85" s="203" t="str">
        <f>IFERROR(TEXT(INDEX(X!D:D,MATCH(B85,X!AT:AT,0),0),"mm월 dd일"),"")</f>
        <v/>
      </c>
      <c r="D85" s="203" t="str">
        <f>IFERROR(TEXT(INDEX(X!D:D,MATCH(B85,X!AT:AT,0),0),"aaa"),"")</f>
        <v/>
      </c>
      <c r="E85" s="203"/>
      <c r="F85" s="209"/>
      <c r="G85" s="205"/>
      <c r="H85" s="206"/>
      <c r="I85" s="207" t="str" cm="1">
        <f t="array" ref="I85">IFERROR(INDEX(X!E:E,MATCH(B85,X!AT:AT,0),0),"")</f>
        <v/>
      </c>
      <c r="J85" s="208" t="str" cm="1">
        <f t="array" ref="J85">IFERROR(INDEX(X!J:J,MATCH(B85,X!AT:AT,0),0),"")</f>
        <v/>
      </c>
      <c r="K85" s="215" t="str" cm="1">
        <f t="array" ref="K85">IFERROR(INDEX(X!F:F,MATCH(B85,X!AT:AT,0),0),"")</f>
        <v/>
      </c>
    </row>
    <row r="86" spans="2:11" ht="17.25" thickBot="1">
      <c r="B86" s="216">
        <v>83</v>
      </c>
      <c r="C86" s="217" t="str">
        <f>IFERROR(TEXT(INDEX(X!D:D,MATCH(B86,X!AT:AT,0),0),"mm월 dd일"),"")</f>
        <v/>
      </c>
      <c r="D86" s="217" t="str">
        <f>IFERROR(TEXT(INDEX(X!D:D,MATCH(B86,X!AT:AT,0),0),"aaa"),"")</f>
        <v/>
      </c>
      <c r="E86" s="217"/>
      <c r="F86" s="218"/>
      <c r="G86" s="219"/>
      <c r="H86" s="220"/>
      <c r="I86" s="223" t="str" cm="1">
        <f t="array" ref="I86">IFERROR(INDEX(X!E:E,MATCH(B86,X!AT:AT,0),0),"")</f>
        <v/>
      </c>
      <c r="J86" s="221" t="str" cm="1">
        <f t="array" ref="J86">IFERROR(INDEX(X!J:J,MATCH(B86,X!AT:AT,0),0),"")</f>
        <v/>
      </c>
      <c r="K86" s="222" t="str" cm="1">
        <f t="array" ref="K86">IFERROR(INDEX(X!F:F,MATCH(B86,X!AT:AT,0),0),"")</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4</vt:i4>
      </vt:variant>
    </vt:vector>
  </HeadingPairs>
  <TitlesOfParts>
    <vt:vector size="28" baseType="lpstr">
      <vt:lpstr>월간 HL</vt:lpstr>
      <vt:lpstr>일일 팔로워</vt:lpstr>
      <vt:lpstr>followers</vt:lpstr>
      <vt:lpstr>모바일 PV 월별 비교</vt:lpstr>
      <vt:lpstr>PC PV 월별 비교</vt:lpstr>
      <vt:lpstr>visitors</vt:lpstr>
      <vt:lpstr>지역 data</vt:lpstr>
      <vt:lpstr>Competitors</vt:lpstr>
      <vt:lpstr>Follower Ad data</vt:lpstr>
      <vt:lpstr>Follower Ad</vt:lpstr>
      <vt:lpstr>PC 모바일 비교</vt:lpstr>
      <vt:lpstr>월간비교</vt:lpstr>
      <vt:lpstr>Visitor Demographic</vt:lpstr>
      <vt:lpstr>contents</vt:lpstr>
      <vt:lpstr>contents 추가정보</vt:lpstr>
      <vt:lpstr>contents 장표</vt:lpstr>
      <vt:lpstr>월간 Top 집계</vt:lpstr>
      <vt:lpstr>contents(daily)</vt:lpstr>
      <vt:lpstr>영상 콘텐츠 지표</vt:lpstr>
      <vt:lpstr>노출,참여 추이</vt:lpstr>
      <vt:lpstr>일일 업로드 현황</vt:lpstr>
      <vt:lpstr>X</vt:lpstr>
      <vt:lpstr>X 추가정보</vt:lpstr>
      <vt:lpstr>X 장표</vt:lpstr>
      <vt:lpstr>contents_raw</vt:lpstr>
      <vt:lpstr>visitor</vt:lpstr>
      <vt:lpstr>Yearly_PV</vt:lpstr>
      <vt:lpstr>장표기준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Joon Young Lee</cp:lastModifiedBy>
  <cp:lastPrinted>2024-07-05T09:25:26Z</cp:lastPrinted>
  <dcterms:created xsi:type="dcterms:W3CDTF">2023-04-11T07:05:47Z</dcterms:created>
  <dcterms:modified xsi:type="dcterms:W3CDTF">2024-10-04T01:51:10Z</dcterms:modified>
</cp:coreProperties>
</file>