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5acf91307fec04/Desktop/Lab/Project2/"/>
    </mc:Choice>
  </mc:AlternateContent>
  <xr:revisionPtr revIDLastSave="17040" documentId="8_{E4635A66-D65A-420A-9063-02698075AD08}" xr6:coauthVersionLast="45" xr6:coauthVersionMax="45" xr10:uidLastSave="{10D9EAC6-B8CD-4AC5-AD22-85CCED2152E3}"/>
  <bookViews>
    <workbookView xWindow="-108" yWindow="-108" windowWidth="23256" windowHeight="12576" tabRatio="741" firstSheet="4" activeTab="4" xr2:uid="{94DEA319-552B-46B6-B01E-C46B0C394788}"/>
  </bookViews>
  <sheets>
    <sheet name="Source (new)" sheetId="1" r:id="rId1"/>
    <sheet name="Source (old)" sheetId="12" r:id="rId2"/>
    <sheet name="P0 vs R" sheetId="2" r:id="rId3"/>
    <sheet name="P0 vs T" sheetId="3" r:id="rId4"/>
    <sheet name="P0" sheetId="5" r:id="rId5"/>
    <sheet name="Pb vs R" sheetId="6" r:id="rId6"/>
    <sheet name="Pb vs T" sheetId="7" r:id="rId7"/>
    <sheet name="Pb" sheetId="8" r:id="rId8"/>
    <sheet name="a_P (new) vs R" sheetId="9" r:id="rId9"/>
    <sheet name="a_P (new) vs T" sheetId="10" r:id="rId10"/>
    <sheet name="a_P (new)" sheetId="11" r:id="rId11"/>
    <sheet name="a_P (old) vs R" sheetId="13" r:id="rId12"/>
    <sheet name="a_P (old) vs T" sheetId="14" r:id="rId13"/>
    <sheet name="a_P (old)" sheetId="15" r:id="rId14"/>
    <sheet name="rho_0 vs R" sheetId="16" r:id="rId15"/>
    <sheet name="rho_0 vs T" sheetId="17" r:id="rId16"/>
    <sheet name="rho_0" sheetId="18" r:id="rId17"/>
    <sheet name="rho_b vs R" sheetId="19" r:id="rId18"/>
    <sheet name="rho_b vs T" sheetId="20" r:id="rId19"/>
    <sheet name="rho_b" sheetId="21" r:id="rId20"/>
    <sheet name="a_rho (new) vs R" sheetId="22" r:id="rId21"/>
    <sheet name="a_rho (new) vs T" sheetId="23" r:id="rId22"/>
    <sheet name="a_rho (new)" sheetId="24" r:id="rId23"/>
    <sheet name="a_rho (old) vs R" sheetId="25" r:id="rId24"/>
  </sheets>
  <definedNames>
    <definedName name="solver_adj" localSheetId="10" hidden="1">'a_P (new)'!$AH$3:$AJ$3</definedName>
    <definedName name="solver_adj" localSheetId="22" hidden="1">'a_rho (new)'!$AF$2:$AH$2</definedName>
    <definedName name="solver_adj" localSheetId="4" hidden="1">P0!$AH$3:$AJ$3</definedName>
    <definedName name="solver_adj" localSheetId="7" hidden="1">Pb!$AH$3:$AJ$3</definedName>
    <definedName name="solver_adj" localSheetId="16" hidden="1">rho_0!$AF$2:$AH$2</definedName>
    <definedName name="solver_adj" localSheetId="19" hidden="1">rho_b!$AF$2:$AH$2</definedName>
    <definedName name="solver_cvg" localSheetId="10" hidden="1">0.0001</definedName>
    <definedName name="solver_cvg" localSheetId="22" hidden="1">0.0001</definedName>
    <definedName name="solver_cvg" localSheetId="4" hidden="1">0.0001</definedName>
    <definedName name="solver_cvg" localSheetId="7" hidden="1">0.0001</definedName>
    <definedName name="solver_cvg" localSheetId="16" hidden="1">0.0001</definedName>
    <definedName name="solver_cvg" localSheetId="19" hidden="1">0.0001</definedName>
    <definedName name="solver_drv" localSheetId="10" hidden="1">1</definedName>
    <definedName name="solver_drv" localSheetId="22" hidden="1">1</definedName>
    <definedName name="solver_drv" localSheetId="4" hidden="1">1</definedName>
    <definedName name="solver_drv" localSheetId="7" hidden="1">2</definedName>
    <definedName name="solver_drv" localSheetId="16" hidden="1">1</definedName>
    <definedName name="solver_drv" localSheetId="19" hidden="1">1</definedName>
    <definedName name="solver_eng" localSheetId="10" hidden="1">1</definedName>
    <definedName name="solver_eng" localSheetId="22" hidden="1">1</definedName>
    <definedName name="solver_eng" localSheetId="4" hidden="1">1</definedName>
    <definedName name="solver_eng" localSheetId="7" hidden="1">1</definedName>
    <definedName name="solver_eng" localSheetId="16" hidden="1">1</definedName>
    <definedName name="solver_eng" localSheetId="19" hidden="1">1</definedName>
    <definedName name="solver_est" localSheetId="10" hidden="1">1</definedName>
    <definedName name="solver_est" localSheetId="22" hidden="1">1</definedName>
    <definedName name="solver_est" localSheetId="4" hidden="1">1</definedName>
    <definedName name="solver_est" localSheetId="7" hidden="1">1</definedName>
    <definedName name="solver_est" localSheetId="16" hidden="1">1</definedName>
    <definedName name="solver_est" localSheetId="19" hidden="1">1</definedName>
    <definedName name="solver_itr" localSheetId="10" hidden="1">2147483647</definedName>
    <definedName name="solver_itr" localSheetId="22" hidden="1">2147483647</definedName>
    <definedName name="solver_itr" localSheetId="4" hidden="1">2147483647</definedName>
    <definedName name="solver_itr" localSheetId="7" hidden="1">2147483647</definedName>
    <definedName name="solver_itr" localSheetId="16" hidden="1">2147483647</definedName>
    <definedName name="solver_itr" localSheetId="19" hidden="1">2147483647</definedName>
    <definedName name="solver_lhs1" localSheetId="4" hidden="1">P0!$Q$3</definedName>
    <definedName name="solver_mip" localSheetId="10" hidden="1">2147483647</definedName>
    <definedName name="solver_mip" localSheetId="22" hidden="1">2147483647</definedName>
    <definedName name="solver_mip" localSheetId="4" hidden="1">2147483647</definedName>
    <definedName name="solver_mip" localSheetId="7" hidden="1">2147483647</definedName>
    <definedName name="solver_mip" localSheetId="16" hidden="1">2147483647</definedName>
    <definedName name="solver_mip" localSheetId="19" hidden="1">2147483647</definedName>
    <definedName name="solver_mni" localSheetId="10" hidden="1">30</definedName>
    <definedName name="solver_mni" localSheetId="22" hidden="1">30</definedName>
    <definedName name="solver_mni" localSheetId="4" hidden="1">30</definedName>
    <definedName name="solver_mni" localSheetId="7" hidden="1">30</definedName>
    <definedName name="solver_mni" localSheetId="16" hidden="1">30</definedName>
    <definedName name="solver_mni" localSheetId="19" hidden="1">30</definedName>
    <definedName name="solver_mrt" localSheetId="10" hidden="1">0.075</definedName>
    <definedName name="solver_mrt" localSheetId="22" hidden="1">0.075</definedName>
    <definedName name="solver_mrt" localSheetId="4" hidden="1">0.075</definedName>
    <definedName name="solver_mrt" localSheetId="7" hidden="1">0.075</definedName>
    <definedName name="solver_mrt" localSheetId="16" hidden="1">0.075</definedName>
    <definedName name="solver_mrt" localSheetId="19" hidden="1">0.075</definedName>
    <definedName name="solver_msl" localSheetId="10" hidden="1">2</definedName>
    <definedName name="solver_msl" localSheetId="22" hidden="1">2</definedName>
    <definedName name="solver_msl" localSheetId="4" hidden="1">2</definedName>
    <definedName name="solver_msl" localSheetId="7" hidden="1">2</definedName>
    <definedName name="solver_msl" localSheetId="16" hidden="1">2</definedName>
    <definedName name="solver_msl" localSheetId="19" hidden="1">2</definedName>
    <definedName name="solver_neg" localSheetId="10" hidden="1">2</definedName>
    <definedName name="solver_neg" localSheetId="22" hidden="1">2</definedName>
    <definedName name="solver_neg" localSheetId="4" hidden="1">2</definedName>
    <definedName name="solver_neg" localSheetId="7" hidden="1">1</definedName>
    <definedName name="solver_neg" localSheetId="16" hidden="1">2</definedName>
    <definedName name="solver_neg" localSheetId="19" hidden="1">2</definedName>
    <definedName name="solver_nod" localSheetId="10" hidden="1">2147483647</definedName>
    <definedName name="solver_nod" localSheetId="22" hidden="1">2147483647</definedName>
    <definedName name="solver_nod" localSheetId="4" hidden="1">2147483647</definedName>
    <definedName name="solver_nod" localSheetId="7" hidden="1">2147483647</definedName>
    <definedName name="solver_nod" localSheetId="16" hidden="1">2147483647</definedName>
    <definedName name="solver_nod" localSheetId="19" hidden="1">2147483647</definedName>
    <definedName name="solver_num" localSheetId="10" hidden="1">0</definedName>
    <definedName name="solver_num" localSheetId="22" hidden="1">0</definedName>
    <definedName name="solver_num" localSheetId="4" hidden="1">0</definedName>
    <definedName name="solver_num" localSheetId="7" hidden="1">0</definedName>
    <definedName name="solver_num" localSheetId="16" hidden="1">0</definedName>
    <definedName name="solver_num" localSheetId="19" hidden="1">0</definedName>
    <definedName name="solver_nwt" localSheetId="10" hidden="1">1</definedName>
    <definedName name="solver_nwt" localSheetId="22" hidden="1">1</definedName>
    <definedName name="solver_nwt" localSheetId="4" hidden="1">1</definedName>
    <definedName name="solver_nwt" localSheetId="7" hidden="1">1</definedName>
    <definedName name="solver_nwt" localSheetId="16" hidden="1">1</definedName>
    <definedName name="solver_nwt" localSheetId="19" hidden="1">1</definedName>
    <definedName name="solver_opt" localSheetId="10" hidden="1">'a_P (new)'!$AF$4</definedName>
    <definedName name="solver_opt" localSheetId="22" hidden="1">'a_rho (new)'!$AD$3</definedName>
    <definedName name="solver_opt" localSheetId="4" hidden="1">P0!$AF$4</definedName>
    <definedName name="solver_opt" localSheetId="7" hidden="1">Pb!$AF$4</definedName>
    <definedName name="solver_opt" localSheetId="16" hidden="1">rho_0!$AD$3</definedName>
    <definedName name="solver_opt" localSheetId="19" hidden="1">rho_b!$AD$3</definedName>
    <definedName name="solver_pre" localSheetId="10" hidden="1">0.000001</definedName>
    <definedName name="solver_pre" localSheetId="22" hidden="1">0.000001</definedName>
    <definedName name="solver_pre" localSheetId="4" hidden="1">0.000001</definedName>
    <definedName name="solver_pre" localSheetId="7" hidden="1">0.000001</definedName>
    <definedName name="solver_pre" localSheetId="16" hidden="1">0.000001</definedName>
    <definedName name="solver_pre" localSheetId="19" hidden="1">0.000001</definedName>
    <definedName name="solver_rbv" localSheetId="10" hidden="1">1</definedName>
    <definedName name="solver_rbv" localSheetId="22" hidden="1">1</definedName>
    <definedName name="solver_rbv" localSheetId="4" hidden="1">1</definedName>
    <definedName name="solver_rbv" localSheetId="7" hidden="1">2</definedName>
    <definedName name="solver_rbv" localSheetId="16" hidden="1">1</definedName>
    <definedName name="solver_rbv" localSheetId="19" hidden="1">1</definedName>
    <definedName name="solver_rel1" localSheetId="4" hidden="1">3</definedName>
    <definedName name="solver_rhs1" localSheetId="4" hidden="1">0</definedName>
    <definedName name="solver_rlx" localSheetId="10" hidden="1">2</definedName>
    <definedName name="solver_rlx" localSheetId="22" hidden="1">2</definedName>
    <definedName name="solver_rlx" localSheetId="4" hidden="1">2</definedName>
    <definedName name="solver_rlx" localSheetId="7" hidden="1">2</definedName>
    <definedName name="solver_rlx" localSheetId="16" hidden="1">2</definedName>
    <definedName name="solver_rlx" localSheetId="19" hidden="1">2</definedName>
    <definedName name="solver_rsd" localSheetId="10" hidden="1">0</definedName>
    <definedName name="solver_rsd" localSheetId="22" hidden="1">0</definedName>
    <definedName name="solver_rsd" localSheetId="4" hidden="1">0</definedName>
    <definedName name="solver_rsd" localSheetId="7" hidden="1">0</definedName>
    <definedName name="solver_rsd" localSheetId="16" hidden="1">0</definedName>
    <definedName name="solver_rsd" localSheetId="19" hidden="1">0</definedName>
    <definedName name="solver_scl" localSheetId="10" hidden="1">1</definedName>
    <definedName name="solver_scl" localSheetId="22" hidden="1">1</definedName>
    <definedName name="solver_scl" localSheetId="4" hidden="1">1</definedName>
    <definedName name="solver_scl" localSheetId="7" hidden="1">2</definedName>
    <definedName name="solver_scl" localSheetId="16" hidden="1">1</definedName>
    <definedName name="solver_scl" localSheetId="19" hidden="1">1</definedName>
    <definedName name="solver_sho" localSheetId="10" hidden="1">2</definedName>
    <definedName name="solver_sho" localSheetId="22" hidden="1">2</definedName>
    <definedName name="solver_sho" localSheetId="4" hidden="1">2</definedName>
    <definedName name="solver_sho" localSheetId="7" hidden="1">2</definedName>
    <definedName name="solver_sho" localSheetId="16" hidden="1">2</definedName>
    <definedName name="solver_sho" localSheetId="19" hidden="1">2</definedName>
    <definedName name="solver_ssz" localSheetId="10" hidden="1">100</definedName>
    <definedName name="solver_ssz" localSheetId="22" hidden="1">100</definedName>
    <definedName name="solver_ssz" localSheetId="4" hidden="1">100</definedName>
    <definedName name="solver_ssz" localSheetId="7" hidden="1">100</definedName>
    <definedName name="solver_ssz" localSheetId="16" hidden="1">100</definedName>
    <definedName name="solver_ssz" localSheetId="19" hidden="1">100</definedName>
    <definedName name="solver_tim" localSheetId="10" hidden="1">2147483647</definedName>
    <definedName name="solver_tim" localSheetId="22" hidden="1">2147483647</definedName>
    <definedName name="solver_tim" localSheetId="4" hidden="1">2147483647</definedName>
    <definedName name="solver_tim" localSheetId="7" hidden="1">2147483647</definedName>
    <definedName name="solver_tim" localSheetId="16" hidden="1">2147483647</definedName>
    <definedName name="solver_tim" localSheetId="19" hidden="1">2147483647</definedName>
    <definedName name="solver_tol" localSheetId="10" hidden="1">0.01</definedName>
    <definedName name="solver_tol" localSheetId="22" hidden="1">0.01</definedName>
    <definedName name="solver_tol" localSheetId="4" hidden="1">0.01</definedName>
    <definedName name="solver_tol" localSheetId="7" hidden="1">0.01</definedName>
    <definedName name="solver_tol" localSheetId="16" hidden="1">0.01</definedName>
    <definedName name="solver_tol" localSheetId="19" hidden="1">0.01</definedName>
    <definedName name="solver_typ" localSheetId="10" hidden="1">2</definedName>
    <definedName name="solver_typ" localSheetId="22" hidden="1">2</definedName>
    <definedName name="solver_typ" localSheetId="4" hidden="1">2</definedName>
    <definedName name="solver_typ" localSheetId="7" hidden="1">2</definedName>
    <definedName name="solver_typ" localSheetId="16" hidden="1">2</definedName>
    <definedName name="solver_typ" localSheetId="19" hidden="1">2</definedName>
    <definedName name="solver_val" localSheetId="10" hidden="1">0</definedName>
    <definedName name="solver_val" localSheetId="22" hidden="1">0</definedName>
    <definedName name="solver_val" localSheetId="4" hidden="1">0</definedName>
    <definedName name="solver_val" localSheetId="7" hidden="1">0</definedName>
    <definedName name="solver_val" localSheetId="16" hidden="1">0</definedName>
    <definedName name="solver_val" localSheetId="19" hidden="1">0</definedName>
    <definedName name="solver_ver" localSheetId="10" hidden="1">3</definedName>
    <definedName name="solver_ver" localSheetId="22" hidden="1">3</definedName>
    <definedName name="solver_ver" localSheetId="4" hidden="1">3</definedName>
    <definedName name="solver_ver" localSheetId="7" hidden="1">3</definedName>
    <definedName name="solver_ver" localSheetId="16" hidden="1">3</definedName>
    <definedName name="solver_ver" localSheetId="1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21" l="1"/>
  <c r="A17" i="21"/>
  <c r="A15" i="21"/>
  <c r="A24" i="8"/>
  <c r="A22" i="8"/>
  <c r="A20" i="8"/>
  <c r="AB4" i="24" l="1"/>
  <c r="AC4" i="24" s="1"/>
  <c r="AB5" i="24"/>
  <c r="AB6" i="24"/>
  <c r="AC6" i="24" s="1"/>
  <c r="AB7" i="24"/>
  <c r="AC7" i="24" s="1"/>
  <c r="AB8" i="24"/>
  <c r="AB9" i="24"/>
  <c r="AC9" i="24" s="1"/>
  <c r="AB10" i="24"/>
  <c r="AC10" i="24" s="1"/>
  <c r="AB11" i="24"/>
  <c r="AC11" i="24" s="1"/>
  <c r="AB12" i="24"/>
  <c r="AB13" i="24"/>
  <c r="AB14" i="24"/>
  <c r="AC14" i="24" s="1"/>
  <c r="AB15" i="24"/>
  <c r="AC15" i="24" s="1"/>
  <c r="AB16" i="24"/>
  <c r="AC16" i="24" s="1"/>
  <c r="AB17" i="24"/>
  <c r="AC17" i="24" s="1"/>
  <c r="AB18" i="24"/>
  <c r="AC18" i="24" s="1"/>
  <c r="AB19" i="24"/>
  <c r="AC19" i="24" s="1"/>
  <c r="AB20" i="24"/>
  <c r="AC20" i="24" s="1"/>
  <c r="AB21" i="24"/>
  <c r="AB22" i="24"/>
  <c r="AC22" i="24" s="1"/>
  <c r="AB3" i="24"/>
  <c r="AC8" i="24"/>
  <c r="AC13" i="24"/>
  <c r="K3" i="24"/>
  <c r="K4" i="24"/>
  <c r="L4" i="24" s="1"/>
  <c r="K5" i="24"/>
  <c r="K6" i="24"/>
  <c r="K7" i="24"/>
  <c r="L7" i="24" s="1"/>
  <c r="K8" i="24"/>
  <c r="K9" i="24"/>
  <c r="L9" i="24" s="1"/>
  <c r="K10" i="24"/>
  <c r="L10" i="24" s="1"/>
  <c r="K11" i="24"/>
  <c r="K12" i="24"/>
  <c r="K13" i="24"/>
  <c r="K14" i="24"/>
  <c r="L14" i="24" s="1"/>
  <c r="K15" i="24"/>
  <c r="L15" i="24" s="1"/>
  <c r="K16" i="24"/>
  <c r="L16" i="24" s="1"/>
  <c r="K17" i="24"/>
  <c r="L17" i="24" s="1"/>
  <c r="K18" i="24"/>
  <c r="L18" i="24" s="1"/>
  <c r="K19" i="24"/>
  <c r="K20" i="24"/>
  <c r="L20" i="24" s="1"/>
  <c r="K21" i="24"/>
  <c r="L21" i="24" s="1"/>
  <c r="K22" i="24"/>
  <c r="L22" i="24" s="1"/>
  <c r="L5" i="24"/>
  <c r="L6" i="24"/>
  <c r="L8" i="24"/>
  <c r="L19" i="24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AC5" i="24"/>
  <c r="AC12" i="24"/>
  <c r="AC21" i="24"/>
  <c r="L11" i="24"/>
  <c r="L12" i="24"/>
  <c r="L13" i="24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AE3" i="24" l="1"/>
  <c r="AC3" i="24"/>
  <c r="AD3" i="24" s="1"/>
  <c r="N3" i="24"/>
  <c r="L3" i="24"/>
  <c r="M3" i="24" s="1"/>
  <c r="AB4" i="21"/>
  <c r="AC4" i="21" s="1"/>
  <c r="AB5" i="21"/>
  <c r="AC5" i="21" s="1"/>
  <c r="AB6" i="21"/>
  <c r="AC6" i="21" s="1"/>
  <c r="AB7" i="21"/>
  <c r="AC7" i="21" s="1"/>
  <c r="AB8" i="21"/>
  <c r="AC8" i="21" s="1"/>
  <c r="AB9" i="21"/>
  <c r="AC9" i="21" s="1"/>
  <c r="AB10" i="21"/>
  <c r="AC10" i="21" s="1"/>
  <c r="AB11" i="21"/>
  <c r="AC11" i="21" s="1"/>
  <c r="AB12" i="21"/>
  <c r="AC12" i="21" s="1"/>
  <c r="AB13" i="21"/>
  <c r="AC13" i="21" s="1"/>
  <c r="AB14" i="21"/>
  <c r="AC14" i="21" s="1"/>
  <c r="AB15" i="21"/>
  <c r="AC15" i="21" s="1"/>
  <c r="AB16" i="21"/>
  <c r="AC16" i="21" s="1"/>
  <c r="AB17" i="21"/>
  <c r="AC17" i="21" s="1"/>
  <c r="AB18" i="21"/>
  <c r="AC18" i="21" s="1"/>
  <c r="AB19" i="21"/>
  <c r="AC19" i="21" s="1"/>
  <c r="AB20" i="21"/>
  <c r="AC20" i="21" s="1"/>
  <c r="AB21" i="21"/>
  <c r="AC21" i="21" s="1"/>
  <c r="AB22" i="21"/>
  <c r="AC22" i="21" s="1"/>
  <c r="AB3" i="21"/>
  <c r="K3" i="21"/>
  <c r="L3" i="21" s="1"/>
  <c r="K4" i="21"/>
  <c r="L4" i="21" s="1"/>
  <c r="K5" i="21"/>
  <c r="L5" i="21" s="1"/>
  <c r="K6" i="21"/>
  <c r="L6" i="21" s="1"/>
  <c r="K7" i="21"/>
  <c r="L7" i="21" s="1"/>
  <c r="K8" i="21"/>
  <c r="L8" i="21" s="1"/>
  <c r="K9" i="21"/>
  <c r="L9" i="21" s="1"/>
  <c r="K10" i="21"/>
  <c r="L10" i="21" s="1"/>
  <c r="K11" i="21"/>
  <c r="L11" i="21" s="1"/>
  <c r="K12" i="21"/>
  <c r="L12" i="21" s="1"/>
  <c r="K13" i="21"/>
  <c r="L13" i="21" s="1"/>
  <c r="K14" i="21"/>
  <c r="L14" i="21" s="1"/>
  <c r="K15" i="21"/>
  <c r="L15" i="21" s="1"/>
  <c r="K16" i="21"/>
  <c r="L16" i="21" s="1"/>
  <c r="K17" i="21"/>
  <c r="L17" i="21" s="1"/>
  <c r="K18" i="21"/>
  <c r="L18" i="21" s="1"/>
  <c r="K19" i="21"/>
  <c r="L19" i="21" s="1"/>
  <c r="K20" i="21"/>
  <c r="L20" i="21" s="1"/>
  <c r="K21" i="21"/>
  <c r="L21" i="21" s="1"/>
  <c r="K22" i="21"/>
  <c r="L22" i="21" s="1"/>
  <c r="K23" i="21"/>
  <c r="L23" i="21" s="1"/>
  <c r="K24" i="21"/>
  <c r="L24" i="21" s="1"/>
  <c r="K25" i="21"/>
  <c r="L25" i="21" s="1"/>
  <c r="K26" i="21"/>
  <c r="L26" i="21" s="1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AB4" i="18"/>
  <c r="AC4" i="18" s="1"/>
  <c r="AB5" i="18"/>
  <c r="AC5" i="18" s="1"/>
  <c r="AB6" i="18"/>
  <c r="AC6" i="18" s="1"/>
  <c r="AB7" i="18"/>
  <c r="AC7" i="18" s="1"/>
  <c r="AB8" i="18"/>
  <c r="AC8" i="18" s="1"/>
  <c r="AB9" i="18"/>
  <c r="AC9" i="18" s="1"/>
  <c r="AB10" i="18"/>
  <c r="AC10" i="18" s="1"/>
  <c r="AB11" i="18"/>
  <c r="AC11" i="18" s="1"/>
  <c r="AB12" i="18"/>
  <c r="AC12" i="18" s="1"/>
  <c r="AB13" i="18"/>
  <c r="AC13" i="18" s="1"/>
  <c r="AB14" i="18"/>
  <c r="AC14" i="18" s="1"/>
  <c r="AB15" i="18"/>
  <c r="AC15" i="18" s="1"/>
  <c r="AB16" i="18"/>
  <c r="AC16" i="18" s="1"/>
  <c r="AB17" i="18"/>
  <c r="AC17" i="18" s="1"/>
  <c r="AB18" i="18"/>
  <c r="AC18" i="18" s="1"/>
  <c r="AB19" i="18"/>
  <c r="AC19" i="18" s="1"/>
  <c r="AB20" i="18"/>
  <c r="AC20" i="18" s="1"/>
  <c r="AB21" i="18"/>
  <c r="AC21" i="18" s="1"/>
  <c r="AB22" i="18"/>
  <c r="AC22" i="18" s="1"/>
  <c r="AB3" i="18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2" i="18"/>
  <c r="L22" i="18" s="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AE3" i="21" l="1"/>
  <c r="AC3" i="21"/>
  <c r="AD3" i="21" s="1"/>
  <c r="M3" i="21"/>
  <c r="N3" i="21"/>
  <c r="AE3" i="18"/>
  <c r="AC3" i="18"/>
  <c r="AD3" i="18" s="1"/>
  <c r="M3" i="18"/>
  <c r="N3" i="18"/>
  <c r="AD5" i="11"/>
  <c r="AE5" i="11" s="1"/>
  <c r="AD6" i="11"/>
  <c r="AE6" i="11" s="1"/>
  <c r="AD7" i="11"/>
  <c r="AE7" i="11" s="1"/>
  <c r="AD8" i="11"/>
  <c r="AE8" i="11" s="1"/>
  <c r="AD9" i="11"/>
  <c r="AE9" i="11" s="1"/>
  <c r="AD10" i="11"/>
  <c r="AE10" i="11" s="1"/>
  <c r="AD11" i="11"/>
  <c r="AE11" i="11" s="1"/>
  <c r="AD12" i="11"/>
  <c r="AE12" i="11" s="1"/>
  <c r="AD13" i="11"/>
  <c r="AE13" i="11" s="1"/>
  <c r="AD14" i="11"/>
  <c r="AE14" i="11" s="1"/>
  <c r="AD15" i="11"/>
  <c r="AE15" i="11" s="1"/>
  <c r="AD16" i="11"/>
  <c r="AE16" i="11" s="1"/>
  <c r="AD17" i="11"/>
  <c r="AE17" i="11" s="1"/>
  <c r="AD18" i="11"/>
  <c r="AE18" i="11" s="1"/>
  <c r="AD19" i="11"/>
  <c r="AE19" i="11" s="1"/>
  <c r="AD20" i="11"/>
  <c r="AE20" i="11" s="1"/>
  <c r="AD21" i="11"/>
  <c r="AE21" i="11" s="1"/>
  <c r="AD22" i="11"/>
  <c r="AE22" i="11" s="1"/>
  <c r="AD23" i="11"/>
  <c r="AE23" i="11" s="1"/>
  <c r="AD4" i="11"/>
  <c r="K5" i="11"/>
  <c r="L5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4" i="11"/>
  <c r="AD5" i="8"/>
  <c r="AD6" i="8"/>
  <c r="AE6" i="8" s="1"/>
  <c r="AD7" i="8"/>
  <c r="AE7" i="8" s="1"/>
  <c r="AD8" i="8"/>
  <c r="AE8" i="8" s="1"/>
  <c r="AD9" i="8"/>
  <c r="AE9" i="8" s="1"/>
  <c r="AD10" i="8"/>
  <c r="AE10" i="8" s="1"/>
  <c r="AD11" i="8"/>
  <c r="AE11" i="8" s="1"/>
  <c r="AD12" i="8"/>
  <c r="AE12" i="8" s="1"/>
  <c r="AD13" i="8"/>
  <c r="AD14" i="8"/>
  <c r="AE14" i="8" s="1"/>
  <c r="AD15" i="8"/>
  <c r="AE15" i="8" s="1"/>
  <c r="AD16" i="8"/>
  <c r="AE16" i="8" s="1"/>
  <c r="AD17" i="8"/>
  <c r="AE17" i="8" s="1"/>
  <c r="AD18" i="8"/>
  <c r="AE18" i="8" s="1"/>
  <c r="AD19" i="8"/>
  <c r="AE19" i="8" s="1"/>
  <c r="AD20" i="8"/>
  <c r="AE20" i="8" s="1"/>
  <c r="AD21" i="8"/>
  <c r="AD22" i="8"/>
  <c r="AE22" i="8" s="1"/>
  <c r="AD23" i="8"/>
  <c r="AE23" i="8" s="1"/>
  <c r="AD4" i="8"/>
  <c r="AE5" i="8"/>
  <c r="AE13" i="8"/>
  <c r="AE21" i="8"/>
  <c r="K5" i="8"/>
  <c r="L5" i="8" s="1"/>
  <c r="K6" i="8"/>
  <c r="L6" i="8" s="1"/>
  <c r="K7" i="8"/>
  <c r="L7" i="8" s="1"/>
  <c r="K8" i="8"/>
  <c r="K9" i="8"/>
  <c r="K10" i="8"/>
  <c r="L10" i="8" s="1"/>
  <c r="K11" i="8"/>
  <c r="L11" i="8" s="1"/>
  <c r="K12" i="8"/>
  <c r="L12" i="8" s="1"/>
  <c r="K13" i="8"/>
  <c r="L13" i="8" s="1"/>
  <c r="K14" i="8"/>
  <c r="L14" i="8" s="1"/>
  <c r="K15" i="8"/>
  <c r="L15" i="8" s="1"/>
  <c r="K16" i="8"/>
  <c r="K17" i="8"/>
  <c r="L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 s="1"/>
  <c r="K24" i="8"/>
  <c r="L24" i="8" s="1"/>
  <c r="K25" i="8"/>
  <c r="L25" i="8" s="1"/>
  <c r="K26" i="8"/>
  <c r="L26" i="8" s="1"/>
  <c r="K27" i="8"/>
  <c r="L27" i="8" s="1"/>
  <c r="K4" i="8"/>
  <c r="L4" i="8" s="1"/>
  <c r="L8" i="8"/>
  <c r="L9" i="8"/>
  <c r="L16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AD12" i="5"/>
  <c r="AE12" i="5" s="1"/>
  <c r="AD6" i="5"/>
  <c r="AE6" i="5" s="1"/>
  <c r="AD7" i="5"/>
  <c r="AE7" i="5" s="1"/>
  <c r="AD8" i="5"/>
  <c r="AE8" i="5" s="1"/>
  <c r="AD9" i="5"/>
  <c r="AE9" i="5" s="1"/>
  <c r="AD10" i="5"/>
  <c r="AE10" i="5" s="1"/>
  <c r="AD11" i="5"/>
  <c r="AE11" i="5" s="1"/>
  <c r="AD13" i="5"/>
  <c r="AE13" i="5" s="1"/>
  <c r="AD14" i="5"/>
  <c r="AE14" i="5" s="1"/>
  <c r="AD15" i="5"/>
  <c r="AE15" i="5" s="1"/>
  <c r="AD16" i="5"/>
  <c r="AE16" i="5" s="1"/>
  <c r="AD17" i="5"/>
  <c r="AE17" i="5" s="1"/>
  <c r="AD18" i="5"/>
  <c r="AE18" i="5" s="1"/>
  <c r="AD19" i="5"/>
  <c r="AE19" i="5" s="1"/>
  <c r="AD20" i="5"/>
  <c r="AE20" i="5" s="1"/>
  <c r="AD21" i="5"/>
  <c r="AE21" i="5" s="1"/>
  <c r="AD22" i="5"/>
  <c r="AE22" i="5" s="1"/>
  <c r="AD23" i="5"/>
  <c r="AE23" i="5" s="1"/>
  <c r="AD4" i="5"/>
  <c r="AE4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28" i="5"/>
  <c r="L28" i="5" s="1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28" i="5"/>
  <c r="AG4" i="11" l="1"/>
  <c r="AE4" i="11"/>
  <c r="AF4" i="11" s="1"/>
  <c r="N4" i="11"/>
  <c r="L4" i="11"/>
  <c r="AG4" i="8"/>
  <c r="M4" i="8"/>
  <c r="N4" i="8"/>
  <c r="AE4" i="8"/>
  <c r="AF4" i="8" s="1"/>
  <c r="AD5" i="5"/>
  <c r="AE5" i="5" s="1"/>
  <c r="AF4" i="5" s="1"/>
  <c r="AG4" i="5"/>
  <c r="N28" i="5"/>
  <c r="M28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4" i="5"/>
  <c r="AE29" i="5"/>
  <c r="AE30" i="5"/>
  <c r="AE33" i="5"/>
  <c r="AE34" i="5"/>
  <c r="AE35" i="5"/>
  <c r="AE36" i="5"/>
  <c r="AE37" i="5"/>
  <c r="AE39" i="5"/>
  <c r="AE40" i="5"/>
  <c r="AE41" i="5"/>
  <c r="AE42" i="5"/>
  <c r="AE43" i="5"/>
  <c r="AE44" i="5"/>
  <c r="AE45" i="5"/>
  <c r="AE46" i="5"/>
  <c r="AE47" i="5"/>
  <c r="AE28" i="5"/>
  <c r="AE31" i="5"/>
  <c r="AE32" i="5"/>
  <c r="AE38" i="5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M4" i="11" l="1"/>
  <c r="AG28" i="5"/>
  <c r="AF28" i="5"/>
  <c r="L21" i="5"/>
  <c r="L16" i="5"/>
  <c r="L6" i="5"/>
  <c r="L20" i="5"/>
  <c r="L12" i="5"/>
  <c r="L4" i="5"/>
  <c r="L11" i="5"/>
  <c r="L19" i="5"/>
  <c r="L10" i="5"/>
  <c r="L18" i="5"/>
  <c r="L17" i="5"/>
  <c r="L9" i="5"/>
  <c r="L13" i="5"/>
  <c r="L14" i="5"/>
  <c r="L15" i="5"/>
  <c r="L22" i="5"/>
  <c r="L23" i="5"/>
  <c r="L7" i="5"/>
  <c r="L8" i="5"/>
  <c r="L5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N4" i="5" l="1"/>
  <c r="M4" i="5"/>
</calcChain>
</file>

<file path=xl/sharedStrings.xml><?xml version="1.0" encoding="utf-8"?>
<sst xmlns="http://schemas.openxmlformats.org/spreadsheetml/2006/main" count="448" uniqueCount="63">
  <si>
    <t>rho_b</t>
  </si>
  <si>
    <t>rho_0</t>
  </si>
  <si>
    <t>surfOrient</t>
  </si>
  <si>
    <t>R(ao)</t>
  </si>
  <si>
    <t>T(K)</t>
  </si>
  <si>
    <t>P0</t>
  </si>
  <si>
    <t>Pb</t>
  </si>
  <si>
    <t>a_P</t>
  </si>
  <si>
    <t>a_rho</t>
  </si>
  <si>
    <t>lnR</t>
  </si>
  <si>
    <t>lnP0</t>
  </si>
  <si>
    <t>A</t>
  </si>
  <si>
    <t>B</t>
  </si>
  <si>
    <t>C</t>
  </si>
  <si>
    <t>P0pred</t>
  </si>
  <si>
    <t>(P0res)^2</t>
  </si>
  <si>
    <t>sum()</t>
  </si>
  <si>
    <t>R2</t>
  </si>
  <si>
    <t>lnT</t>
  </si>
  <si>
    <t>1/T</t>
  </si>
  <si>
    <t>P0=A*exp(-B*R-C*T)</t>
  </si>
  <si>
    <t>(100)</t>
  </si>
  <si>
    <t>P0=A*exp(-B*R)*T^(-C)</t>
  </si>
  <si>
    <t>(110)</t>
  </si>
  <si>
    <t>(WINNER)</t>
  </si>
  <si>
    <t>lnPb</t>
  </si>
  <si>
    <t>Pbpred</t>
  </si>
  <si>
    <t>(Pbres)^2</t>
  </si>
  <si>
    <t>Pb=A*R^(-B)*exp(-C*T)</t>
  </si>
  <si>
    <t>Will probably only need</t>
  </si>
  <si>
    <t>one equation for Pb.</t>
  </si>
  <si>
    <t>The solver parameters</t>
  </si>
  <si>
    <t xml:space="preserve">are nearly identical. </t>
  </si>
  <si>
    <t>a_Ppred</t>
  </si>
  <si>
    <t>(a_Pres)^2</t>
  </si>
  <si>
    <t xml:space="preserve">Not great fits - might need to </t>
  </si>
  <si>
    <t xml:space="preserve">include tables. </t>
  </si>
  <si>
    <t>***Might want to try polynomial</t>
  </si>
  <si>
    <t>fits on the R and T components</t>
  </si>
  <si>
    <t>to see if you can get better fits.***</t>
  </si>
  <si>
    <t>It looks like you need to use the new model…..</t>
  </si>
  <si>
    <t>ln(rho_0)</t>
  </si>
  <si>
    <t>1/R</t>
  </si>
  <si>
    <t>lnrho_0</t>
  </si>
  <si>
    <t>rho_0 pred</t>
  </si>
  <si>
    <t>(res)^2</t>
  </si>
  <si>
    <t>sum(res)</t>
  </si>
  <si>
    <t>R^2</t>
  </si>
  <si>
    <t>B and C parameters are</t>
  </si>
  <si>
    <t>nearly identical!!!</t>
  </si>
  <si>
    <t>lnrho_b</t>
  </si>
  <si>
    <t>rho_b pred</t>
  </si>
  <si>
    <t xml:space="preserve">All constants are nearly identical! </t>
  </si>
  <si>
    <t>lna_rho</t>
  </si>
  <si>
    <t>a_rho pred</t>
  </si>
  <si>
    <t xml:space="preserve">a_rho=A*R^B*e^(C*T). </t>
  </si>
  <si>
    <t xml:space="preserve">Kinda bad for (110) surface, </t>
  </si>
  <si>
    <t xml:space="preserve">may want to include a table. </t>
  </si>
  <si>
    <t>USE THE NEW MODEL</t>
  </si>
  <si>
    <t>Averages:</t>
  </si>
  <si>
    <t>rho_0 = A*exp(-BR-CT)</t>
  </si>
  <si>
    <t>rhob = A*R^-B*e^-CT</t>
  </si>
  <si>
    <t>a_P=A*T^(B)*R^(C)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</si>
</sst>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0" xfId="0" applyFont="1" applyFill="1" applyBorder="1"/>
    <xf numFmtId="0" fontId="0" fillId="0" borderId="0" xfId="0" applyFill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lnP0=-BR+lnA &lt;-&gt; P0=Ae^(-BR)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lnP0=-BR+lnA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929133858267713E-2"/>
                  <c:y val="-0.28536171867405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'P0 vs R'!$B$3:$B$46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'P0 vs R'!$K$3:$K$46</c:f>
              <c:numCache>
                <c:formatCode>General</c:formatCode>
                <c:ptCount val="6"/>
                <c:pt idx="0">
                  <c:v>2.5765472867814765</c:v>
                </c:pt>
                <c:pt idx="1">
                  <c:v>2.3039368677824155</c:v>
                </c:pt>
                <c:pt idx="2">
                  <c:v>1.0191804627898642</c:v>
                </c:pt>
                <c:pt idx="3">
                  <c:v>0.26411408521474483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F-4D5D-8CC7-C68D56B3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37192"/>
        <c:axId val="221229648"/>
      </c:scatterChart>
      <c:valAx>
        <c:axId val="22123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648"/>
        <c:crosses val="autoZero"/>
        <c:crossBetween val="midCat"/>
      </c:valAx>
      <c:valAx>
        <c:axId val="2212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3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02218925532859"/>
                  <c:y val="0.4888195527821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P0!$AD$4:$AD$23</c:f>
              <c:numCache>
                <c:formatCode>General</c:formatCode>
                <c:ptCount val="20"/>
                <c:pt idx="0">
                  <c:v>53.03055279615964</c:v>
                </c:pt>
                <c:pt idx="1">
                  <c:v>41.125159272514843</c:v>
                </c:pt>
                <c:pt idx="2">
                  <c:v>31.892534322444256</c:v>
                </c:pt>
                <c:pt idx="3">
                  <c:v>24.732639666348131</c:v>
                </c:pt>
                <c:pt idx="4">
                  <c:v>19.180146007867823</c:v>
                </c:pt>
                <c:pt idx="5">
                  <c:v>27.738182660043211</c:v>
                </c:pt>
                <c:pt idx="6">
                  <c:v>21.510942648649827</c:v>
                </c:pt>
                <c:pt idx="7">
                  <c:v>16.681722061771918</c:v>
                </c:pt>
                <c:pt idx="8">
                  <c:v>12.936664631183632</c:v>
                </c:pt>
                <c:pt idx="9">
                  <c:v>10.032375024592696</c:v>
                </c:pt>
                <c:pt idx="10">
                  <c:v>14.508745180149077</c:v>
                </c:pt>
                <c:pt idx="11">
                  <c:v>11.251522469914223</c:v>
                </c:pt>
                <c:pt idx="12">
                  <c:v>8.7255483723151279</c:v>
                </c:pt>
                <c:pt idx="13">
                  <c:v>6.7666570991784676</c:v>
                </c:pt>
                <c:pt idx="14">
                  <c:v>5.2475381883320713</c:v>
                </c:pt>
                <c:pt idx="15">
                  <c:v>7.5889501948420373</c:v>
                </c:pt>
                <c:pt idx="16">
                  <c:v>5.8852259502877118</c:v>
                </c:pt>
                <c:pt idx="17">
                  <c:v>4.5639889044838897</c:v>
                </c:pt>
                <c:pt idx="18">
                  <c:v>3.539370433047476</c:v>
                </c:pt>
                <c:pt idx="19">
                  <c:v>2.7447794735047188</c:v>
                </c:pt>
              </c:numCache>
            </c:numRef>
          </c:xVal>
          <c:yVal>
            <c:numRef>
              <c:f>P0!$X$4:$X$23</c:f>
              <c:numCache>
                <c:formatCode>General</c:formatCode>
                <c:ptCount val="20"/>
                <c:pt idx="0">
                  <c:v>57.282114061772397</c:v>
                </c:pt>
                <c:pt idx="1">
                  <c:v>37.486742154701602</c:v>
                </c:pt>
                <c:pt idx="2">
                  <c:v>29.761861465604099</c:v>
                </c:pt>
                <c:pt idx="3">
                  <c:v>25.361730066887599</c:v>
                </c:pt>
                <c:pt idx="4">
                  <c:v>21.835551091972899</c:v>
                </c:pt>
                <c:pt idx="5">
                  <c:v>25.206654469418599</c:v>
                </c:pt>
                <c:pt idx="6">
                  <c:v>19.8142490225679</c:v>
                </c:pt>
                <c:pt idx="7">
                  <c:v>14.237183619633299</c:v>
                </c:pt>
                <c:pt idx="8">
                  <c:v>13.908604489889999</c:v>
                </c:pt>
                <c:pt idx="9">
                  <c:v>11.400694755451401</c:v>
                </c:pt>
                <c:pt idx="10">
                  <c:v>15.680837448358799</c:v>
                </c:pt>
                <c:pt idx="11">
                  <c:v>11.5141612395254</c:v>
                </c:pt>
                <c:pt idx="12">
                  <c:v>7.0103726034851501</c:v>
                </c:pt>
                <c:pt idx="13">
                  <c:v>8.0664703720160293</c:v>
                </c:pt>
                <c:pt idx="14">
                  <c:v>6.3015760126496199</c:v>
                </c:pt>
                <c:pt idx="15">
                  <c:v>8.6403234385068099</c:v>
                </c:pt>
                <c:pt idx="16">
                  <c:v>7.4863922622541601</c:v>
                </c:pt>
                <c:pt idx="17">
                  <c:v>5.3881873237563402</c:v>
                </c:pt>
                <c:pt idx="18">
                  <c:v>4.4819066287711804</c:v>
                </c:pt>
                <c:pt idx="19">
                  <c:v>3.84190099003421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6-4EBC-B6FE-CBA056A9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85728"/>
        <c:axId val="841890648"/>
      </c:scatterChart>
      <c:valAx>
        <c:axId val="8418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P0pred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0648"/>
        <c:crosses val="autoZero"/>
        <c:crossBetween val="midCat"/>
      </c:valAx>
      <c:valAx>
        <c:axId val="8418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lnPb=-BlnR+lnA &lt;-&gt; Pb=AR^(-B)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03937007874016"/>
                  <c:y val="0.40337051618547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'Pb vs R'!$K$3:$K$46</c:f>
              <c:numCache>
                <c:formatCode>General</c:formatCode>
                <c:ptCount val="4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</c:numCache>
            </c:numRef>
          </c:xVal>
          <c:yVal>
            <c:numRef>
              <c:f>'Pb vs R'!$J$3:$J$46</c:f>
              <c:numCache>
                <c:formatCode>General</c:formatCode>
                <c:ptCount val="4"/>
                <c:pt idx="0">
                  <c:v>4.4613082441734306</c:v>
                </c:pt>
                <c:pt idx="1">
                  <c:v>4.0297254026818248</c:v>
                </c:pt>
                <c:pt idx="2">
                  <c:v>3.7788215734221029</c:v>
                </c:pt>
                <c:pt idx="3">
                  <c:v>3.6188793146262306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EF-4E12-8BF1-6031EBC8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55912"/>
        <c:axId val="657357224"/>
      </c:scatterChart>
      <c:valAx>
        <c:axId val="65735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57224"/>
        <c:crosses val="autoZero"/>
        <c:crossBetween val="midCat"/>
      </c:valAx>
      <c:valAx>
        <c:axId val="6573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5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lnPb=-BT+lnA &lt;-&gt; Pb=Ae^-BT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89851268591426"/>
                  <c:y val="-0.503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'Pb vs T'!$C$3:$C$46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'Pb vs T'!$J$3:$J$46</c:f>
              <c:numCache>
                <c:formatCode>General</c:formatCode>
                <c:ptCount val="5"/>
                <c:pt idx="0">
                  <c:v>4.4779264614369749</c:v>
                </c:pt>
                <c:pt idx="1">
                  <c:v>4.3417068329447002</c:v>
                </c:pt>
                <c:pt idx="2">
                  <c:v>4.2273994829297452</c:v>
                </c:pt>
                <c:pt idx="3">
                  <c:v>4.1508972551719019</c:v>
                </c:pt>
                <c:pt idx="4">
                  <c:v>4.0405819170925064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1-479C-AA75-2E340E19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05184"/>
        <c:axId val="655007480"/>
      </c:scatterChart>
      <c:valAx>
        <c:axId val="6550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7480"/>
        <c:crosses val="autoZero"/>
        <c:crossBetween val="midCat"/>
      </c:valAx>
      <c:valAx>
        <c:axId val="65500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02218925532859"/>
                  <c:y val="0.4888195527821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Pb!$K$4:$K$27</c:f>
              <c:numCache>
                <c:formatCode>General</c:formatCode>
                <c:ptCount val="24"/>
                <c:pt idx="0">
                  <c:v>88.400228297221503</c:v>
                </c:pt>
                <c:pt idx="1">
                  <c:v>78.157252211319701</c:v>
                </c:pt>
                <c:pt idx="2">
                  <c:v>69.101134588538557</c:v>
                </c:pt>
                <c:pt idx="3">
                  <c:v>61.094353579791665</c:v>
                </c:pt>
                <c:pt idx="4">
                  <c:v>54.015322057413748</c:v>
                </c:pt>
                <c:pt idx="5">
                  <c:v>55.841255755297702</c:v>
                </c:pt>
                <c:pt idx="6">
                  <c:v>49.370903151850655</c:v>
                </c:pt>
                <c:pt idx="7">
                  <c:v>43.650273351851872</c:v>
                </c:pt>
                <c:pt idx="8">
                  <c:v>38.592495620975257</c:v>
                </c:pt>
                <c:pt idx="9">
                  <c:v>34.120764977793826</c:v>
                </c:pt>
                <c:pt idx="10">
                  <c:v>42.683124576952892</c:v>
                </c:pt>
                <c:pt idx="11">
                  <c:v>37.737410830113646</c:v>
                </c:pt>
                <c:pt idx="12">
                  <c:v>33.364759264361346</c:v>
                </c:pt>
                <c:pt idx="13">
                  <c:v>29.498768894883241</c:v>
                </c:pt>
                <c:pt idx="14">
                  <c:v>26.080732650249132</c:v>
                </c:pt>
                <c:pt idx="15">
                  <c:v>35.274183159847993</c:v>
                </c:pt>
                <c:pt idx="16">
                  <c:v>31.186946944334743</c:v>
                </c:pt>
                <c:pt idx="17">
                  <c:v>27.573300714043842</c:v>
                </c:pt>
                <c:pt idx="18">
                  <c:v>24.378369374344945</c:v>
                </c:pt>
                <c:pt idx="19">
                  <c:v>21.553636233666566</c:v>
                </c:pt>
                <c:pt idx="20">
                  <c:v>30.425161122599192</c:v>
                </c:pt>
                <c:pt idx="21">
                  <c:v>18.590731136579581</c:v>
                </c:pt>
                <c:pt idx="22">
                  <c:v>26.962365616557744</c:v>
                </c:pt>
                <c:pt idx="23">
                  <c:v>16.474854084215988</c:v>
                </c:pt>
              </c:numCache>
            </c:numRef>
          </c:xVal>
          <c:yVal>
            <c:numRef>
              <c:f>Pb!$F$4:$F$27</c:f>
              <c:numCache>
                <c:formatCode>General</c:formatCode>
                <c:ptCount val="24"/>
                <c:pt idx="0">
                  <c:v>88.051904233454493</c:v>
                </c:pt>
                <c:pt idx="1">
                  <c:v>76.838578092363605</c:v>
                </c:pt>
                <c:pt idx="2">
                  <c:v>68.538763993909001</c:v>
                </c:pt>
                <c:pt idx="3">
                  <c:v>63.490942324909099</c:v>
                </c:pt>
                <c:pt idx="4">
                  <c:v>56.859420649</c:v>
                </c:pt>
                <c:pt idx="5">
                  <c:v>56.212994217575698</c:v>
                </c:pt>
                <c:pt idx="6">
                  <c:v>48.526996635303</c:v>
                </c:pt>
                <c:pt idx="7">
                  <c:v>41.5902465345454</c:v>
                </c:pt>
                <c:pt idx="8">
                  <c:v>36.802862126818098</c:v>
                </c:pt>
                <c:pt idx="9">
                  <c:v>33.105415840303003</c:v>
                </c:pt>
                <c:pt idx="10">
                  <c:v>43.6846300404545</c:v>
                </c:pt>
                <c:pt idx="11">
                  <c:v>37.648316448333297</c:v>
                </c:pt>
                <c:pt idx="12">
                  <c:v>32.414257819090899</c:v>
                </c:pt>
                <c:pt idx="13">
                  <c:v>28.558953559393899</c:v>
                </c:pt>
                <c:pt idx="14">
                  <c:v>25.136572647727199</c:v>
                </c:pt>
                <c:pt idx="15">
                  <c:v>37.209898678787802</c:v>
                </c:pt>
                <c:pt idx="16">
                  <c:v>31.911139860151501</c:v>
                </c:pt>
                <c:pt idx="17">
                  <c:v>27.4015136460606</c:v>
                </c:pt>
                <c:pt idx="18">
                  <c:v>24.008469821060601</c:v>
                </c:pt>
                <c:pt idx="19">
                  <c:v>21.139661948030302</c:v>
                </c:pt>
                <c:pt idx="20">
                  <c:v>32.475539339999997</c:v>
                </c:pt>
                <c:pt idx="21">
                  <c:v>18.448552741111101</c:v>
                </c:pt>
                <c:pt idx="22">
                  <c:v>27.079947847777699</c:v>
                </c:pt>
                <c:pt idx="23">
                  <c:v>16.522505253888799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9-4B14-9449-23DEE4B01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85728"/>
        <c:axId val="841890648"/>
      </c:scatterChart>
      <c:valAx>
        <c:axId val="8418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0648"/>
        <c:crosses val="autoZero"/>
        <c:crossBetween val="midCat"/>
      </c:valAx>
      <c:valAx>
        <c:axId val="8418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02218925532859"/>
                  <c:y val="0.4888195527821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Pb!$AD$4:$AD$23</c:f>
              <c:numCache>
                <c:formatCode>General</c:formatCode>
                <c:ptCount val="20"/>
                <c:pt idx="0">
                  <c:v>87.724527353851983</c:v>
                </c:pt>
                <c:pt idx="1">
                  <c:v>77.977897282422049</c:v>
                </c:pt>
                <c:pt idx="2">
                  <c:v>69.314166151742356</c:v>
                </c:pt>
                <c:pt idx="3">
                  <c:v>61.61301851870244</c:v>
                </c:pt>
                <c:pt idx="4">
                  <c:v>54.767506582643136</c:v>
                </c:pt>
                <c:pt idx="5">
                  <c:v>55.294250031659864</c:v>
                </c:pt>
                <c:pt idx="6">
                  <c:v>49.150784613352577</c:v>
                </c:pt>
                <c:pt idx="7">
                  <c:v>43.689888672420011</c:v>
                </c:pt>
                <c:pt idx="8">
                  <c:v>38.835725354624302</c:v>
                </c:pt>
                <c:pt idx="9">
                  <c:v>34.520883656357178</c:v>
                </c:pt>
                <c:pt idx="10">
                  <c:v>42.211371717162997</c:v>
                </c:pt>
                <c:pt idx="11">
                  <c:v>37.521478966013937</c:v>
                </c:pt>
                <c:pt idx="12">
                  <c:v>33.352656559715513</c:v>
                </c:pt>
                <c:pt idx="13">
                  <c:v>29.647010998631462</c:v>
                </c:pt>
                <c:pt idx="14">
                  <c:v>26.35308103806625</c:v>
                </c:pt>
                <c:pt idx="15">
                  <c:v>34.8528989416033</c:v>
                </c:pt>
                <c:pt idx="16">
                  <c:v>30.98056901122354</c:v>
                </c:pt>
                <c:pt idx="17">
                  <c:v>27.538474141486486</c:v>
                </c:pt>
                <c:pt idx="18">
                  <c:v>24.478813083342043</c:v>
                </c:pt>
                <c:pt idx="19">
                  <c:v>21.759095543586753</c:v>
                </c:pt>
              </c:numCache>
            </c:numRef>
          </c:xVal>
          <c:yVal>
            <c:numRef>
              <c:f>Pb!$Y$4:$Y$23</c:f>
              <c:numCache>
                <c:formatCode>General</c:formatCode>
                <c:ptCount val="20"/>
                <c:pt idx="0">
                  <c:v>86.600729920272698</c:v>
                </c:pt>
                <c:pt idx="1">
                  <c:v>77.167960525181797</c:v>
                </c:pt>
                <c:pt idx="2">
                  <c:v>69.371188460090906</c:v>
                </c:pt>
                <c:pt idx="3">
                  <c:v>63.423271751727199</c:v>
                </c:pt>
                <c:pt idx="4">
                  <c:v>57.584859685181797</c:v>
                </c:pt>
                <c:pt idx="5">
                  <c:v>56.245464272727197</c:v>
                </c:pt>
                <c:pt idx="6">
                  <c:v>48.242304509696901</c:v>
                </c:pt>
                <c:pt idx="7">
                  <c:v>41.639288495606003</c:v>
                </c:pt>
                <c:pt idx="8">
                  <c:v>36.8278655477272</c:v>
                </c:pt>
                <c:pt idx="9">
                  <c:v>32.920906616969603</c:v>
                </c:pt>
                <c:pt idx="10">
                  <c:v>43.764438158939399</c:v>
                </c:pt>
                <c:pt idx="11">
                  <c:v>37.7315105795454</c:v>
                </c:pt>
                <c:pt idx="12">
                  <c:v>32.583728399848397</c:v>
                </c:pt>
                <c:pt idx="13">
                  <c:v>28.682397553787801</c:v>
                </c:pt>
                <c:pt idx="14">
                  <c:v>25.507203677575699</c:v>
                </c:pt>
                <c:pt idx="15">
                  <c:v>37.295747593939303</c:v>
                </c:pt>
                <c:pt idx="16">
                  <c:v>32.045970122575703</c:v>
                </c:pt>
                <c:pt idx="17">
                  <c:v>27.6151055918181</c:v>
                </c:pt>
                <c:pt idx="18">
                  <c:v>24.284387221666599</c:v>
                </c:pt>
                <c:pt idx="19">
                  <c:v>21.5010230271212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6-44E8-A473-4AA5810F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85728"/>
        <c:axId val="841890648"/>
      </c:scatterChart>
      <c:valAx>
        <c:axId val="8418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0648"/>
        <c:crosses val="autoZero"/>
        <c:crossBetween val="midCat"/>
      </c:valAx>
      <c:valAx>
        <c:axId val="8418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a_P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883420822397195E-2"/>
                  <c:y val="0.33448235637212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'a_P (new) vs R'!$B$3:$B$46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'a_P (new) vs R'!$F$3:$F$46</c:f>
              <c:numCache>
                <c:formatCode>General</c:formatCode>
                <c:ptCount val="4"/>
                <c:pt idx="0">
                  <c:v>1.01519197215941</c:v>
                </c:pt>
                <c:pt idx="1">
                  <c:v>1.82191980185842</c:v>
                </c:pt>
                <c:pt idx="2">
                  <c:v>2.4420614425269198</c:v>
                </c:pt>
                <c:pt idx="3">
                  <c:v>2.6940043156601399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A-441A-85B4-14923302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49280"/>
        <c:axId val="703049608"/>
      </c:scatterChart>
      <c:valAx>
        <c:axId val="7030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49608"/>
        <c:crosses val="autoZero"/>
        <c:crossBetween val="midCat"/>
      </c:valAx>
      <c:valAx>
        <c:axId val="7030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4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a_P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80139982502187"/>
                  <c:y val="0.32631999125109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'a_P (new) vs T'!$C$3:$C$46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'a_P (new) vs T'!$F$3:$F$46</c:f>
              <c:numCache>
                <c:formatCode>General</c:formatCode>
                <c:ptCount val="5"/>
                <c:pt idx="0">
                  <c:v>1.7590441166728701</c:v>
                </c:pt>
                <c:pt idx="1">
                  <c:v>1.71642862674407</c:v>
                </c:pt>
                <c:pt idx="2">
                  <c:v>1.34673078210956</c:v>
                </c:pt>
                <c:pt idx="3">
                  <c:v>1.8654282014749799</c:v>
                </c:pt>
                <c:pt idx="4">
                  <c:v>1.82191980185842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D-4FFA-805E-8AD5A5BE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24024"/>
        <c:axId val="717516480"/>
      </c:scatterChart>
      <c:valAx>
        <c:axId val="7175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6480"/>
        <c:crosses val="autoZero"/>
        <c:crossBetween val="midCat"/>
      </c:valAx>
      <c:valAx>
        <c:axId val="7175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02218925532859"/>
                  <c:y val="0.4888195527821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'a_P (new)'!$K$4:$K$23</c:f>
              <c:numCache>
                <c:formatCode>General</c:formatCode>
                <c:ptCount val="20"/>
                <c:pt idx="0">
                  <c:v>0.83728858679225326</c:v>
                </c:pt>
                <c:pt idx="1">
                  <c:v>1.0144511412051369</c:v>
                </c:pt>
                <c:pt idx="2">
                  <c:v>1.1349879429908758</c:v>
                </c:pt>
                <c:pt idx="3">
                  <c:v>1.2290996606499138</c:v>
                </c:pt>
                <c:pt idx="4">
                  <c:v>1.3074398725561154</c:v>
                </c:pt>
                <c:pt idx="5">
                  <c:v>1.2686778219622392</c:v>
                </c:pt>
                <c:pt idx="6">
                  <c:v>1.5371183658933265</c:v>
                </c:pt>
                <c:pt idx="7">
                  <c:v>1.7197583416055098</c:v>
                </c:pt>
                <c:pt idx="8">
                  <c:v>1.8623584568635221</c:v>
                </c:pt>
                <c:pt idx="9">
                  <c:v>1.981061244625133</c:v>
                </c:pt>
                <c:pt idx="10">
                  <c:v>1.6177937136864573</c:v>
                </c:pt>
                <c:pt idx="11">
                  <c:v>1.9601039653140864</c:v>
                </c:pt>
                <c:pt idx="12">
                  <c:v>2.1930029720280317</c:v>
                </c:pt>
                <c:pt idx="13">
                  <c:v>2.3748439138666471</c:v>
                </c:pt>
                <c:pt idx="14">
                  <c:v>2.5262114403681926</c:v>
                </c:pt>
                <c:pt idx="15">
                  <c:v>1.9223281450726477</c:v>
                </c:pt>
                <c:pt idx="16">
                  <c:v>2.3290750779379241</c:v>
                </c:pt>
                <c:pt idx="17">
                  <c:v>2.6058151293907699</c:v>
                </c:pt>
                <c:pt idx="18">
                  <c:v>2.8218859160835632</c:v>
                </c:pt>
                <c:pt idx="19">
                  <c:v>3.0017469539787474</c:v>
                </c:pt>
              </c:numCache>
            </c:numRef>
          </c:xVal>
          <c:yVal>
            <c:numRef>
              <c:f>'a_P (new)'!$G$4:$G$23</c:f>
              <c:numCache>
                <c:formatCode>General</c:formatCode>
                <c:ptCount val="20"/>
                <c:pt idx="0">
                  <c:v>0.61602232172104499</c:v>
                </c:pt>
                <c:pt idx="1">
                  <c:v>0.90900473903045798</c:v>
                </c:pt>
                <c:pt idx="2">
                  <c:v>0.77971835079028595</c:v>
                </c:pt>
                <c:pt idx="3">
                  <c:v>0.90509577673152797</c:v>
                </c:pt>
                <c:pt idx="4">
                  <c:v>1.60925803027996</c:v>
                </c:pt>
                <c:pt idx="5">
                  <c:v>1.3230710714705101</c:v>
                </c:pt>
                <c:pt idx="6">
                  <c:v>1.59016333434984</c:v>
                </c:pt>
                <c:pt idx="7">
                  <c:v>1.7959888232993599</c:v>
                </c:pt>
                <c:pt idx="8">
                  <c:v>1.8207042084874001</c:v>
                </c:pt>
                <c:pt idx="9">
                  <c:v>2.6691951839081001</c:v>
                </c:pt>
                <c:pt idx="10">
                  <c:v>1.69209394815262</c:v>
                </c:pt>
                <c:pt idx="11">
                  <c:v>1.9620784200538901</c:v>
                </c:pt>
                <c:pt idx="12">
                  <c:v>2.1209708774329799</c:v>
                </c:pt>
                <c:pt idx="13">
                  <c:v>2.17873207546595</c:v>
                </c:pt>
                <c:pt idx="14">
                  <c:v>2.5626585277727001</c:v>
                </c:pt>
                <c:pt idx="15">
                  <c:v>2.1496440043624498</c:v>
                </c:pt>
                <c:pt idx="16">
                  <c:v>2.3364256688114402</c:v>
                </c:pt>
                <c:pt idx="17">
                  <c:v>2.4922487904066601</c:v>
                </c:pt>
                <c:pt idx="18">
                  <c:v>2.6235122738626102</c:v>
                </c:pt>
                <c:pt idx="19">
                  <c:v>2.9820756376031898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A-4361-9A01-BA0EF6FA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85728"/>
        <c:axId val="841890648"/>
      </c:scatterChart>
      <c:valAx>
        <c:axId val="8418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a_Ppred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0648"/>
        <c:crosses val="autoZero"/>
        <c:crossBetween val="midCat"/>
      </c:valAx>
      <c:valAx>
        <c:axId val="8418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02218925532859"/>
                  <c:y val="0.4888195527821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'a_P (new)'!$AD$4:$AD$23</c:f>
              <c:numCache>
                <c:formatCode>General</c:formatCode>
                <c:ptCount val="20"/>
                <c:pt idx="0">
                  <c:v>0.94558938521855784</c:v>
                </c:pt>
                <c:pt idx="1">
                  <c:v>0.98683360985972879</c:v>
                </c:pt>
                <c:pt idx="2">
                  <c:v>1.0117889297487566</c:v>
                </c:pt>
                <c:pt idx="3">
                  <c:v>1.0298768035807591</c:v>
                </c:pt>
                <c:pt idx="4">
                  <c:v>1.0441292351660654</c:v>
                </c:pt>
                <c:pt idx="5">
                  <c:v>1.4931169656401584</c:v>
                </c:pt>
                <c:pt idx="6">
                  <c:v>1.5582429627262744</c:v>
                </c:pt>
                <c:pt idx="7">
                  <c:v>1.5976482395745042</c:v>
                </c:pt>
                <c:pt idx="8">
                  <c:v>1.6262095915874388</c:v>
                </c:pt>
                <c:pt idx="9">
                  <c:v>1.6487146532286794</c:v>
                </c:pt>
                <c:pt idx="10">
                  <c:v>1.9504969122455895</c:v>
                </c:pt>
                <c:pt idx="11">
                  <c:v>2.0355726693005116</c:v>
                </c:pt>
                <c:pt idx="12">
                  <c:v>2.0870487911230922</c:v>
                </c:pt>
                <c:pt idx="13">
                  <c:v>2.1243592163561908</c:v>
                </c:pt>
                <c:pt idx="14">
                  <c:v>2.1537581544509816</c:v>
                </c:pt>
                <c:pt idx="15">
                  <c:v>2.3576811541377274</c:v>
                </c:pt>
                <c:pt idx="16">
                  <c:v>2.4605172610923711</c:v>
                </c:pt>
                <c:pt idx="17">
                  <c:v>2.5227394986910303</c:v>
                </c:pt>
                <c:pt idx="18">
                  <c:v>2.5678388197269539</c:v>
                </c:pt>
                <c:pt idx="19">
                  <c:v>2.6033750576274537</c:v>
                </c:pt>
              </c:numCache>
            </c:numRef>
          </c:xVal>
          <c:yVal>
            <c:numRef>
              <c:f>'a_P (new)'!$Z$4:$Z$23</c:f>
              <c:numCache>
                <c:formatCode>General</c:formatCode>
                <c:ptCount val="20"/>
                <c:pt idx="0">
                  <c:v>1.0312647741452401</c:v>
                </c:pt>
                <c:pt idx="1">
                  <c:v>0.73926540807119001</c:v>
                </c:pt>
                <c:pt idx="2">
                  <c:v>0.79821700722667299</c:v>
                </c:pt>
                <c:pt idx="3">
                  <c:v>0.83943070478818405</c:v>
                </c:pt>
                <c:pt idx="4">
                  <c:v>1.01519197215941</c:v>
                </c:pt>
                <c:pt idx="5">
                  <c:v>1.7590441166728701</c:v>
                </c:pt>
                <c:pt idx="6">
                  <c:v>1.71642862674407</c:v>
                </c:pt>
                <c:pt idx="7">
                  <c:v>1.34673078210956</c:v>
                </c:pt>
                <c:pt idx="8">
                  <c:v>1.8654282014749799</c:v>
                </c:pt>
                <c:pt idx="9">
                  <c:v>1.82191980185842</c:v>
                </c:pt>
                <c:pt idx="10">
                  <c:v>2.1771258157546902</c:v>
                </c:pt>
                <c:pt idx="11">
                  <c:v>2.0887724737230799</c:v>
                </c:pt>
                <c:pt idx="12">
                  <c:v>1.8031873212866101</c:v>
                </c:pt>
                <c:pt idx="13">
                  <c:v>2.1857902579310799</c:v>
                </c:pt>
                <c:pt idx="14">
                  <c:v>2.4420614425269198</c:v>
                </c:pt>
                <c:pt idx="15">
                  <c:v>2.2307611496558502</c:v>
                </c:pt>
                <c:pt idx="16">
                  <c:v>2.3494714868673099</c:v>
                </c:pt>
                <c:pt idx="17">
                  <c:v>2.31390130435652</c:v>
                </c:pt>
                <c:pt idx="18">
                  <c:v>2.5066143811223598</c:v>
                </c:pt>
                <c:pt idx="19">
                  <c:v>2.6940043156601399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C-440F-ACC5-CDF9E6F0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85728"/>
        <c:axId val="841890648"/>
      </c:scatterChart>
      <c:valAx>
        <c:axId val="8418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a_Ppred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0648"/>
        <c:crosses val="autoZero"/>
        <c:crossBetween val="midCat"/>
      </c:valAx>
      <c:valAx>
        <c:axId val="8418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a_P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'a_P (old) vs R'!$B$3:$B$46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'a_P (old) vs R'!$F$3:$F$46</c:f>
              <c:numCache>
                <c:formatCode>General</c:formatCode>
                <c:ptCount val="6"/>
                <c:pt idx="0">
                  <c:v>0.39412502121464699</c:v>
                </c:pt>
                <c:pt idx="1">
                  <c:v>2.2264616189631199</c:v>
                </c:pt>
                <c:pt idx="2">
                  <c:v>0.98854137273126197</c:v>
                </c:pt>
                <c:pt idx="3">
                  <c:v>0.92097714757956695</c:v>
                </c:pt>
                <c:pt idx="4">
                  <c:v>-2989.18050221775</c:v>
                </c:pt>
                <c:pt idx="5">
                  <c:v>-3361.7813995416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6-48B7-9C6D-FE3EA74D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87000"/>
        <c:axId val="717586016"/>
      </c:scatterChart>
      <c:valAx>
        <c:axId val="71758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86016"/>
        <c:crosses val="autoZero"/>
        <c:crossBetween val="midCat"/>
      </c:valAx>
      <c:valAx>
        <c:axId val="7175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8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lnP0=-BlnR+lnA &lt;-&gt; P0=AR^(-B)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817147856517929E-2"/>
                  <c:y val="-0.32065908428113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'P0 vs R'!$J$3:$J$46</c:f>
              <c:numCache>
                <c:formatCode>General</c:formatCode>
                <c:ptCount val="6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</c:numCache>
            </c:numRef>
          </c:xVal>
          <c:yVal>
            <c:numRef>
              <c:f>'P0 vs R'!$K$3:$K$46</c:f>
              <c:numCache>
                <c:formatCode>General</c:formatCode>
                <c:ptCount val="6"/>
                <c:pt idx="0">
                  <c:v>2.5765472867814765</c:v>
                </c:pt>
                <c:pt idx="1">
                  <c:v>2.3039368677824155</c:v>
                </c:pt>
                <c:pt idx="2">
                  <c:v>1.0191804627898642</c:v>
                </c:pt>
                <c:pt idx="3">
                  <c:v>0.26411408521474483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7-4D0E-8106-35A93BDB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07544"/>
        <c:axId val="757708200"/>
      </c:scatterChart>
      <c:valAx>
        <c:axId val="75770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8200"/>
        <c:crosses val="autoZero"/>
        <c:crossBetween val="midCat"/>
      </c:valAx>
      <c:valAx>
        <c:axId val="75770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a_P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'a_P (old) vs T'!$C$3:$C$46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'a_P (old) vs T'!$F$3:$F$46</c:f>
              <c:numCache>
                <c:formatCode>General</c:formatCode>
                <c:ptCount val="5"/>
                <c:pt idx="0">
                  <c:v>0.62832076279901705</c:v>
                </c:pt>
                <c:pt idx="1">
                  <c:v>0.77744158232054095</c:v>
                </c:pt>
                <c:pt idx="2">
                  <c:v>0.75251864652243206</c:v>
                </c:pt>
                <c:pt idx="3">
                  <c:v>0.46747260152818099</c:v>
                </c:pt>
                <c:pt idx="4">
                  <c:v>0.92097714757956695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5-48D1-BF0A-086F117D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33992"/>
        <c:axId val="710732352"/>
      </c:scatterChart>
      <c:valAx>
        <c:axId val="71073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32352"/>
        <c:crosses val="autoZero"/>
        <c:crossBetween val="midCat"/>
      </c:valAx>
      <c:valAx>
        <c:axId val="710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3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rho_0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536089238845142E-2"/>
                  <c:y val="0.19828667249927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'rho_0 vs R'!$B$3:$B$46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'rho_0 vs R'!$G$3:$G$46</c:f>
              <c:numCache>
                <c:formatCode>General</c:formatCode>
                <c:ptCount val="4"/>
                <c:pt idx="0">
                  <c:v>1.0006699945887401</c:v>
                </c:pt>
                <c:pt idx="1">
                  <c:v>0.73595834237968005</c:v>
                </c:pt>
                <c:pt idx="2">
                  <c:v>0.69350996440117196</c:v>
                </c:pt>
                <c:pt idx="3">
                  <c:v>0.62146177945828096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F-4849-945E-59FCE1B07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70160"/>
        <c:axId val="233170488"/>
      </c:scatterChart>
      <c:valAx>
        <c:axId val="2331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70488"/>
        <c:crosses val="autoZero"/>
        <c:crossBetween val="midCat"/>
      </c:valAx>
      <c:valAx>
        <c:axId val="233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lnrho_0=lnA-BlnR &lt;-&gt; rho_0=AR^-B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7703412073491"/>
                  <c:y val="-0.3324679206765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'rho_0 vs R'!$K$3:$K$46</c:f>
              <c:numCache>
                <c:formatCode>General</c:formatCode>
                <c:ptCount val="4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</c:numCache>
            </c:numRef>
          </c:xVal>
          <c:yVal>
            <c:numRef>
              <c:f>'rho_0 vs R'!$J$3:$J$46</c:f>
              <c:numCache>
                <c:formatCode>General</c:formatCode>
                <c:ptCount val="4"/>
                <c:pt idx="0">
                  <c:v>6.6977024256714831E-4</c:v>
                </c:pt>
                <c:pt idx="1">
                  <c:v>-0.30658176188271147</c:v>
                </c:pt>
                <c:pt idx="2">
                  <c:v>-0.36598967105192703</c:v>
                </c:pt>
                <c:pt idx="3">
                  <c:v>-0.47568086717376279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D-40AA-94B3-75204E69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41184"/>
        <c:axId val="689935608"/>
      </c:scatterChart>
      <c:valAx>
        <c:axId val="6899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35608"/>
        <c:crosses val="autoZero"/>
        <c:crossBetween val="midCat"/>
      </c:valAx>
      <c:valAx>
        <c:axId val="6899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lnrho_0=lnA-BR &lt;-&gt; rho_0=Ae^-BR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77602799650043"/>
                  <c:y val="-0.34572543015456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'rho_0 vs R'!$B$3:$B$46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'rho_0 vs R'!$J$3:$J$46</c:f>
              <c:numCache>
                <c:formatCode>General</c:formatCode>
                <c:ptCount val="4"/>
                <c:pt idx="0">
                  <c:v>6.6977024256714831E-4</c:v>
                </c:pt>
                <c:pt idx="1">
                  <c:v>-0.30658176188271147</c:v>
                </c:pt>
                <c:pt idx="2">
                  <c:v>-0.36598967105192703</c:v>
                </c:pt>
                <c:pt idx="3">
                  <c:v>-0.47568086717376279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D-4EC4-AE0C-4FE3E2E11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16192"/>
        <c:axId val="785321440"/>
      </c:scatterChart>
      <c:valAx>
        <c:axId val="7853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21440"/>
        <c:crosses val="autoZero"/>
        <c:crossBetween val="midCat"/>
      </c:valAx>
      <c:valAx>
        <c:axId val="7853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lnrho_0=lnA+B/R &lt;-&gt; rho_0=Ae^B/R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69466316710412"/>
                  <c:y val="0.3276268591426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'rho_0 vs R'!$L$3:$L$46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</c:numCache>
            </c:numRef>
          </c:xVal>
          <c:yVal>
            <c:numRef>
              <c:f>'rho_0 vs R'!$J$3:$J$46</c:f>
              <c:numCache>
                <c:formatCode>General</c:formatCode>
                <c:ptCount val="4"/>
                <c:pt idx="0">
                  <c:v>6.6977024256714831E-4</c:v>
                </c:pt>
                <c:pt idx="1">
                  <c:v>-0.30658176188271147</c:v>
                </c:pt>
                <c:pt idx="2">
                  <c:v>-0.36598967105192703</c:v>
                </c:pt>
                <c:pt idx="3">
                  <c:v>-0.47568086717376279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DA-4D40-AA35-78B25F45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36232"/>
        <c:axId val="771038528"/>
      </c:scatterChart>
      <c:valAx>
        <c:axId val="7710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38528"/>
        <c:crosses val="autoZero"/>
        <c:crossBetween val="midCat"/>
      </c:valAx>
      <c:valAx>
        <c:axId val="7710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rho_0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12073490813648"/>
                  <c:y val="-0.39222878390201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'rho_0 vs T'!$C$3:$C$46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'rho_0 vs T'!$G$3:$G$46</c:f>
              <c:numCache>
                <c:formatCode>General</c:formatCode>
                <c:ptCount val="5"/>
                <c:pt idx="0">
                  <c:v>1.4522039845741801</c:v>
                </c:pt>
                <c:pt idx="1">
                  <c:v>1.3376697832860101</c:v>
                </c:pt>
                <c:pt idx="2">
                  <c:v>0.99311152509896905</c:v>
                </c:pt>
                <c:pt idx="3">
                  <c:v>0.79638290010602197</c:v>
                </c:pt>
                <c:pt idx="4">
                  <c:v>0.62146177945828096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1-468F-AD7E-2B9865AA0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44104"/>
        <c:axId val="771045088"/>
      </c:scatterChart>
      <c:valAx>
        <c:axId val="77104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45088"/>
        <c:crosses val="autoZero"/>
        <c:crossBetween val="midCat"/>
      </c:valAx>
      <c:valAx>
        <c:axId val="7710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4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lnrho_0=lnA-BlnT &lt;-&gt; rho_0=AT^-B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01268591426071"/>
                  <c:y val="-0.40616469816272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'rho_0 vs T'!$K$3:$K$46</c:f>
              <c:numCache>
                <c:formatCode>General</c:formatCode>
                <c:ptCount val="5"/>
                <c:pt idx="0">
                  <c:v>6.2146080984221914</c:v>
                </c:pt>
                <c:pt idx="1">
                  <c:v>6.9077552789821368</c:v>
                </c:pt>
                <c:pt idx="2">
                  <c:v>7.3132203870903014</c:v>
                </c:pt>
                <c:pt idx="3">
                  <c:v>7.6009024595420822</c:v>
                </c:pt>
                <c:pt idx="4">
                  <c:v>7.8240460108562919</c:v>
                </c:pt>
              </c:numCache>
            </c:numRef>
          </c:xVal>
          <c:yVal>
            <c:numRef>
              <c:f>'rho_0 vs T'!$J$3:$J$46</c:f>
              <c:numCache>
                <c:formatCode>General</c:formatCode>
                <c:ptCount val="5"/>
                <c:pt idx="0">
                  <c:v>0.37308239177940228</c:v>
                </c:pt>
                <c:pt idx="1">
                  <c:v>0.29092913250631314</c:v>
                </c:pt>
                <c:pt idx="2">
                  <c:v>-6.9123099654893969E-3</c:v>
                </c:pt>
                <c:pt idx="3">
                  <c:v>-0.22767517851178537</c:v>
                </c:pt>
                <c:pt idx="4">
                  <c:v>-0.47568086717376279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F-4A25-9C41-AD6FD517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36200"/>
        <c:axId val="785332920"/>
      </c:scatterChart>
      <c:valAx>
        <c:axId val="785336200"/>
        <c:scaling>
          <c:orientation val="minMax"/>
          <c:max val="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32920"/>
        <c:crosses val="autoZero"/>
        <c:crossBetween val="midCat"/>
      </c:valAx>
      <c:valAx>
        <c:axId val="7853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3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lnrho_0=lnA-BT &lt;-&gt; rho_0=Ae^-BT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'rho_0 vs T'!$C$3:$C$46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'rho_0 vs T'!$J$3:$J$46</c:f>
              <c:numCache>
                <c:formatCode>General</c:formatCode>
                <c:ptCount val="5"/>
                <c:pt idx="0">
                  <c:v>0.37308239177940228</c:v>
                </c:pt>
                <c:pt idx="1">
                  <c:v>0.29092913250631314</c:v>
                </c:pt>
                <c:pt idx="2">
                  <c:v>-6.9123099654893969E-3</c:v>
                </c:pt>
                <c:pt idx="3">
                  <c:v>-0.22767517851178537</c:v>
                </c:pt>
                <c:pt idx="4">
                  <c:v>-0.47568086717376279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3-4CA6-8E42-E04E3D968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23112"/>
        <c:axId val="771028688"/>
      </c:scatterChart>
      <c:valAx>
        <c:axId val="77102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28688"/>
        <c:crosses val="autoZero"/>
        <c:crossBetween val="midCat"/>
      </c:valAx>
      <c:valAx>
        <c:axId val="7710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2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lnrho_0=lnA+B/T &lt;-&gt; rho_0=Ae^B/T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10870516185475"/>
                  <c:y val="0.35115339749198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'rho_0 vs T'!$L$3:$L$46</c:f>
              <c:numCache>
                <c:formatCode>General</c:formatCode>
                <c:ptCount val="5"/>
                <c:pt idx="0">
                  <c:v>2E-3</c:v>
                </c:pt>
                <c:pt idx="1">
                  <c:v>1E-3</c:v>
                </c:pt>
                <c:pt idx="2">
                  <c:v>6.6666666666666664E-4</c:v>
                </c:pt>
                <c:pt idx="3">
                  <c:v>5.0000000000000001E-4</c:v>
                </c:pt>
                <c:pt idx="4">
                  <c:v>4.0000000000000002E-4</c:v>
                </c:pt>
              </c:numCache>
            </c:numRef>
          </c:xVal>
          <c:yVal>
            <c:numRef>
              <c:f>'rho_0 vs T'!$J$3:$J$46</c:f>
              <c:numCache>
                <c:formatCode>General</c:formatCode>
                <c:ptCount val="5"/>
                <c:pt idx="0">
                  <c:v>0.37308239177940228</c:v>
                </c:pt>
                <c:pt idx="1">
                  <c:v>0.29092913250631314</c:v>
                </c:pt>
                <c:pt idx="2">
                  <c:v>-6.9123099654893969E-3</c:v>
                </c:pt>
                <c:pt idx="3">
                  <c:v>-0.22767517851178537</c:v>
                </c:pt>
                <c:pt idx="4">
                  <c:v>-0.47568086717376279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7-4FFD-B709-3F187C8E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23768"/>
        <c:axId val="685314256"/>
      </c:scatterChart>
      <c:valAx>
        <c:axId val="68532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14256"/>
        <c:crosses val="autoZero"/>
        <c:crossBetween val="midCat"/>
      </c:valAx>
      <c:valAx>
        <c:axId val="6853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2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rho_0!$K$3:$K$22</c:f>
              <c:numCache>
                <c:formatCode>General</c:formatCode>
                <c:ptCount val="20"/>
                <c:pt idx="0">
                  <c:v>1.8087243434890781</c:v>
                </c:pt>
                <c:pt idx="1">
                  <c:v>1.3861685406760424</c:v>
                </c:pt>
                <c:pt idx="2">
                  <c:v>1.0623306033761866</c:v>
                </c:pt>
                <c:pt idx="3">
                  <c:v>0.81414797533870875</c:v>
                </c:pt>
                <c:pt idx="4">
                  <c:v>0.62394599538181494</c:v>
                </c:pt>
                <c:pt idx="5">
                  <c:v>1.5915338604184708</c:v>
                </c:pt>
                <c:pt idx="6">
                  <c:v>1.2197182929915609</c:v>
                </c:pt>
                <c:pt idx="7">
                  <c:v>0.93476661179365339</c:v>
                </c:pt>
                <c:pt idx="8">
                  <c:v>0.71638559784249489</c:v>
                </c:pt>
                <c:pt idx="9">
                  <c:v>0.5490229521691965</c:v>
                </c:pt>
                <c:pt idx="10">
                  <c:v>1.4004234741333406</c:v>
                </c:pt>
                <c:pt idx="11">
                  <c:v>1.0732552864983367</c:v>
                </c:pt>
                <c:pt idx="12">
                  <c:v>0.82252042419488269</c:v>
                </c:pt>
                <c:pt idx="13">
                  <c:v>0.63036246522954187</c:v>
                </c:pt>
                <c:pt idx="14">
                  <c:v>0.48309662092490274</c:v>
                </c:pt>
                <c:pt idx="15">
                  <c:v>1.2322615029931125</c:v>
                </c:pt>
                <c:pt idx="16">
                  <c:v>0.9443794658285054</c:v>
                </c:pt>
                <c:pt idx="17">
                  <c:v>0.72375268829892037</c:v>
                </c:pt>
                <c:pt idx="18">
                  <c:v>0.55466893634792003</c:v>
                </c:pt>
                <c:pt idx="19">
                  <c:v>0.42508668212679029</c:v>
                </c:pt>
              </c:numCache>
            </c:numRef>
          </c:xVal>
          <c:yVal>
            <c:numRef>
              <c:f>rho_0!$H$3:$H$22</c:f>
              <c:numCache>
                <c:formatCode>General</c:formatCode>
                <c:ptCount val="20"/>
                <c:pt idx="0">
                  <c:v>1.7805269034751501</c:v>
                </c:pt>
                <c:pt idx="1">
                  <c:v>1.52448359526946</c:v>
                </c:pt>
                <c:pt idx="2">
                  <c:v>1.05270746011517</c:v>
                </c:pt>
                <c:pt idx="3">
                  <c:v>0.78681743658388403</c:v>
                </c:pt>
                <c:pt idx="4">
                  <c:v>0.61247407166907097</c:v>
                </c:pt>
                <c:pt idx="5">
                  <c:v>1.4353258976085499</c:v>
                </c:pt>
                <c:pt idx="6">
                  <c:v>1.1983958301855899</c:v>
                </c:pt>
                <c:pt idx="7">
                  <c:v>1.01640261263089</c:v>
                </c:pt>
                <c:pt idx="8">
                  <c:v>0.79288552264530698</c:v>
                </c:pt>
                <c:pt idx="9">
                  <c:v>0.70347678721266305</c:v>
                </c:pt>
                <c:pt idx="10">
                  <c:v>1.33891259050426</c:v>
                </c:pt>
                <c:pt idx="11">
                  <c:v>1.0740450425230601</c:v>
                </c:pt>
                <c:pt idx="12">
                  <c:v>0.79689930934966602</c:v>
                </c:pt>
                <c:pt idx="13">
                  <c:v>0.51862118385605305</c:v>
                </c:pt>
                <c:pt idx="14">
                  <c:v>0.46449383279055001</c:v>
                </c:pt>
                <c:pt idx="15">
                  <c:v>1.39978383337849</c:v>
                </c:pt>
                <c:pt idx="16">
                  <c:v>1.05070848753989</c:v>
                </c:pt>
                <c:pt idx="17">
                  <c:v>0.7089662863724</c:v>
                </c:pt>
                <c:pt idx="18">
                  <c:v>0.348569685825595</c:v>
                </c:pt>
                <c:pt idx="19">
                  <c:v>0.33471296296296199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0-4979-A742-4943E472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0920"/>
        <c:axId val="93481248"/>
      </c:scatterChart>
      <c:valAx>
        <c:axId val="9348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rho_0 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1248"/>
        <c:crosses val="autoZero"/>
        <c:crossBetween val="midCat"/>
      </c:valAx>
      <c:valAx>
        <c:axId val="934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 = -AT+B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P0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94947506561679"/>
                  <c:y val="-0.39735965296004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'P0 vs T'!$C$3:$C$46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'P0 vs T'!$D$3:$D$46</c:f>
              <c:numCache>
                <c:formatCode>General</c:formatCode>
                <c:ptCount val="5"/>
                <c:pt idx="0">
                  <c:v>8.6403234385068099</c:v>
                </c:pt>
                <c:pt idx="1">
                  <c:v>7.4863922622541601</c:v>
                </c:pt>
                <c:pt idx="2">
                  <c:v>5.3881873237563402</c:v>
                </c:pt>
                <c:pt idx="3">
                  <c:v>4.4819066287711804</c:v>
                </c:pt>
                <c:pt idx="4">
                  <c:v>3.84190099003421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0-4B12-94BA-1437B143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95408"/>
        <c:axId val="757709512"/>
      </c:scatterChart>
      <c:valAx>
        <c:axId val="7576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9512"/>
        <c:crosses val="autoZero"/>
        <c:crossBetween val="midCat"/>
      </c:valAx>
      <c:valAx>
        <c:axId val="7577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rho_0!$AB$3:$AB$22</c:f>
              <c:numCache>
                <c:formatCode>General</c:formatCode>
                <c:ptCount val="20"/>
                <c:pt idx="0">
                  <c:v>2.4276624258304427</c:v>
                </c:pt>
                <c:pt idx="1">
                  <c:v>1.8720520075656728</c:v>
                </c:pt>
                <c:pt idx="2">
                  <c:v>1.4436021589088266</c:v>
                </c:pt>
                <c:pt idx="3">
                  <c:v>1.1132100950102037</c:v>
                </c:pt>
                <c:pt idx="4">
                  <c:v>0.85843368131932329</c:v>
                </c:pt>
                <c:pt idx="5">
                  <c:v>2.1425142649739817</c:v>
                </c:pt>
                <c:pt idx="6">
                  <c:v>1.6521646866164297</c:v>
                </c:pt>
                <c:pt idx="7">
                  <c:v>1.274039662805005</c:v>
                </c:pt>
                <c:pt idx="8">
                  <c:v>0.98245476104715446</c:v>
                </c:pt>
                <c:pt idx="9">
                  <c:v>0.75760385306932965</c:v>
                </c:pt>
                <c:pt idx="10">
                  <c:v>1.8908590118524207</c:v>
                </c:pt>
                <c:pt idx="11">
                  <c:v>1.4581048713768743</c:v>
                </c:pt>
                <c:pt idx="12">
                  <c:v>1.124393623536279</c:v>
                </c:pt>
                <c:pt idx="13">
                  <c:v>0.8670576756630779</c:v>
                </c:pt>
                <c:pt idx="14">
                  <c:v>0.66861728596596071</c:v>
                </c:pt>
                <c:pt idx="15">
                  <c:v>1.6687626594387837</c:v>
                </c:pt>
                <c:pt idx="16">
                  <c:v>1.2868389169405876</c:v>
                </c:pt>
                <c:pt idx="17">
                  <c:v>0.9923246956578794</c:v>
                </c:pt>
                <c:pt idx="18">
                  <c:v>0.76521489103982876</c:v>
                </c:pt>
                <c:pt idx="19">
                  <c:v>0.59008289527743107</c:v>
                </c:pt>
              </c:numCache>
            </c:numRef>
          </c:xVal>
          <c:yVal>
            <c:numRef>
              <c:f>rho_0!$Y$3:$Y$22</c:f>
              <c:numCache>
                <c:formatCode>General</c:formatCode>
                <c:ptCount val="20"/>
                <c:pt idx="0">
                  <c:v>2.5886822361941402</c:v>
                </c:pt>
                <c:pt idx="1">
                  <c:v>1.6681911472192399</c:v>
                </c:pt>
                <c:pt idx="2">
                  <c:v>1.29195428868517</c:v>
                </c:pt>
                <c:pt idx="3">
                  <c:v>1.05080714795866</c:v>
                </c:pt>
                <c:pt idx="4">
                  <c:v>1.0006699945887401</c:v>
                </c:pt>
                <c:pt idx="5">
                  <c:v>2.1167485383282001</c:v>
                </c:pt>
                <c:pt idx="6">
                  <c:v>1.7719903046463199</c:v>
                </c:pt>
                <c:pt idx="7">
                  <c:v>1.2277035528868701</c:v>
                </c:pt>
                <c:pt idx="8">
                  <c:v>0.97630376102077798</c:v>
                </c:pt>
                <c:pt idx="9">
                  <c:v>0.73595834237968005</c:v>
                </c:pt>
                <c:pt idx="10">
                  <c:v>1.98065622473133</c:v>
                </c:pt>
                <c:pt idx="11">
                  <c:v>1.5671124781375301</c:v>
                </c:pt>
                <c:pt idx="12">
                  <c:v>1.03946478552786</c:v>
                </c:pt>
                <c:pt idx="13">
                  <c:v>0.98087451540237203</c:v>
                </c:pt>
                <c:pt idx="14">
                  <c:v>0.69350996440117196</c:v>
                </c:pt>
                <c:pt idx="15">
                  <c:v>1.4522039845741801</c:v>
                </c:pt>
                <c:pt idx="16">
                  <c:v>1.3376697832860101</c:v>
                </c:pt>
                <c:pt idx="17">
                  <c:v>0.99311152509896905</c:v>
                </c:pt>
                <c:pt idx="18">
                  <c:v>0.79638290010602197</c:v>
                </c:pt>
                <c:pt idx="19">
                  <c:v>0.62146177945828096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E-4D2C-B006-DD0A2A44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0920"/>
        <c:axId val="93481248"/>
      </c:scatterChart>
      <c:valAx>
        <c:axId val="9348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rho_0 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1248"/>
        <c:crosses val="autoZero"/>
        <c:crossBetween val="midCat"/>
      </c:valAx>
      <c:valAx>
        <c:axId val="934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rho_b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198162729658792E-2"/>
                  <c:y val="9.55602945465151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'rho_b vs R'!$B$3:$B$46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'rho_b vs R'!$H$3:$H$46</c:f>
              <c:numCache>
                <c:formatCode>General</c:formatCode>
                <c:ptCount val="4"/>
                <c:pt idx="0">
                  <c:v>4.23501931654204</c:v>
                </c:pt>
                <c:pt idx="1">
                  <c:v>3.1161673525534099</c:v>
                </c:pt>
                <c:pt idx="2">
                  <c:v>2.7148923891940502</c:v>
                </c:pt>
                <c:pt idx="3">
                  <c:v>2.5151068939545098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D-42FD-BF83-9628044D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78528"/>
        <c:axId val="771679512"/>
      </c:scatterChart>
      <c:valAx>
        <c:axId val="7716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79512"/>
        <c:crosses val="autoZero"/>
        <c:crossBetween val="midCat"/>
      </c:valAx>
      <c:valAx>
        <c:axId val="771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lnrho_b=lnA-BlnR &lt;-&gt; rho_b=AR^-B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496062992125986E-2"/>
                  <c:y val="0.20755395158938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'rho_b vs R'!$K$3:$K$46</c:f>
              <c:numCache>
                <c:formatCode>General</c:formatCode>
                <c:ptCount val="4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</c:numCache>
            </c:numRef>
          </c:xVal>
          <c:yVal>
            <c:numRef>
              <c:f>'rho_b vs R'!$J$3:$J$46</c:f>
              <c:numCache>
                <c:formatCode>General</c:formatCode>
                <c:ptCount val="4"/>
                <c:pt idx="0">
                  <c:v>1.4433878892605672</c:v>
                </c:pt>
                <c:pt idx="1">
                  <c:v>1.1366038340609819</c:v>
                </c:pt>
                <c:pt idx="2">
                  <c:v>0.99875231694441857</c:v>
                </c:pt>
                <c:pt idx="3">
                  <c:v>0.92231530521489957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2-4F96-927C-D68E42AE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75176"/>
        <c:axId val="688377472"/>
      </c:scatterChart>
      <c:valAx>
        <c:axId val="6883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77472"/>
        <c:crosses val="autoZero"/>
        <c:crossBetween val="midCat"/>
      </c:valAx>
      <c:valAx>
        <c:axId val="6883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7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lnrho_b=lnA-BR &lt;-&gt; rho_b=Ae^-BR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694225721784777E-3"/>
                  <c:y val="0.14384550889472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'rho_b vs R'!$B$3:$B$46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'rho_b vs R'!$J$3:$J$46</c:f>
              <c:numCache>
                <c:formatCode>General</c:formatCode>
                <c:ptCount val="4"/>
                <c:pt idx="0">
                  <c:v>1.4433878892605672</c:v>
                </c:pt>
                <c:pt idx="1">
                  <c:v>1.1366038340609819</c:v>
                </c:pt>
                <c:pt idx="2">
                  <c:v>0.99875231694441857</c:v>
                </c:pt>
                <c:pt idx="3">
                  <c:v>0.92231530521489957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2-4EBA-B5FF-D705C137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42760"/>
        <c:axId val="803943088"/>
      </c:scatterChart>
      <c:valAx>
        <c:axId val="80394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43088"/>
        <c:crosses val="autoZero"/>
        <c:crossBetween val="midCat"/>
      </c:valAx>
      <c:valAx>
        <c:axId val="8039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4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lnrho_b=lnA+B/R &lt;-&gt; rho_b=Ae^B/R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76181102362204"/>
                  <c:y val="0.45556138815981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'rho_b vs R'!$L$3:$L$46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</c:numCache>
            </c:numRef>
          </c:xVal>
          <c:yVal>
            <c:numRef>
              <c:f>'rho_b vs R'!$J$3:$J$46</c:f>
              <c:numCache>
                <c:formatCode>General</c:formatCode>
                <c:ptCount val="4"/>
                <c:pt idx="0">
                  <c:v>1.4433878892605672</c:v>
                </c:pt>
                <c:pt idx="1">
                  <c:v>1.1366038340609819</c:v>
                </c:pt>
                <c:pt idx="2">
                  <c:v>0.99875231694441857</c:v>
                </c:pt>
                <c:pt idx="3">
                  <c:v>0.92231530521489957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7-40B4-8FCC-F9CF032D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871632"/>
        <c:axId val="802870648"/>
      </c:scatterChart>
      <c:valAx>
        <c:axId val="8028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70648"/>
        <c:crosses val="autoZero"/>
        <c:crossBetween val="midCat"/>
      </c:valAx>
      <c:valAx>
        <c:axId val="8028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rho_b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272528433945751E-3"/>
                  <c:y val="0.198516331291921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'rho_b vs T'!$C$3:$C$46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'rho_b vs T'!$H$3:$H$46</c:f>
              <c:numCache>
                <c:formatCode>General</c:formatCode>
                <c:ptCount val="5"/>
                <c:pt idx="0">
                  <c:v>3.5143489769496701</c:v>
                </c:pt>
                <c:pt idx="1">
                  <c:v>3.24130686371111</c:v>
                </c:pt>
                <c:pt idx="2">
                  <c:v>2.9749875643070598</c:v>
                </c:pt>
                <c:pt idx="3">
                  <c:v>2.7267401132220899</c:v>
                </c:pt>
                <c:pt idx="4">
                  <c:v>2.5151068939545098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5-4D4D-8035-481A363B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93176"/>
        <c:axId val="796592192"/>
      </c:scatterChart>
      <c:valAx>
        <c:axId val="79659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92192"/>
        <c:crosses val="autoZero"/>
        <c:crossBetween val="midCat"/>
      </c:valAx>
      <c:valAx>
        <c:axId val="7965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9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lnrho_b=lnA-BlnT &lt;-&gt; rho_b=AT^-B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727336303356817E-2"/>
                  <c:y val="0.29850758238553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'rho_b vs T'!$K$3:$K$46</c:f>
              <c:numCache>
                <c:formatCode>General</c:formatCode>
                <c:ptCount val="5"/>
                <c:pt idx="0">
                  <c:v>6.2146080984221914</c:v>
                </c:pt>
                <c:pt idx="1">
                  <c:v>6.9077552789821368</c:v>
                </c:pt>
                <c:pt idx="2">
                  <c:v>7.3132203870903014</c:v>
                </c:pt>
                <c:pt idx="3">
                  <c:v>7.6009024595420822</c:v>
                </c:pt>
                <c:pt idx="4">
                  <c:v>7.8240460108562919</c:v>
                </c:pt>
              </c:numCache>
            </c:numRef>
          </c:xVal>
          <c:yVal>
            <c:numRef>
              <c:f>'rho_b vs T'!$J$3:$J$46</c:f>
              <c:numCache>
                <c:formatCode>General</c:formatCode>
                <c:ptCount val="5"/>
                <c:pt idx="0">
                  <c:v>1.2568542952920219</c:v>
                </c:pt>
                <c:pt idx="1">
                  <c:v>1.1759766014765416</c:v>
                </c:pt>
                <c:pt idx="2">
                  <c:v>1.0902398589240028</c:v>
                </c:pt>
                <c:pt idx="3">
                  <c:v>1.0031067979732875</c:v>
                </c:pt>
                <c:pt idx="4">
                  <c:v>0.92231530521489957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D-4B0A-B7E2-B6888D23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30384"/>
        <c:axId val="806235960"/>
      </c:scatterChart>
      <c:valAx>
        <c:axId val="806230384"/>
        <c:scaling>
          <c:orientation val="minMax"/>
          <c:max val="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35960"/>
        <c:crosses val="autoZero"/>
        <c:crossBetween val="midCat"/>
      </c:valAx>
      <c:valAx>
        <c:axId val="80623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lnrho_b=lnA-BT &lt;-&gt; rho_b=Ae^-BT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09623797025373E-2"/>
                  <c:y val="0.25601778944298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'rho_b vs T'!$C$3:$C$46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'rho_b vs T'!$J$3:$J$46</c:f>
              <c:numCache>
                <c:formatCode>General</c:formatCode>
                <c:ptCount val="5"/>
                <c:pt idx="0">
                  <c:v>1.2568542952920219</c:v>
                </c:pt>
                <c:pt idx="1">
                  <c:v>1.1759766014765416</c:v>
                </c:pt>
                <c:pt idx="2">
                  <c:v>1.0902398589240028</c:v>
                </c:pt>
                <c:pt idx="3">
                  <c:v>1.0031067979732875</c:v>
                </c:pt>
                <c:pt idx="4">
                  <c:v>0.92231530521489957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334-80CB-4C5A3AC35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9400"/>
        <c:axId val="839169728"/>
      </c:scatterChart>
      <c:valAx>
        <c:axId val="83916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69728"/>
        <c:crosses val="autoZero"/>
        <c:crossBetween val="midCat"/>
      </c:valAx>
      <c:valAx>
        <c:axId val="8391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6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lnrho_b=lnA+B/T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87532808398951"/>
                  <c:y val="0.4075572324292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'rho_b vs T'!$L$3:$L$46</c:f>
              <c:numCache>
                <c:formatCode>General</c:formatCode>
                <c:ptCount val="5"/>
                <c:pt idx="0">
                  <c:v>2E-3</c:v>
                </c:pt>
                <c:pt idx="1">
                  <c:v>1E-3</c:v>
                </c:pt>
                <c:pt idx="2">
                  <c:v>6.6666666666666664E-4</c:v>
                </c:pt>
                <c:pt idx="3">
                  <c:v>5.0000000000000001E-4</c:v>
                </c:pt>
                <c:pt idx="4">
                  <c:v>4.0000000000000002E-4</c:v>
                </c:pt>
              </c:numCache>
            </c:numRef>
          </c:xVal>
          <c:yVal>
            <c:numRef>
              <c:f>'rho_b vs T'!$J$3:$J$46</c:f>
              <c:numCache>
                <c:formatCode>General</c:formatCode>
                <c:ptCount val="5"/>
                <c:pt idx="0">
                  <c:v>1.2568542952920219</c:v>
                </c:pt>
                <c:pt idx="1">
                  <c:v>1.1759766014765416</c:v>
                </c:pt>
                <c:pt idx="2">
                  <c:v>1.0902398589240028</c:v>
                </c:pt>
                <c:pt idx="3">
                  <c:v>1.0031067979732875</c:v>
                </c:pt>
                <c:pt idx="4">
                  <c:v>0.92231530521489957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4-4C1C-8EA1-D3588353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33192"/>
        <c:axId val="769832208"/>
      </c:scatterChart>
      <c:valAx>
        <c:axId val="76983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32208"/>
        <c:crosses val="autoZero"/>
        <c:crossBetween val="midCat"/>
      </c:valAx>
      <c:valAx>
        <c:axId val="7698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3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rho_b!$K$3:$K$26</c:f>
              <c:numCache>
                <c:formatCode>General</c:formatCode>
                <c:ptCount val="24"/>
                <c:pt idx="0">
                  <c:v>5.821736956473444</c:v>
                </c:pt>
                <c:pt idx="1">
                  <c:v>5.359273627878828</c:v>
                </c:pt>
                <c:pt idx="2">
                  <c:v>4.9335471583855144</c:v>
                </c:pt>
                <c:pt idx="3">
                  <c:v>4.5416392694334933</c:v>
                </c:pt>
                <c:pt idx="4">
                  <c:v>4.1808635027642742</c:v>
                </c:pt>
                <c:pt idx="5">
                  <c:v>4.495177411316206</c:v>
                </c:pt>
                <c:pt idx="6">
                  <c:v>4.1380924513114339</c:v>
                </c:pt>
                <c:pt idx="7">
                  <c:v>3.8093733725598948</c:v>
                </c:pt>
                <c:pt idx="8">
                  <c:v>3.5067668647590153</c:v>
                </c:pt>
                <c:pt idx="9">
                  <c:v>3.2281986145946959</c:v>
                </c:pt>
                <c:pt idx="10">
                  <c:v>3.8641340939604034</c:v>
                </c:pt>
                <c:pt idx="11">
                  <c:v>3.5571775398272241</c:v>
                </c:pt>
                <c:pt idx="12">
                  <c:v>3.2746047994629781</c:v>
                </c:pt>
                <c:pt idx="13">
                  <c:v>3.0144788874346715</c:v>
                </c:pt>
                <c:pt idx="14">
                  <c:v>2.775016687289904</c:v>
                </c:pt>
                <c:pt idx="15">
                  <c:v>3.4708919537731506</c:v>
                </c:pt>
                <c:pt idx="16">
                  <c:v>3.1951735112988038</c:v>
                </c:pt>
                <c:pt idx="17">
                  <c:v>2.941357409932436</c:v>
                </c:pt>
                <c:pt idx="18">
                  <c:v>2.7077037858415625</c:v>
                </c:pt>
                <c:pt idx="19">
                  <c:v>2.492610985357655</c:v>
                </c:pt>
                <c:pt idx="20">
                  <c:v>3.1936456026842057</c:v>
                </c:pt>
                <c:pt idx="21">
                  <c:v>2.293507322789484</c:v>
                </c:pt>
                <c:pt idx="22">
                  <c:v>2.9836401787533853</c:v>
                </c:pt>
                <c:pt idx="23">
                  <c:v>2.142692536951623</c:v>
                </c:pt>
              </c:numCache>
            </c:numRef>
          </c:xVal>
          <c:yVal>
            <c:numRef>
              <c:f>rho_b!$I$3:$I$26</c:f>
              <c:numCache>
                <c:formatCode>General</c:formatCode>
                <c:ptCount val="24"/>
                <c:pt idx="0">
                  <c:v>5.7174463924963899</c:v>
                </c:pt>
                <c:pt idx="1">
                  <c:v>5.4619033090646703</c:v>
                </c:pt>
                <c:pt idx="2">
                  <c:v>4.9417855011150396</c:v>
                </c:pt>
                <c:pt idx="3">
                  <c:v>4.6280308277581002</c:v>
                </c:pt>
                <c:pt idx="4">
                  <c:v>4.2249616822571303</c:v>
                </c:pt>
                <c:pt idx="5">
                  <c:v>4.4933293849343903</c:v>
                </c:pt>
                <c:pt idx="6">
                  <c:v>4.1407165728614199</c:v>
                </c:pt>
                <c:pt idx="7">
                  <c:v>3.73823132574043</c:v>
                </c:pt>
                <c:pt idx="8">
                  <c:v>3.4606612192424602</c:v>
                </c:pt>
                <c:pt idx="9">
                  <c:v>3.1608122907983001</c:v>
                </c:pt>
                <c:pt idx="10">
                  <c:v>3.8549523475830001</c:v>
                </c:pt>
                <c:pt idx="11">
                  <c:v>3.5285528061407798</c:v>
                </c:pt>
                <c:pt idx="12">
                  <c:v>3.1969493628966599</c:v>
                </c:pt>
                <c:pt idx="13">
                  <c:v>2.9504476336276202</c:v>
                </c:pt>
                <c:pt idx="14">
                  <c:v>2.69146716438381</c:v>
                </c:pt>
                <c:pt idx="15">
                  <c:v>3.5183836489188001</c:v>
                </c:pt>
                <c:pt idx="16">
                  <c:v>3.2523060525854102</c:v>
                </c:pt>
                <c:pt idx="17">
                  <c:v>2.9789941421977599</c:v>
                </c:pt>
                <c:pt idx="18">
                  <c:v>2.71829570073464</c:v>
                </c:pt>
                <c:pt idx="19">
                  <c:v>2.5102488722876002</c:v>
                </c:pt>
                <c:pt idx="20">
                  <c:v>3.2692510372910299</c:v>
                </c:pt>
                <c:pt idx="21">
                  <c:v>2.3282538582025598</c:v>
                </c:pt>
                <c:pt idx="22">
                  <c:v>2.9615035911824501</c:v>
                </c:pt>
                <c:pt idx="23">
                  <c:v>2.1977976354319599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6-4F00-9E61-2C0481AC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09664"/>
        <c:axId val="782804088"/>
      </c:scatterChart>
      <c:valAx>
        <c:axId val="782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rho_b 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04088"/>
        <c:crosses val="autoZero"/>
        <c:crossBetween val="midCat"/>
      </c:valAx>
      <c:valAx>
        <c:axId val="7828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lnP0=-BlnT+lnA &lt;-&gt; P0=AT^-B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lnP0=-BlnT+lnA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54177602799651"/>
                  <c:y val="0.1650116652085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'P0 vs T'!$K$3:$K$46</c:f>
              <c:numCache>
                <c:formatCode>General</c:formatCode>
                <c:ptCount val="5"/>
                <c:pt idx="0">
                  <c:v>6.2146080984221914</c:v>
                </c:pt>
                <c:pt idx="1">
                  <c:v>6.9077552789821368</c:v>
                </c:pt>
                <c:pt idx="2">
                  <c:v>7.3132203870903014</c:v>
                </c:pt>
                <c:pt idx="3">
                  <c:v>7.6009024595420822</c:v>
                </c:pt>
                <c:pt idx="4">
                  <c:v>7.8240460108562919</c:v>
                </c:pt>
              </c:numCache>
            </c:numRef>
          </c:xVal>
          <c:yVal>
            <c:numRef>
              <c:f>'P0 vs T'!$J$3:$J$46</c:f>
              <c:numCache>
                <c:formatCode>General</c:formatCode>
                <c:ptCount val="5"/>
                <c:pt idx="0">
                  <c:v>2.1564400171276539</c:v>
                </c:pt>
                <c:pt idx="1">
                  <c:v>2.013087007555622</c:v>
                </c:pt>
                <c:pt idx="2">
                  <c:v>1.684209024787926</c:v>
                </c:pt>
                <c:pt idx="3">
                  <c:v>1.5000485426698082</c:v>
                </c:pt>
                <c:pt idx="4">
                  <c:v>1.3459672935911395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55-4876-A980-61CD11A7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23448"/>
        <c:axId val="841919840"/>
      </c:scatterChart>
      <c:valAx>
        <c:axId val="84192344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19840"/>
        <c:crosses val="autoZero"/>
        <c:crossBetween val="midCat"/>
      </c:valAx>
      <c:valAx>
        <c:axId val="8419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2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rho_b!$AB$3:$AB$22</c:f>
              <c:numCache>
                <c:formatCode>General</c:formatCode>
                <c:ptCount val="20"/>
                <c:pt idx="0">
                  <c:v>5.8878007285588438</c:v>
                </c:pt>
                <c:pt idx="1">
                  <c:v>5.4139400228178456</c:v>
                </c:pt>
                <c:pt idx="2">
                  <c:v>4.9782164719836359</c:v>
                </c:pt>
                <c:pt idx="3">
                  <c:v>4.5775607297973613</c:v>
                </c:pt>
                <c:pt idx="4">
                  <c:v>4.2091504764624128</c:v>
                </c:pt>
                <c:pt idx="5">
                  <c:v>4.5059705126014622</c:v>
                </c:pt>
                <c:pt idx="6">
                  <c:v>4.1433219676545123</c:v>
                </c:pt>
                <c:pt idx="7">
                  <c:v>3.8098600245249385</c:v>
                </c:pt>
                <c:pt idx="8">
                  <c:v>3.5032356934331998</c:v>
                </c:pt>
                <c:pt idx="9">
                  <c:v>3.2212890354875188</c:v>
                </c:pt>
                <c:pt idx="10">
                  <c:v>3.8533310163472048</c:v>
                </c:pt>
                <c:pt idx="11">
                  <c:v>3.5432080622867503</c:v>
                </c:pt>
                <c:pt idx="12">
                  <c:v>3.2580443567899846</c:v>
                </c:pt>
                <c:pt idx="13">
                  <c:v>2.9958311350082973</c:v>
                </c:pt>
                <c:pt idx="14">
                  <c:v>2.7547213010714806</c:v>
                </c:pt>
                <c:pt idx="15">
                  <c:v>3.4484472550081762</c:v>
                </c:pt>
                <c:pt idx="16">
                  <c:v>3.1709100683227227</c:v>
                </c:pt>
                <c:pt idx="17">
                  <c:v>2.9157095695136492</c:v>
                </c:pt>
                <c:pt idx="18">
                  <c:v>2.6810480620947823</c:v>
                </c:pt>
                <c:pt idx="19">
                  <c:v>2.4652725314000237</c:v>
                </c:pt>
              </c:numCache>
            </c:numRef>
          </c:xVal>
          <c:yVal>
            <c:numRef>
              <c:f>rho_b!$Z$3:$Z$22</c:f>
              <c:numCache>
                <c:formatCode>General</c:formatCode>
                <c:ptCount val="20"/>
                <c:pt idx="0">
                  <c:v>5.83584206677161</c:v>
                </c:pt>
                <c:pt idx="1">
                  <c:v>5.4113362160566698</c:v>
                </c:pt>
                <c:pt idx="2">
                  <c:v>5.0469736422668197</c:v>
                </c:pt>
                <c:pt idx="3">
                  <c:v>4.6836377508854703</c:v>
                </c:pt>
                <c:pt idx="4">
                  <c:v>4.23501931654204</c:v>
                </c:pt>
                <c:pt idx="5">
                  <c:v>4.5018395086386596</c:v>
                </c:pt>
                <c:pt idx="6">
                  <c:v>4.0859314651361798</c:v>
                </c:pt>
                <c:pt idx="7">
                  <c:v>3.7475995846554802</c:v>
                </c:pt>
                <c:pt idx="8">
                  <c:v>3.4399342176330201</c:v>
                </c:pt>
                <c:pt idx="9">
                  <c:v>3.1161673525534099</c:v>
                </c:pt>
                <c:pt idx="10">
                  <c:v>3.8643627782451899</c:v>
                </c:pt>
                <c:pt idx="11">
                  <c:v>3.5275192877459798</c:v>
                </c:pt>
                <c:pt idx="12">
                  <c:v>3.2084982031034102</c:v>
                </c:pt>
                <c:pt idx="13">
                  <c:v>2.9467332525354601</c:v>
                </c:pt>
                <c:pt idx="14">
                  <c:v>2.7148923891940502</c:v>
                </c:pt>
                <c:pt idx="15">
                  <c:v>3.5143489769496701</c:v>
                </c:pt>
                <c:pt idx="16">
                  <c:v>3.24130686371111</c:v>
                </c:pt>
                <c:pt idx="17">
                  <c:v>2.9749875643070598</c:v>
                </c:pt>
                <c:pt idx="18">
                  <c:v>2.7267401132220899</c:v>
                </c:pt>
                <c:pt idx="19">
                  <c:v>2.5151068939545098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B-4D3F-AE05-F8D7F963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09664"/>
        <c:axId val="782804088"/>
      </c:scatterChart>
      <c:valAx>
        <c:axId val="782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rho_b 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04088"/>
        <c:crosses val="autoZero"/>
        <c:crossBetween val="midCat"/>
      </c:valAx>
      <c:valAx>
        <c:axId val="7828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a_rho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276246719160102E-2"/>
                  <c:y val="0.33856809565470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'a_rho (new) vs R'!$B$3:$B$42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'a_rho (new) vs R'!$I$3:$I$42</c:f>
              <c:numCache>
                <c:formatCode>General</c:formatCode>
                <c:ptCount val="4"/>
                <c:pt idx="0">
                  <c:v>1.35253992325525</c:v>
                </c:pt>
                <c:pt idx="1">
                  <c:v>1.7257716809789001</c:v>
                </c:pt>
                <c:pt idx="2">
                  <c:v>2.1630238105382098</c:v>
                </c:pt>
                <c:pt idx="3">
                  <c:v>2.4262134399034898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A-40FE-9E66-E6481A873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93216"/>
        <c:axId val="703083048"/>
      </c:scatterChart>
      <c:valAx>
        <c:axId val="7030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3048"/>
        <c:crosses val="autoZero"/>
        <c:crossBetween val="midCat"/>
      </c:valAx>
      <c:valAx>
        <c:axId val="7030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lna_rho = lnA-BlnR &lt;-&gt; a_rho=AR^-B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16426071741033E-2"/>
                  <c:y val="0.35037802566345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'a_rho (new) vs R'!$K$3:$K$42</c:f>
              <c:numCache>
                <c:formatCode>General</c:formatCode>
                <c:ptCount val="4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</c:numCache>
            </c:numRef>
          </c:xVal>
          <c:yVal>
            <c:numRef>
              <c:f>'a_rho (new) vs R'!$J$3:$J$42</c:f>
              <c:numCache>
                <c:formatCode>General</c:formatCode>
                <c:ptCount val="4"/>
                <c:pt idx="0">
                  <c:v>0.30198424942133273</c:v>
                </c:pt>
                <c:pt idx="1">
                  <c:v>0.54567430174368159</c:v>
                </c:pt>
                <c:pt idx="2">
                  <c:v>0.771507155018613</c:v>
                </c:pt>
                <c:pt idx="3">
                  <c:v>0.8863317868263928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3-42A6-9C32-8C54DFD5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03176"/>
        <c:axId val="700204160"/>
      </c:scatterChart>
      <c:valAx>
        <c:axId val="70020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04160"/>
        <c:crosses val="autoZero"/>
        <c:crossBetween val="midCat"/>
      </c:valAx>
      <c:valAx>
        <c:axId val="7002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0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lna_rho = lnA-BR &lt;-&gt; a_rho=Ae^-BR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498468941382328E-2"/>
                  <c:y val="0.37925743657042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'a_rho (new) vs R'!$B$3:$B$42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'a_rho (new) vs R'!$J$3:$J$42</c:f>
              <c:numCache>
                <c:formatCode>General</c:formatCode>
                <c:ptCount val="4"/>
                <c:pt idx="0">
                  <c:v>0.30198424942133273</c:v>
                </c:pt>
                <c:pt idx="1">
                  <c:v>0.54567430174368159</c:v>
                </c:pt>
                <c:pt idx="2">
                  <c:v>0.771507155018613</c:v>
                </c:pt>
                <c:pt idx="3">
                  <c:v>0.8863317868263928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8-40D7-A1E5-1E3733C6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83864"/>
        <c:axId val="755684192"/>
      </c:scatterChart>
      <c:valAx>
        <c:axId val="75568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84192"/>
        <c:crosses val="autoZero"/>
        <c:crossBetween val="midCat"/>
      </c:valAx>
      <c:valAx>
        <c:axId val="755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8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lna_rho=lnA+B/R &lt;-&gt; a_rho=Ae^B/R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30358705161854"/>
                  <c:y val="-0.22960228929717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'a_rho (new) vs R'!$L$3:$L$42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</c:numCache>
            </c:numRef>
          </c:xVal>
          <c:yVal>
            <c:numRef>
              <c:f>'a_rho (new) vs R'!$J$3:$J$42</c:f>
              <c:numCache>
                <c:formatCode>General</c:formatCode>
                <c:ptCount val="4"/>
                <c:pt idx="0">
                  <c:v>0.30198424942133273</c:v>
                </c:pt>
                <c:pt idx="1">
                  <c:v>0.54567430174368159</c:v>
                </c:pt>
                <c:pt idx="2">
                  <c:v>0.771507155018613</c:v>
                </c:pt>
                <c:pt idx="3">
                  <c:v>0.8863317868263928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3-4897-A424-FBCD20A9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57936"/>
        <c:axId val="763355312"/>
      </c:scatterChart>
      <c:valAx>
        <c:axId val="7633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312"/>
        <c:crosses val="autoZero"/>
        <c:crossBetween val="midCat"/>
      </c:valAx>
      <c:valAx>
        <c:axId val="7633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a_rho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69028871391077"/>
                  <c:y val="0.37785651793525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'a_rho (new) vs T'!$C$3:$C$42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'a_rho (new) vs T'!$I$3:$I$42</c:f>
              <c:numCache>
                <c:formatCode>General</c:formatCode>
                <c:ptCount val="5"/>
                <c:pt idx="0">
                  <c:v>1.8703239363325299</c:v>
                </c:pt>
                <c:pt idx="1">
                  <c:v>2.1644097021986601</c:v>
                </c:pt>
                <c:pt idx="2">
                  <c:v>2.0130874146964302</c:v>
                </c:pt>
                <c:pt idx="3">
                  <c:v>2.2240596970790301</c:v>
                </c:pt>
                <c:pt idx="4">
                  <c:v>2.4262134399034898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7-48FF-A327-C9E4BE85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01864"/>
        <c:axId val="700202192"/>
      </c:scatterChart>
      <c:valAx>
        <c:axId val="70020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02192"/>
        <c:crosses val="autoZero"/>
        <c:crossBetween val="midCat"/>
      </c:valAx>
      <c:valAx>
        <c:axId val="7002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0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lna_rho=lnA-BlnT &lt;-&gt; a_rho=AT^-B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lna_rho=lnA-BlnT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843066491688542"/>
                  <c:y val="-8.7383347914843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'a_rho (new) vs T'!$K$3:$K$42</c:f>
              <c:numCache>
                <c:formatCode>General</c:formatCode>
                <c:ptCount val="5"/>
                <c:pt idx="0">
                  <c:v>6.2146080984221914</c:v>
                </c:pt>
                <c:pt idx="1">
                  <c:v>6.9077552789821368</c:v>
                </c:pt>
                <c:pt idx="2">
                  <c:v>7.3132203870903014</c:v>
                </c:pt>
                <c:pt idx="3">
                  <c:v>7.6009024595420822</c:v>
                </c:pt>
                <c:pt idx="4">
                  <c:v>7.8240460108562919</c:v>
                </c:pt>
              </c:numCache>
            </c:numRef>
          </c:xVal>
          <c:yVal>
            <c:numRef>
              <c:f>'a_rho (new) vs T'!$J$3:$J$42</c:f>
              <c:numCache>
                <c:formatCode>General</c:formatCode>
                <c:ptCount val="5"/>
                <c:pt idx="0">
                  <c:v>0.62611164384957041</c:v>
                </c:pt>
                <c:pt idx="1">
                  <c:v>0.77214766940375723</c:v>
                </c:pt>
                <c:pt idx="2">
                  <c:v>0.69966957079997427</c:v>
                </c:pt>
                <c:pt idx="3">
                  <c:v>0.79933421823988426</c:v>
                </c:pt>
                <c:pt idx="4">
                  <c:v>0.8863317868263928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D-40BF-AB8A-F6280501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050280"/>
        <c:axId val="704048968"/>
      </c:scatterChart>
      <c:valAx>
        <c:axId val="704050280"/>
        <c:scaling>
          <c:orientation val="minMax"/>
          <c:max val="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8968"/>
        <c:crosses val="autoZero"/>
        <c:crossBetween val="midCat"/>
      </c:valAx>
      <c:valAx>
        <c:axId val="7040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lna_rho=lnA-BT &lt;-&gt; a_rho=Ae^-BT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921259842519683"/>
                  <c:y val="-4.85363808690580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'a_rho (new) vs T'!$C$3:$C$42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'a_rho (new) vs T'!$J$3:$J$42</c:f>
              <c:numCache>
                <c:formatCode>General</c:formatCode>
                <c:ptCount val="5"/>
                <c:pt idx="0">
                  <c:v>0.62611164384957041</c:v>
                </c:pt>
                <c:pt idx="1">
                  <c:v>0.77214766940375723</c:v>
                </c:pt>
                <c:pt idx="2">
                  <c:v>0.69966957079997427</c:v>
                </c:pt>
                <c:pt idx="3">
                  <c:v>0.79933421823988426</c:v>
                </c:pt>
                <c:pt idx="4">
                  <c:v>0.8863317868263928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5-4A30-8CE8-046514A3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78448"/>
        <c:axId val="692070904"/>
      </c:scatterChart>
      <c:valAx>
        <c:axId val="6920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70904"/>
        <c:crosses val="autoZero"/>
        <c:crossBetween val="midCat"/>
      </c:valAx>
      <c:valAx>
        <c:axId val="6920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lna_rho=lnA+B/T &lt;-&gt; a_rho=Ae^B/T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54199475065616"/>
                  <c:y val="0.2155679498396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'a_rho (new) vs T'!$L$3:$L$42</c:f>
              <c:numCache>
                <c:formatCode>General</c:formatCode>
                <c:ptCount val="5"/>
                <c:pt idx="0">
                  <c:v>2E-3</c:v>
                </c:pt>
                <c:pt idx="1">
                  <c:v>1E-3</c:v>
                </c:pt>
                <c:pt idx="2">
                  <c:v>6.6666666666666664E-4</c:v>
                </c:pt>
                <c:pt idx="3">
                  <c:v>5.0000000000000001E-4</c:v>
                </c:pt>
                <c:pt idx="4">
                  <c:v>4.0000000000000002E-4</c:v>
                </c:pt>
              </c:numCache>
            </c:numRef>
          </c:xVal>
          <c:yVal>
            <c:numRef>
              <c:f>'a_rho (new) vs T'!$J$3:$J$42</c:f>
              <c:numCache>
                <c:formatCode>General</c:formatCode>
                <c:ptCount val="5"/>
                <c:pt idx="0">
                  <c:v>0.62611164384957041</c:v>
                </c:pt>
                <c:pt idx="1">
                  <c:v>0.77214766940375723</c:v>
                </c:pt>
                <c:pt idx="2">
                  <c:v>0.69966957079997427</c:v>
                </c:pt>
                <c:pt idx="3">
                  <c:v>0.79933421823988426</c:v>
                </c:pt>
                <c:pt idx="4">
                  <c:v>0.8863317868263928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3-47E6-9958-1ED4C474A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70504"/>
        <c:axId val="837367224"/>
      </c:scatterChart>
      <c:valAx>
        <c:axId val="83737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67224"/>
        <c:crosses val="autoZero"/>
        <c:crossBetween val="midCat"/>
      </c:valAx>
      <c:valAx>
        <c:axId val="8373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7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'a_rho (new)'!$K$3:$K$22</c:f>
              <c:numCache>
                <c:formatCode>General</c:formatCode>
                <c:ptCount val="20"/>
                <c:pt idx="0">
                  <c:v>1.1152746603924473</c:v>
                </c:pt>
                <c:pt idx="1">
                  <c:v>1.2377944491530057</c:v>
                </c:pt>
                <c:pt idx="2">
                  <c:v>1.3737737911259094</c:v>
                </c:pt>
                <c:pt idx="3">
                  <c:v>1.5246913011088863</c:v>
                </c:pt>
                <c:pt idx="4">
                  <c:v>1.692188028839783</c:v>
                </c:pt>
                <c:pt idx="5">
                  <c:v>1.394367432909678</c:v>
                </c:pt>
                <c:pt idx="6">
                  <c:v>1.5475472812481861</c:v>
                </c:pt>
                <c:pt idx="7">
                  <c:v>1.7175548791333435</c:v>
                </c:pt>
                <c:pt idx="8">
                  <c:v>1.9062388584699095</c:v>
                </c:pt>
                <c:pt idx="9">
                  <c:v>2.1156509347603532</c:v>
                </c:pt>
                <c:pt idx="10">
                  <c:v>1.5889707402890079</c:v>
                </c:pt>
                <c:pt idx="11">
                  <c:v>1.7635289602152211</c:v>
                </c:pt>
                <c:pt idx="12">
                  <c:v>1.9572634754445604</c:v>
                </c:pt>
                <c:pt idx="13">
                  <c:v>2.1722809200943307</c:v>
                </c:pt>
                <c:pt idx="14">
                  <c:v>2.4109193550112478</c:v>
                </c:pt>
                <c:pt idx="15">
                  <c:v>1.7433019927799414</c:v>
                </c:pt>
                <c:pt idx="16">
                  <c:v>1.9348144510887322</c:v>
                </c:pt>
                <c:pt idx="17">
                  <c:v>2.1473657321828914</c:v>
                </c:pt>
                <c:pt idx="18">
                  <c:v>2.3832670802921823</c:v>
                </c:pt>
                <c:pt idx="19">
                  <c:v>2.6450836440565224</c:v>
                </c:pt>
              </c:numCache>
            </c:numRef>
          </c:xVal>
          <c:yVal>
            <c:numRef>
              <c:f>'a_rho (new)'!$J$3:$J$22</c:f>
              <c:numCache>
                <c:formatCode>General</c:formatCode>
                <c:ptCount val="20"/>
                <c:pt idx="0">
                  <c:v>1.0588650288078501</c:v>
                </c:pt>
                <c:pt idx="1">
                  <c:v>1.24498258477945</c:v>
                </c:pt>
                <c:pt idx="2">
                  <c:v>1.17828101475251</c:v>
                </c:pt>
                <c:pt idx="3">
                  <c:v>1.44797915088444</c:v>
                </c:pt>
                <c:pt idx="4">
                  <c:v>1.86439953983776</c:v>
                </c:pt>
                <c:pt idx="5">
                  <c:v>1.4206104886524999</c:v>
                </c:pt>
                <c:pt idx="6">
                  <c:v>1.57593520260021</c:v>
                </c:pt>
                <c:pt idx="7">
                  <c:v>1.7062675113349399</c:v>
                </c:pt>
                <c:pt idx="8">
                  <c:v>1.8679472767974801</c:v>
                </c:pt>
                <c:pt idx="9">
                  <c:v>2.4366614934508699</c:v>
                </c:pt>
                <c:pt idx="10">
                  <c:v>1.5800188454213999</c:v>
                </c:pt>
                <c:pt idx="11">
                  <c:v>1.75228054012568</c:v>
                </c:pt>
                <c:pt idx="12">
                  <c:v>1.8557261190132299</c:v>
                </c:pt>
                <c:pt idx="13">
                  <c:v>1.9680218520978201</c:v>
                </c:pt>
                <c:pt idx="14">
                  <c:v>2.3207968657201001</c:v>
                </c:pt>
                <c:pt idx="15">
                  <c:v>1.9070302809725299</c:v>
                </c:pt>
                <c:pt idx="16">
                  <c:v>2.0689651452311</c:v>
                </c:pt>
                <c:pt idx="17">
                  <c:v>2.1636276488749502</c:v>
                </c:pt>
                <c:pt idx="18">
                  <c:v>2.24910715449955</c:v>
                </c:pt>
                <c:pt idx="19">
                  <c:v>2.6883749253830702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5-4A4C-A215-2CC16497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09664"/>
        <c:axId val="782804088"/>
      </c:scatterChart>
      <c:valAx>
        <c:axId val="782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a_rho 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04088"/>
        <c:crosses val="autoZero"/>
        <c:crossBetween val="midCat"/>
      </c:valAx>
      <c:valAx>
        <c:axId val="7828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P0=AlnT+B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P0=AlnT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235126859142606E-2"/>
                  <c:y val="-0.35345581802274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'P0 vs T'!$K$3:$K$46</c:f>
              <c:numCache>
                <c:formatCode>General</c:formatCode>
                <c:ptCount val="5"/>
                <c:pt idx="0">
                  <c:v>6.2146080984221914</c:v>
                </c:pt>
                <c:pt idx="1">
                  <c:v>6.9077552789821368</c:v>
                </c:pt>
                <c:pt idx="2">
                  <c:v>7.3132203870903014</c:v>
                </c:pt>
                <c:pt idx="3">
                  <c:v>7.6009024595420822</c:v>
                </c:pt>
                <c:pt idx="4">
                  <c:v>7.8240460108562919</c:v>
                </c:pt>
              </c:numCache>
            </c:numRef>
          </c:xVal>
          <c:yVal>
            <c:numRef>
              <c:f>'P0 vs T'!$D$3:$D$46</c:f>
              <c:numCache>
                <c:formatCode>General</c:formatCode>
                <c:ptCount val="5"/>
                <c:pt idx="0">
                  <c:v>8.6403234385068099</c:v>
                </c:pt>
                <c:pt idx="1">
                  <c:v>7.4863922622541601</c:v>
                </c:pt>
                <c:pt idx="2">
                  <c:v>5.3881873237563402</c:v>
                </c:pt>
                <c:pt idx="3">
                  <c:v>4.4819066287711804</c:v>
                </c:pt>
                <c:pt idx="4">
                  <c:v>3.84190099003421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D-4C57-AEAE-A7FFAEB08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7512"/>
        <c:axId val="86406528"/>
      </c:scatterChart>
      <c:valAx>
        <c:axId val="8640751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6528"/>
        <c:crosses val="autoZero"/>
        <c:crossBetween val="midCat"/>
      </c:valAx>
      <c:valAx>
        <c:axId val="864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'a_rho (new)'!$AB$3:$AB$22</c:f>
              <c:numCache>
                <c:formatCode>General</c:formatCode>
                <c:ptCount val="20"/>
                <c:pt idx="0">
                  <c:v>1.4069280252883818</c:v>
                </c:pt>
                <c:pt idx="1">
                  <c:v>1.3958019025969075</c:v>
                </c:pt>
                <c:pt idx="2">
                  <c:v>1.3847637663581303</c:v>
                </c:pt>
                <c:pt idx="3">
                  <c:v>1.3738129207666858</c:v>
                </c:pt>
                <c:pt idx="4">
                  <c:v>1.3629486755197053</c:v>
                </c:pt>
                <c:pt idx="5">
                  <c:v>1.7621171099283548</c:v>
                </c:pt>
                <c:pt idx="6">
                  <c:v>1.7481821176548227</c:v>
                </c:pt>
                <c:pt idx="7">
                  <c:v>1.7343573246458963</c:v>
                </c:pt>
                <c:pt idx="8">
                  <c:v>1.7206418594351494</c:v>
                </c:pt>
                <c:pt idx="9">
                  <c:v>1.707034857447796</c:v>
                </c:pt>
                <c:pt idx="10">
                  <c:v>2.0101218820873963</c:v>
                </c:pt>
                <c:pt idx="11">
                  <c:v>1.9942256441257296</c:v>
                </c:pt>
                <c:pt idx="12">
                  <c:v>1.9784551151489684</c:v>
                </c:pt>
                <c:pt idx="13">
                  <c:v>1.9628093010383207</c:v>
                </c:pt>
                <c:pt idx="14">
                  <c:v>1.9472872155365812</c:v>
                </c:pt>
                <c:pt idx="15">
                  <c:v>2.2069762299786477</c:v>
                </c:pt>
                <c:pt idx="16">
                  <c:v>2.1895232488235692</c:v>
                </c:pt>
                <c:pt idx="17">
                  <c:v>2.1722082875289046</c:v>
                </c:pt>
                <c:pt idx="18">
                  <c:v>2.1550302546202702</c:v>
                </c:pt>
                <c:pt idx="19">
                  <c:v>2.1379880672547649</c:v>
                </c:pt>
              </c:numCache>
            </c:numRef>
          </c:xVal>
          <c:yVal>
            <c:numRef>
              <c:f>'a_rho (new)'!$AA$3:$AA$22</c:f>
              <c:numCache>
                <c:formatCode>General</c:formatCode>
                <c:ptCount val="20"/>
                <c:pt idx="0">
                  <c:v>1.7439489115946001</c:v>
                </c:pt>
                <c:pt idx="1">
                  <c:v>1.27635381978995</c:v>
                </c:pt>
                <c:pt idx="2">
                  <c:v>1.1870163692771201</c:v>
                </c:pt>
                <c:pt idx="3">
                  <c:v>1.2559956537835</c:v>
                </c:pt>
                <c:pt idx="4">
                  <c:v>1.35253992325525</c:v>
                </c:pt>
                <c:pt idx="5">
                  <c:v>1.99997147662459</c:v>
                </c:pt>
                <c:pt idx="6">
                  <c:v>1.8463729498725401</c:v>
                </c:pt>
                <c:pt idx="7">
                  <c:v>1.42916325231605</c:v>
                </c:pt>
                <c:pt idx="8">
                  <c:v>1.7345285214649</c:v>
                </c:pt>
                <c:pt idx="9">
                  <c:v>1.7257716809789001</c:v>
                </c:pt>
                <c:pt idx="10">
                  <c:v>2.3749907745095098</c:v>
                </c:pt>
                <c:pt idx="11">
                  <c:v>2.0904653787392502</c:v>
                </c:pt>
                <c:pt idx="12">
                  <c:v>1.6084584716921499</c:v>
                </c:pt>
                <c:pt idx="13">
                  <c:v>1.85597030853824</c:v>
                </c:pt>
                <c:pt idx="14">
                  <c:v>2.1630238105382098</c:v>
                </c:pt>
                <c:pt idx="15">
                  <c:v>1.8703239363325299</c:v>
                </c:pt>
                <c:pt idx="16">
                  <c:v>2.1644097021986601</c:v>
                </c:pt>
                <c:pt idx="17">
                  <c:v>2.0130874146964302</c:v>
                </c:pt>
                <c:pt idx="18">
                  <c:v>2.2240596970790301</c:v>
                </c:pt>
                <c:pt idx="19">
                  <c:v>2.4262134399034898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1-4A6A-A2FC-DAE5E6CE0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09664"/>
        <c:axId val="782804088"/>
      </c:scatterChart>
      <c:valAx>
        <c:axId val="782809664"/>
        <c:scaling>
          <c:orientation val="minMax"/>
          <c:max val="2.25"/>
          <c:min val="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a_rho 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04088"/>
        <c:crosses val="autoZero"/>
        <c:crossBetween val="midCat"/>
      </c:valAx>
      <c:valAx>
        <c:axId val="7828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a_rho vs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'a_rho (old) vs R'!$B$3:$B$46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</c:numCache>
            </c:numRef>
          </c:xVal>
          <c:yVal>
            <c:numRef>
              <c:f>'a_rho (old) vs R'!$I$3:$I$46</c:f>
              <c:numCache>
                <c:formatCode>General</c:formatCode>
                <c:ptCount val="44"/>
                <c:pt idx="0">
                  <c:v>-0.680837895797611</c:v>
                </c:pt>
                <c:pt idx="1">
                  <c:v>-0.29950782071523602</c:v>
                </c:pt>
                <c:pt idx="2">
                  <c:v>-0.51433639341625403</c:v>
                </c:pt>
                <c:pt idx="3">
                  <c:v>-0.19413447211668999</c:v>
                </c:pt>
                <c:pt idx="4">
                  <c:v>0.399389458115669</c:v>
                </c:pt>
                <c:pt idx="5">
                  <c:v>0.12147561994367501</c:v>
                </c:pt>
                <c:pt idx="6">
                  <c:v>0.28724074745922901</c:v>
                </c:pt>
                <c:pt idx="7">
                  <c:v>0.54234788885749896</c:v>
                </c:pt>
                <c:pt idx="8">
                  <c:v>0.59714930028636704</c:v>
                </c:pt>
                <c:pt idx="9">
                  <c:v>1.34561466175779</c:v>
                </c:pt>
                <c:pt idx="10">
                  <c:v>0.43790946815583598</c:v>
                </c:pt>
                <c:pt idx="11">
                  <c:v>0.70863290279662605</c:v>
                </c:pt>
                <c:pt idx="12">
                  <c:v>0.70939601504666305</c:v>
                </c:pt>
                <c:pt idx="13">
                  <c:v>0.55126358847103696</c:v>
                </c:pt>
                <c:pt idx="14">
                  <c:v>1.1883973490067199</c:v>
                </c:pt>
                <c:pt idx="15">
                  <c:v>1.4587862262967599</c:v>
                </c:pt>
                <c:pt idx="16">
                  <c:v>1.42961886514237</c:v>
                </c:pt>
                <c:pt idx="17">
                  <c:v>1.0618214182144601</c:v>
                </c:pt>
                <c:pt idx="18">
                  <c:v>0.59867738539457604</c:v>
                </c:pt>
                <c:pt idx="19">
                  <c:v>1.2920208940698199</c:v>
                </c:pt>
                <c:pt idx="20">
                  <c:v>-8313.1128450660599</c:v>
                </c:pt>
                <c:pt idx="21">
                  <c:v>1</c:v>
                </c:pt>
                <c:pt idx="22">
                  <c:v>-46565.284884338602</c:v>
                </c:pt>
                <c:pt idx="23">
                  <c:v>-3795.5092202988499</c:v>
                </c:pt>
                <c:pt idx="24">
                  <c:v>1.3967274664017599</c:v>
                </c:pt>
                <c:pt idx="25">
                  <c:v>-0.43010495005923099</c:v>
                </c:pt>
                <c:pt idx="26">
                  <c:v>-0.60906018720856603</c:v>
                </c:pt>
                <c:pt idx="27">
                  <c:v>-0.46265631747909203</c:v>
                </c:pt>
                <c:pt idx="28">
                  <c:v>-4.8331846037699099E-2</c:v>
                </c:pt>
                <c:pt idx="29">
                  <c:v>2.4909738118676099</c:v>
                </c:pt>
                <c:pt idx="30">
                  <c:v>1.74057666016901</c:v>
                </c:pt>
                <c:pt idx="31">
                  <c:v>-0.25521371776884999</c:v>
                </c:pt>
                <c:pt idx="32">
                  <c:v>0.52206524155188805</c:v>
                </c:pt>
                <c:pt idx="33">
                  <c:v>0.39894682894482503</c:v>
                </c:pt>
                <c:pt idx="34">
                  <c:v>4.01437772311629</c:v>
                </c:pt>
                <c:pt idx="35">
                  <c:v>2.4455288299246498</c:v>
                </c:pt>
                <c:pt idx="36">
                  <c:v>5.0009616928881701E-2</c:v>
                </c:pt>
                <c:pt idx="37">
                  <c:v>0.96893037875749299</c:v>
                </c:pt>
                <c:pt idx="38">
                  <c:v>1.18398439500529</c:v>
                </c:pt>
                <c:pt idx="39">
                  <c:v>1.2096630869232801</c:v>
                </c:pt>
                <c:pt idx="40">
                  <c:v>2.23693449782043</c:v>
                </c:pt>
                <c:pt idx="41">
                  <c:v>1.1320072792853499</c:v>
                </c:pt>
                <c:pt idx="42">
                  <c:v>1.44685149101321</c:v>
                </c:pt>
                <c:pt idx="43">
                  <c:v>1.5374597313007701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D-4085-8D8F-DB4B0047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702344"/>
        <c:axId val="748701688"/>
      </c:scatterChart>
      <c:valAx>
        <c:axId val="74870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01688"/>
        <c:crosses val="autoZero"/>
        <c:crossBetween val="midCat"/>
      </c:valAx>
      <c:valAx>
        <c:axId val="7487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0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lnP0=-BT+lnA &lt;-&gt; P0=Ae^-BT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lnP0=-BT+lnA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231846019247587E-2"/>
                  <c:y val="0.23285287255759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'P0 vs T'!$C$3:$C$46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'P0 vs T'!$J$3:$J$46</c:f>
              <c:numCache>
                <c:formatCode>General</c:formatCode>
                <c:ptCount val="5"/>
                <c:pt idx="0">
                  <c:v>2.1564400171276539</c:v>
                </c:pt>
                <c:pt idx="1">
                  <c:v>2.013087007555622</c:v>
                </c:pt>
                <c:pt idx="2">
                  <c:v>1.684209024787926</c:v>
                </c:pt>
                <c:pt idx="3">
                  <c:v>1.5000485426698082</c:v>
                </c:pt>
                <c:pt idx="4">
                  <c:v>1.3459672935911395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421-9B7D-6B498E00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247976"/>
        <c:axId val="846248632"/>
      </c:scatterChart>
      <c:valAx>
        <c:axId val="84624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48632"/>
        <c:crosses val="autoZero"/>
        <c:crossBetween val="midCat"/>
      </c:valAx>
      <c:valAx>
        <c:axId val="8462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4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02218925532859"/>
                  <c:y val="0.4888195527821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P0!$K$4:$K$23</c:f>
              <c:numCache>
                <c:formatCode>General</c:formatCode>
                <c:ptCount val="20"/>
                <c:pt idx="0">
                  <c:v>40.292388570937483</c:v>
                </c:pt>
                <c:pt idx="1">
                  <c:v>32.235598485189541</c:v>
                </c:pt>
                <c:pt idx="2">
                  <c:v>25.789828961588821</c:v>
                </c:pt>
                <c:pt idx="3">
                  <c:v>20.632943364572213</c:v>
                </c:pt>
                <c:pt idx="4">
                  <c:v>16.507218893142184</c:v>
                </c:pt>
                <c:pt idx="5">
                  <c:v>17.300405997650142</c:v>
                </c:pt>
                <c:pt idx="6">
                  <c:v>13.841049417786827</c:v>
                </c:pt>
                <c:pt idx="7">
                  <c:v>11.073419260313198</c:v>
                </c:pt>
                <c:pt idx="8">
                  <c:v>8.8591992133991173</c:v>
                </c:pt>
                <c:pt idx="9">
                  <c:v>7.0877304342644019</c:v>
                </c:pt>
                <c:pt idx="10">
                  <c:v>7.4283024238333271</c:v>
                </c:pt>
                <c:pt idx="11">
                  <c:v>5.9429530701480546</c:v>
                </c:pt>
                <c:pt idx="12">
                  <c:v>4.754611374015143</c:v>
                </c:pt>
                <c:pt idx="13">
                  <c:v>3.8038882439552877</c:v>
                </c:pt>
                <c:pt idx="14">
                  <c:v>3.0432699192998567</c:v>
                </c:pt>
                <c:pt idx="15">
                  <c:v>3.1895018479579562</c:v>
                </c:pt>
                <c:pt idx="16">
                  <c:v>2.551735069206162</c:v>
                </c:pt>
                <c:pt idx="17">
                  <c:v>2.0414949336321593</c:v>
                </c:pt>
                <c:pt idx="18">
                  <c:v>1.6332814539960578</c:v>
                </c:pt>
                <c:pt idx="19">
                  <c:v>1.3066935724505373</c:v>
                </c:pt>
              </c:numCache>
            </c:numRef>
          </c:xVal>
          <c:yVal>
            <c:numRef>
              <c:f>P0!$E$4:$E$23</c:f>
              <c:numCache>
                <c:formatCode>General</c:formatCode>
                <c:ptCount val="20"/>
                <c:pt idx="0">
                  <c:v>38.987904843554098</c:v>
                </c:pt>
                <c:pt idx="1">
                  <c:v>36.549487136239101</c:v>
                </c:pt>
                <c:pt idx="2">
                  <c:v>26.994950335905699</c:v>
                </c:pt>
                <c:pt idx="3">
                  <c:v>19.553108798739299</c:v>
                </c:pt>
                <c:pt idx="4">
                  <c:v>13.1516507988825</c:v>
                </c:pt>
                <c:pt idx="5">
                  <c:v>13.3547971639351</c:v>
                </c:pt>
                <c:pt idx="6">
                  <c:v>12.1156014384801</c:v>
                </c:pt>
                <c:pt idx="7">
                  <c:v>11.435813865154101</c:v>
                </c:pt>
                <c:pt idx="8">
                  <c:v>9.5302387812026605</c:v>
                </c:pt>
                <c:pt idx="9">
                  <c:v>10.013526888477299</c:v>
                </c:pt>
                <c:pt idx="10">
                  <c:v>7.7582738103185598</c:v>
                </c:pt>
                <c:pt idx="11">
                  <c:v>6.57343200408088</c:v>
                </c:pt>
                <c:pt idx="12">
                  <c:v>4.9960232850488699</c:v>
                </c:pt>
                <c:pt idx="13">
                  <c:v>2.9305364867537098</c:v>
                </c:pt>
                <c:pt idx="14">
                  <c:v>2.7709229587059001</c:v>
                </c:pt>
                <c:pt idx="15">
                  <c:v>6.4722997312794099</c:v>
                </c:pt>
                <c:pt idx="16">
                  <c:v>4.8172790003394699</c:v>
                </c:pt>
                <c:pt idx="17">
                  <c:v>3.3023887897462001</c:v>
                </c:pt>
                <c:pt idx="18">
                  <c:v>1.3450059512694701</c:v>
                </c:pt>
                <c:pt idx="19">
                  <c:v>1.3022767583499999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8-4DE0-B083-33352093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85728"/>
        <c:axId val="841890648"/>
      </c:scatterChart>
      <c:valAx>
        <c:axId val="8418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P0pred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0648"/>
        <c:crosses val="autoZero"/>
        <c:crossBetween val="midCat"/>
      </c:valAx>
      <c:valAx>
        <c:axId val="8418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02218925532859"/>
                  <c:y val="0.4888195527821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P0!$AD$28:$AD$47</c:f>
              <c:numCache>
                <c:formatCode>General</c:formatCode>
                <c:ptCount val="20"/>
                <c:pt idx="0">
                  <c:v>55.659876012423076</c:v>
                </c:pt>
                <c:pt idx="1">
                  <c:v>37.554739456929894</c:v>
                </c:pt>
                <c:pt idx="2">
                  <c:v>29.833749207559848</c:v>
                </c:pt>
                <c:pt idx="3">
                  <c:v>25.338871674149988</c:v>
                </c:pt>
                <c:pt idx="4">
                  <c:v>22.324256823106548</c:v>
                </c:pt>
                <c:pt idx="5">
                  <c:v>29.066351915739297</c:v>
                </c:pt>
                <c:pt idx="6">
                  <c:v>19.611600875923401</c:v>
                </c:pt>
                <c:pt idx="7">
                  <c:v>15.579593695812337</c:v>
                </c:pt>
                <c:pt idx="8">
                  <c:v>13.232306896699081</c:v>
                </c:pt>
                <c:pt idx="9">
                  <c:v>11.658033606343832</c:v>
                </c:pt>
                <c:pt idx="10">
                  <c:v>15.17884828742762</c:v>
                </c:pt>
                <c:pt idx="11">
                  <c:v>10.241447403932062</c:v>
                </c:pt>
                <c:pt idx="12">
                  <c:v>8.1358778622798624</c:v>
                </c:pt>
                <c:pt idx="13">
                  <c:v>6.9100924484753632</c:v>
                </c:pt>
                <c:pt idx="14">
                  <c:v>6.0879853086965854</c:v>
                </c:pt>
                <c:pt idx="15">
                  <c:v>7.9266031045328793</c:v>
                </c:pt>
                <c:pt idx="16">
                  <c:v>5.348224532566018</c:v>
                </c:pt>
                <c:pt idx="17">
                  <c:v>4.2486671913483542</c:v>
                </c:pt>
                <c:pt idx="18">
                  <c:v>3.6085452082726217</c:v>
                </c:pt>
                <c:pt idx="19">
                  <c:v>3.179229565673662</c:v>
                </c:pt>
              </c:numCache>
            </c:numRef>
          </c:xVal>
          <c:yVal>
            <c:numRef>
              <c:f>P0!$X$28:$X$47</c:f>
              <c:numCache>
                <c:formatCode>General</c:formatCode>
                <c:ptCount val="20"/>
                <c:pt idx="0">
                  <c:v>57.282114061772397</c:v>
                </c:pt>
                <c:pt idx="1">
                  <c:v>37.486742154701602</c:v>
                </c:pt>
                <c:pt idx="2">
                  <c:v>29.761861465604099</c:v>
                </c:pt>
                <c:pt idx="3">
                  <c:v>25.361730066887599</c:v>
                </c:pt>
                <c:pt idx="4">
                  <c:v>21.835551091972899</c:v>
                </c:pt>
                <c:pt idx="5">
                  <c:v>25.206654469418599</c:v>
                </c:pt>
                <c:pt idx="6">
                  <c:v>19.8142490225679</c:v>
                </c:pt>
                <c:pt idx="7">
                  <c:v>14.237183619633299</c:v>
                </c:pt>
                <c:pt idx="8">
                  <c:v>13.908604489889999</c:v>
                </c:pt>
                <c:pt idx="9">
                  <c:v>11.400694755451401</c:v>
                </c:pt>
                <c:pt idx="10">
                  <c:v>15.680837448358799</c:v>
                </c:pt>
                <c:pt idx="11">
                  <c:v>11.5141612395254</c:v>
                </c:pt>
                <c:pt idx="12">
                  <c:v>7.0103726034851501</c:v>
                </c:pt>
                <c:pt idx="13">
                  <c:v>8.0664703720160293</c:v>
                </c:pt>
                <c:pt idx="14">
                  <c:v>6.3015760126496199</c:v>
                </c:pt>
                <c:pt idx="15">
                  <c:v>8.6403234385068099</c:v>
                </c:pt>
                <c:pt idx="16">
                  <c:v>7.4863922622541601</c:v>
                </c:pt>
                <c:pt idx="17">
                  <c:v>5.3881873237563402</c:v>
                </c:pt>
                <c:pt idx="18">
                  <c:v>4.4819066287711804</c:v>
                </c:pt>
                <c:pt idx="19">
                  <c:v>3.84190099003421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C-48F8-96C7-858C44A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85728"/>
        <c:axId val="841890648"/>
      </c:scatterChart>
      <c:valAx>
        <c:axId val="8418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P0pred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0648"/>
        <c:crosses val="autoZero"/>
        <c:crossBetween val="midCat"/>
      </c:valAx>
      <c:valAx>
        <c:axId val="8418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02218925532859"/>
                  <c:y val="0.4888195527821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P0!$K$28:$K$47</c:f>
              <c:numCache>
                <c:formatCode>General</c:formatCode>
                <c:ptCount val="20"/>
                <c:pt idx="0">
                  <c:v>40.815866595898299</c:v>
                </c:pt>
                <c:pt idx="1">
                  <c:v>29.542203760618335</c:v>
                </c:pt>
                <c:pt idx="2">
                  <c:v>24.452443613105949</c:v>
                </c:pt>
                <c:pt idx="3">
                  <c:v>21.382415119947414</c:v>
                </c:pt>
                <c:pt idx="4">
                  <c:v>19.269148182050625</c:v>
                </c:pt>
                <c:pt idx="5">
                  <c:v>17.623272563809543</c:v>
                </c:pt>
                <c:pt idx="6">
                  <c:v>12.755586305774917</c:v>
                </c:pt>
                <c:pt idx="7">
                  <c:v>10.557954898065439</c:v>
                </c:pt>
                <c:pt idx="8">
                  <c:v>9.23239321272243</c:v>
                </c:pt>
                <c:pt idx="9">
                  <c:v>8.3199372892609187</c:v>
                </c:pt>
                <c:pt idx="10">
                  <c:v>7.6092892730478798</c:v>
                </c:pt>
                <c:pt idx="11">
                  <c:v>5.5075438285673473</c:v>
                </c:pt>
                <c:pt idx="12">
                  <c:v>4.558661432505601</c:v>
                </c:pt>
                <c:pt idx="13">
                  <c:v>3.9863169785159807</c:v>
                </c:pt>
                <c:pt idx="14">
                  <c:v>3.5923412827202497</c:v>
                </c:pt>
                <c:pt idx="15">
                  <c:v>3.2855012048003687</c:v>
                </c:pt>
                <c:pt idx="16">
                  <c:v>2.3780199746567048</c:v>
                </c:pt>
                <c:pt idx="17">
                  <c:v>1.9683162370793843</c:v>
                </c:pt>
                <c:pt idx="18">
                  <c:v>1.7211921857170285</c:v>
                </c:pt>
                <c:pt idx="19">
                  <c:v>1.5510833126342647</c:v>
                </c:pt>
              </c:numCache>
            </c:numRef>
          </c:xVal>
          <c:yVal>
            <c:numRef>
              <c:f>P0!$E$28:$E$47</c:f>
              <c:numCache>
                <c:formatCode>General</c:formatCode>
                <c:ptCount val="20"/>
                <c:pt idx="0">
                  <c:v>38.987904843554098</c:v>
                </c:pt>
                <c:pt idx="1">
                  <c:v>36.549487136239101</c:v>
                </c:pt>
                <c:pt idx="2">
                  <c:v>26.994950335905699</c:v>
                </c:pt>
                <c:pt idx="3">
                  <c:v>19.553108798739299</c:v>
                </c:pt>
                <c:pt idx="4">
                  <c:v>13.1516507988825</c:v>
                </c:pt>
                <c:pt idx="5">
                  <c:v>13.3547971639351</c:v>
                </c:pt>
                <c:pt idx="6">
                  <c:v>12.1156014384801</c:v>
                </c:pt>
                <c:pt idx="7">
                  <c:v>11.435813865154101</c:v>
                </c:pt>
                <c:pt idx="8">
                  <c:v>9.5302387812026605</c:v>
                </c:pt>
                <c:pt idx="9">
                  <c:v>10.013526888477299</c:v>
                </c:pt>
                <c:pt idx="10">
                  <c:v>7.7582738103185598</c:v>
                </c:pt>
                <c:pt idx="11">
                  <c:v>6.57343200408088</c:v>
                </c:pt>
                <c:pt idx="12">
                  <c:v>4.9960232850488699</c:v>
                </c:pt>
                <c:pt idx="13">
                  <c:v>2.9305364867537098</c:v>
                </c:pt>
                <c:pt idx="14">
                  <c:v>2.7709229587059001</c:v>
                </c:pt>
                <c:pt idx="15">
                  <c:v>6.4722997312794099</c:v>
                </c:pt>
                <c:pt idx="16">
                  <c:v>4.8172790003394699</c:v>
                </c:pt>
                <c:pt idx="17">
                  <c:v>3.3023887897462001</c:v>
                </c:pt>
                <c:pt idx="18">
                  <c:v>1.3450059512694701</c:v>
                </c:pt>
                <c:pt idx="19">
                  <c:v>1.3022767583499999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8-471A-AD51-DE4AFBC0F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85728"/>
        <c:axId val="841890648"/>
      </c:scatterChart>
      <c:valAx>
        <c:axId val="8418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P0pred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0648"/>
        <c:crosses val="autoZero"/>
        <c:crossBetween val="midCat"/>
      </c:valAx>
      <c:valAx>
        <c:axId val="8418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327660</xdr:colOff>
      <xdr:row>0</xdr:row>
      <xdr:rowOff>2743200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20826-666E-4778-B9D0-81EA3627D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0</xdr:row>
      <xdr:rowOff>0</xdr:rowOff>
    </xdr:from>
    <xdr:to>
      <xdr:col>15</xdr:col>
      <xdr:colOff>30480</xdr:colOff>
      <xdr:row>0</xdr:row>
      <xdr:rowOff>2743200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92603F-53D4-41B6-A7BC-04B451A6F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</xdr:rowOff>
    </xdr:from>
    <xdr:to>
      <xdr:col>7</xdr:col>
      <xdr:colOff>304800</xdr:colOff>
      <xdr:row>0</xdr:row>
      <xdr:rowOff>2747010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49012-0A1E-4169-A14C-E5327D78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6FE18-4002-4898-8400-DBC174F7B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F18CA-1216-43E0-AC5D-32D08E26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0</xdr:row>
      <xdr:rowOff>2743200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1B009-F7BB-41C5-A4AB-3637BD24A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0</xdr:row>
      <xdr:rowOff>2743200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5B161-997B-4A27-A850-3038DC17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312420</xdr:colOff>
      <xdr:row>0</xdr:row>
      <xdr:rowOff>0</xdr:rowOff>
    </xdr:from>
    <xdr:to>
      <xdr:col>30</xdr:col>
      <xdr:colOff>7620</xdr:colOff>
      <xdr:row>0</xdr:row>
      <xdr:rowOff>2743200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D98A6A-EBA3-4450-BC3A-430B3FEA7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0644B-6A83-4787-808D-618C9D955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0</xdr:row>
      <xdr:rowOff>2743200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940FD-002D-44AC-B346-668A8502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0</xdr:row>
      <xdr:rowOff>2743200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3E486-D1D8-46B2-84C7-C2494A072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289560</xdr:colOff>
      <xdr:row>0</xdr:row>
      <xdr:rowOff>0</xdr:rowOff>
    </xdr:from>
    <xdr:to>
      <xdr:col>29</xdr:col>
      <xdr:colOff>594360</xdr:colOff>
      <xdr:row>0</xdr:row>
      <xdr:rowOff>2743200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5E10D-19E3-4821-BADB-37E0400CE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6</xdr:row>
      <xdr:rowOff>3810</xdr:rowOff>
    </xdr:from>
    <xdr:to>
      <xdr:col>17</xdr:col>
      <xdr:colOff>99060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0D932-2F2E-4C75-A9E9-26F7D02B5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76200</xdr:colOff>
      <xdr:row>6</xdr:row>
      <xdr:rowOff>30480</xdr:rowOff>
    </xdr:from>
    <xdr:to>
      <xdr:col>34</xdr:col>
      <xdr:colOff>297180</xdr:colOff>
      <xdr:row>20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8259A-852C-4261-BFBD-0E6604E3C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2AD43-033B-40DC-B815-6CA8F7280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0</xdr:row>
      <xdr:rowOff>2743200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433589-2E62-47A6-BE01-C1496C5B5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0</xdr:row>
      <xdr:rowOff>2743200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83924-B9A6-45A6-BE90-830CBD910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297180</xdr:colOff>
      <xdr:row>0</xdr:row>
      <xdr:rowOff>0</xdr:rowOff>
    </xdr:from>
    <xdr:to>
      <xdr:col>29</xdr:col>
      <xdr:colOff>601980</xdr:colOff>
      <xdr:row>0</xdr:row>
      <xdr:rowOff>2743200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562A7F-5C81-4C7F-82C5-2393E696D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7274C-F089-4435-AB13-75DE2D69A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0</xdr:row>
      <xdr:rowOff>2743200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9C46E-4918-4085-819A-37478E738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</xdr:colOff>
      <xdr:row>0</xdr:row>
      <xdr:rowOff>0</xdr:rowOff>
    </xdr:from>
    <xdr:to>
      <xdr:col>22</xdr:col>
      <xdr:colOff>312420</xdr:colOff>
      <xdr:row>0</xdr:row>
      <xdr:rowOff>2743200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25D6E-6C3A-442D-9886-8B2336C7F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304800</xdr:colOff>
      <xdr:row>0</xdr:row>
      <xdr:rowOff>0</xdr:rowOff>
    </xdr:from>
    <xdr:to>
      <xdr:col>30</xdr:col>
      <xdr:colOff>0</xdr:colOff>
      <xdr:row>0</xdr:row>
      <xdr:rowOff>2743200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11C0BE-4AE4-4E0C-80E2-D3D4D3CA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4</xdr:row>
      <xdr:rowOff>171450</xdr:rowOff>
    </xdr:from>
    <xdr:to>
      <xdr:col>17</xdr:col>
      <xdr:colOff>144780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E11A4-16E7-47A9-81E0-C5A4A6E63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45720</xdr:colOff>
      <xdr:row>5</xdr:row>
      <xdr:rowOff>137160</xdr:rowOff>
    </xdr:from>
    <xdr:to>
      <xdr:col>34</xdr:col>
      <xdr:colOff>144780</xdr:colOff>
      <xdr:row>19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F9900-73AE-451F-812B-8EE1DD48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99060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3FC85-9790-418B-9315-9A7F96E28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0</xdr:row>
      <xdr:rowOff>0</xdr:rowOff>
    </xdr:from>
    <xdr:to>
      <xdr:col>14</xdr:col>
      <xdr:colOff>426720</xdr:colOff>
      <xdr:row>0</xdr:row>
      <xdr:rowOff>2743200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25107-3C95-4E91-82BC-D1C8E0A11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434340</xdr:colOff>
      <xdr:row>0</xdr:row>
      <xdr:rowOff>0</xdr:rowOff>
    </xdr:from>
    <xdr:to>
      <xdr:col>22</xdr:col>
      <xdr:colOff>129540</xdr:colOff>
      <xdr:row>0</xdr:row>
      <xdr:rowOff>2743200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24D39-855B-4679-8D8C-71C1285E3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137160</xdr:colOff>
      <xdr:row>0</xdr:row>
      <xdr:rowOff>0</xdr:rowOff>
    </xdr:from>
    <xdr:to>
      <xdr:col>29</xdr:col>
      <xdr:colOff>441960</xdr:colOff>
      <xdr:row>0</xdr:row>
      <xdr:rowOff>2743200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2DAC6-4B77-479F-8DEC-0113E7CDA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F0CD3-ADEA-44EA-A35B-07F320BC8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0</xdr:row>
      <xdr:rowOff>2743200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B3304-78BB-4946-B670-47E258032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0</xdr:row>
      <xdr:rowOff>2743200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0E4E7-4042-4CAB-AD58-9A8A31D0F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312420</xdr:colOff>
      <xdr:row>0</xdr:row>
      <xdr:rowOff>0</xdr:rowOff>
    </xdr:from>
    <xdr:to>
      <xdr:col>30</xdr:col>
      <xdr:colOff>7620</xdr:colOff>
      <xdr:row>0</xdr:row>
      <xdr:rowOff>2743200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042A3B-C5A9-4BE6-9A47-C6510F63B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B132B-CC96-47A3-91C1-4A94BA48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0</xdr:row>
      <xdr:rowOff>0</xdr:rowOff>
    </xdr:from>
    <xdr:to>
      <xdr:col>14</xdr:col>
      <xdr:colOff>601980</xdr:colOff>
      <xdr:row>0</xdr:row>
      <xdr:rowOff>2743200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E65E1-9F8B-4E44-836B-1C875D542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304800</xdr:colOff>
      <xdr:row>0</xdr:row>
      <xdr:rowOff>0</xdr:rowOff>
    </xdr:from>
    <xdr:to>
      <xdr:col>30</xdr:col>
      <xdr:colOff>0</xdr:colOff>
      <xdr:row>0</xdr:row>
      <xdr:rowOff>2743200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0FD74-7FAC-4457-A1C6-AECFEB2F5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0</xdr:row>
      <xdr:rowOff>2743200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E9B63-EA54-4CB1-A226-93B5635EC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5</xdr:row>
      <xdr:rowOff>30480</xdr:rowOff>
    </xdr:from>
    <xdr:to>
      <xdr:col>17</xdr:col>
      <xdr:colOff>213360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0D2A5-BDD0-44D1-A601-7E844F085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68580</xdr:colOff>
      <xdr:row>5</xdr:row>
      <xdr:rowOff>15240</xdr:rowOff>
    </xdr:from>
    <xdr:to>
      <xdr:col>34</xdr:col>
      <xdr:colOff>167640</xdr:colOff>
      <xdr:row>18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0FD42-DBE4-49DC-871F-1B38CB1C7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B5697-12C8-4995-8743-221E1262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6</xdr:row>
      <xdr:rowOff>156210</xdr:rowOff>
    </xdr:from>
    <xdr:to>
      <xdr:col>17</xdr:col>
      <xdr:colOff>411480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F2BCF-9406-426A-9E93-1A7D2D260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411480</xdr:colOff>
      <xdr:row>31</xdr:row>
      <xdr:rowOff>7620</xdr:rowOff>
    </xdr:from>
    <xdr:to>
      <xdr:col>36</xdr:col>
      <xdr:colOff>518160</xdr:colOff>
      <xdr:row>44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A18B7-F264-4367-A8D7-1D85CD16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30</xdr:row>
      <xdr:rowOff>156210</xdr:rowOff>
    </xdr:from>
    <xdr:to>
      <xdr:col>17</xdr:col>
      <xdr:colOff>411480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3F657-1FEB-4C38-BF06-1BA54D6DD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411480</xdr:colOff>
      <xdr:row>7</xdr:row>
      <xdr:rowOff>7620</xdr:rowOff>
    </xdr:from>
    <xdr:to>
      <xdr:col>36</xdr:col>
      <xdr:colOff>518160</xdr:colOff>
      <xdr:row>20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ED7BB0-EFE7-41ED-A25F-6F52F00D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99F097-BDF0-4D76-B85F-631D5BD72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77BB12-2B54-4780-937F-8235D8AFA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6</xdr:row>
      <xdr:rowOff>156210</xdr:rowOff>
    </xdr:from>
    <xdr:to>
      <xdr:col>17</xdr:col>
      <xdr:colOff>411480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DA0A1-D792-4E0A-A78E-DB9654145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411480</xdr:colOff>
      <xdr:row>7</xdr:row>
      <xdr:rowOff>7620</xdr:rowOff>
    </xdr:from>
    <xdr:to>
      <xdr:col>36</xdr:col>
      <xdr:colOff>518160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E29A7-B982-4AC8-A098-251CD006E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018FE-CDA2-4447-B3F1-3191076C1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0</xdr:row>
      <xdr:rowOff>2743200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695C2-1141-46AA-8742-7F05A994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6</xdr:row>
      <xdr:rowOff>156210</xdr:rowOff>
    </xdr:from>
    <xdr:to>
      <xdr:col>17</xdr:col>
      <xdr:colOff>411480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C627C-3A7F-4AA0-B1D3-D5BBC105F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411480</xdr:colOff>
      <xdr:row>7</xdr:row>
      <xdr:rowOff>7620</xdr:rowOff>
    </xdr:from>
    <xdr:to>
      <xdr:col>36</xdr:col>
      <xdr:colOff>518160</xdr:colOff>
      <xdr:row>20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E3934-89F1-432E-9329-E03503EA6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1448E-F1E1-4757-9CD8-F16D86BF3E65}" name="Table1" displayName="Table1" ref="A1:I45" totalsRowShown="0">
  <autoFilter ref="A1:I45" xr:uid="{7A2C0E8F-8EAD-4D36-9C98-2A32D86C93F8}"/>
  <tableColumns count="9">
    <tableColumn id="1" xr3:uid="{2A96D34B-89E8-482F-AEED-878368ED086A}" name="surfOrient"/>
    <tableColumn id="2" xr3:uid="{62D2E675-C99B-4FAD-BE26-0A21AE83204B}" name="R(ao)"/>
    <tableColumn id="3" xr3:uid="{1AE4BC36-04B2-46F1-A3AB-84B8E019D815}" name="T(K)"/>
    <tableColumn id="4" xr3:uid="{FA05E6DF-FE62-4BAE-B4C5-C99BF8F7F4B0}" name="P0"/>
    <tableColumn id="5" xr3:uid="{E66FABF1-248F-4742-AE41-2A17A08A458F}" name="Pb"/>
    <tableColumn id="6" xr3:uid="{655E9325-AA38-4E23-9A0A-1922EF6F84CE}" name="a_P"/>
    <tableColumn id="7" xr3:uid="{E55299FB-E255-4676-97BD-0C9D6CDBAD4D}" name="rho_0"/>
    <tableColumn id="8" xr3:uid="{B47C8F33-A079-48CB-B424-E797A258CB50}" name="rho_b"/>
    <tableColumn id="9" xr3:uid="{8B722598-71D6-4AA8-964E-6BBA98A3C930}" name="a_rh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3A4E98-BDFA-4232-9B99-897F27B9B696}" name="Table912" displayName="Table912" ref="A2:I46" totalsRowShown="0">
  <autoFilter ref="A2:I46" xr:uid="{A3AD77D7-4C94-4488-96A5-06F22D0FD483}">
    <filterColumn colId="0">
      <filters>
        <filter val="100"/>
      </filters>
    </filterColumn>
    <filterColumn colId="1">
      <filters>
        <filter val="4"/>
      </filters>
    </filterColumn>
  </autoFilter>
  <tableColumns count="9">
    <tableColumn id="1" xr3:uid="{905B8B2F-1242-4174-8EE9-39E0EA984617}" name="surfOrient"/>
    <tableColumn id="2" xr3:uid="{F8CD6F66-A9D2-4A26-BC8A-7AC43171D573}" name="R(ao)"/>
    <tableColumn id="3" xr3:uid="{90AEDD01-73C3-4FBF-9294-40EF921B779A}" name="T(K)"/>
    <tableColumn id="4" xr3:uid="{19186F10-0E43-4CAD-9903-92EC5C302B8E}" name="P0"/>
    <tableColumn id="5" xr3:uid="{91D27FF0-58A9-4047-9F7F-7558848491E1}" name="Pb"/>
    <tableColumn id="6" xr3:uid="{464F6963-376C-4D6C-A2B9-F66B9776E49B}" name="a_P"/>
    <tableColumn id="7" xr3:uid="{D78FDB1A-6A1B-4EA8-8994-2B2BC8969E14}" name="rho_0"/>
    <tableColumn id="8" xr3:uid="{1A734010-4A4B-4355-8899-4D6F0FAD1D40}" name="rho_b"/>
    <tableColumn id="9" xr3:uid="{FF3AB0E0-FD5A-48D4-B3E6-3A9FAC2BDC94}" name="a_rh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E6F550-8202-4CEA-B357-7A205EDBEEFE}" name="Table16" displayName="Table16" ref="A2:L46" totalsRowShown="0">
  <autoFilter ref="A2:L46" xr:uid="{8D8E5C69-86C8-4A09-B9DC-693F7A15AEA6}">
    <filterColumn colId="0">
      <filters>
        <filter val="110"/>
      </filters>
    </filterColumn>
    <filterColumn colId="2">
      <filters>
        <filter val="2500"/>
      </filters>
    </filterColumn>
  </autoFilter>
  <tableColumns count="12">
    <tableColumn id="1" xr3:uid="{26354B98-144F-43BD-8703-2A833571A3E4}" name="surfOrient"/>
    <tableColumn id="2" xr3:uid="{1E9D7636-B4B3-4BD9-B505-846D1D832AE0}" name="R(ao)"/>
    <tableColumn id="3" xr3:uid="{553B4C40-E675-4426-A4BC-159188D74B0E}" name="T(K)"/>
    <tableColumn id="4" xr3:uid="{26A62D97-57E5-4DD2-A68E-848136BFA799}" name="P0"/>
    <tableColumn id="5" xr3:uid="{2EDF59E0-0187-4EF8-969F-44F2C59506EF}" name="Pb"/>
    <tableColumn id="6" xr3:uid="{9AC155E8-D2F6-4D10-B9E0-F3298E54E8D6}" name="a_P"/>
    <tableColumn id="7" xr3:uid="{F32EF317-B7DB-4FAF-99E0-815C6CEBF037}" name="rho_0"/>
    <tableColumn id="8" xr3:uid="{2ABE8A46-9BFE-454E-8223-0E1E0DAB6EF2}" name="rho_b"/>
    <tableColumn id="9" xr3:uid="{3E5CB627-E9CA-4FEE-84A5-229E7138E85A}" name="a_rho"/>
    <tableColumn id="10" xr3:uid="{D4B6E3DE-3DBC-4E79-B518-3EA93DF17823}" name="ln(rho_0)" dataDxfId="23">
      <calculatedColumnFormula>LN(Table16[[#This Row],[rho_0]])</calculatedColumnFormula>
    </tableColumn>
    <tableColumn id="11" xr3:uid="{70C7C137-5FA1-4902-B7C0-FF9C1E7A1268}" name="lnR" dataDxfId="22">
      <calculatedColumnFormula>LN(Table16[[#This Row],[R(ao)]])</calculatedColumnFormula>
    </tableColumn>
    <tableColumn id="12" xr3:uid="{C516F301-7819-4B3D-9CFE-CB528C3E674B}" name="1/R" dataDxfId="21">
      <calculatedColumnFormula>1/Table16[[#This Row],[R(ao)]]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A9436A-8B65-46C7-9101-9D406434C12E}" name="Table113" displayName="Table113" ref="A2:L46" totalsRowShown="0">
  <autoFilter ref="A2:L46" xr:uid="{0EF3BD7B-A23C-4D1E-9210-416EE795B000}">
    <filterColumn colId="0">
      <filters>
        <filter val="110"/>
      </filters>
    </filterColumn>
    <filterColumn colId="1">
      <filters>
        <filter val="4"/>
      </filters>
    </filterColumn>
  </autoFilter>
  <tableColumns count="12">
    <tableColumn id="1" xr3:uid="{866875D1-0B61-49A5-BA1F-E988D47235DE}" name="surfOrient"/>
    <tableColumn id="2" xr3:uid="{C2D44B2F-C27E-409E-8D7C-19B5952D1108}" name="R(ao)"/>
    <tableColumn id="3" xr3:uid="{EF944F77-58FB-4300-AD19-1B3EE2043517}" name="T(K)"/>
    <tableColumn id="4" xr3:uid="{C5B3094A-DB13-40A5-BE44-26BE4621159F}" name="P0"/>
    <tableColumn id="5" xr3:uid="{FC862A16-A532-42F5-ADB9-7A2BDE79873C}" name="Pb"/>
    <tableColumn id="6" xr3:uid="{96442DCF-3584-4AFE-AE4F-2A57DE65CCF0}" name="a_P"/>
    <tableColumn id="7" xr3:uid="{722C4E15-CEB7-4258-B236-9AE0BA6215AB}" name="rho_0"/>
    <tableColumn id="8" xr3:uid="{D8D8171F-5C53-43C0-A6DD-42FF09EF1B4B}" name="rho_b"/>
    <tableColumn id="9" xr3:uid="{06A6A345-5CA0-4E10-86CD-556B7A5D3412}" name="a_rho"/>
    <tableColumn id="10" xr3:uid="{9221786A-B00F-4BC0-978B-7DCFE9C03400}" name="lnrho_0" dataDxfId="20">
      <calculatedColumnFormula>LN(Table113[[#This Row],[rho_0]])</calculatedColumnFormula>
    </tableColumn>
    <tableColumn id="11" xr3:uid="{512B650E-75DA-40FF-AE23-4D8874708BE4}" name="lnT" dataDxfId="19">
      <calculatedColumnFormula>LN(Table113[[#This Row],[T(K)]])</calculatedColumnFormula>
    </tableColumn>
    <tableColumn id="12" xr3:uid="{3081C7F8-ACF8-42C4-AEE7-646CB886E50D}" name="1/T" dataDxfId="18">
      <calculatedColumnFormula>1/Table113[[#This Row],[T(K)]]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081552-94C2-4177-BA74-1FA290ECD671}" name="Table114" displayName="Table114" ref="B2:L22" totalsRowShown="0">
  <autoFilter ref="B2:L22" xr:uid="{34CB6E5C-EB67-480F-BAA0-4B583D79E48B}"/>
  <tableColumns count="11">
    <tableColumn id="1" xr3:uid="{B48B290C-E098-4A47-8480-AAAE6E95E122}" name="surfOrient"/>
    <tableColumn id="2" xr3:uid="{6025D94C-1DDE-48F5-89D3-C6C098B2B116}" name="R(ao)"/>
    <tableColumn id="3" xr3:uid="{6E288CC2-3384-4D8F-B2FD-5F473EB72983}" name="T(K)"/>
    <tableColumn id="4" xr3:uid="{128FB636-C409-474F-B399-7C5027CF95F4}" name="P0"/>
    <tableColumn id="5" xr3:uid="{54B71DE7-5956-4B2B-B43B-748609C6D382}" name="Pb"/>
    <tableColumn id="6" xr3:uid="{2412F05F-95FD-49E3-B08D-F5BEF1660833}" name="a_P"/>
    <tableColumn id="7" xr3:uid="{AA34955B-066E-4DE4-A3F1-CEC3A54983DD}" name="rho_0"/>
    <tableColumn id="8" xr3:uid="{62D36475-A563-42DF-B944-5256FBC04131}" name="rho_b"/>
    <tableColumn id="9" xr3:uid="{97F6A00F-F15B-494C-99D8-A59C13C9446B}" name="a_rho"/>
    <tableColumn id="10" xr3:uid="{1573E301-55B1-4A96-8E9C-65055B5AD403}" name="rho_0 pred" dataDxfId="17">
      <calculatedColumnFormula>$O$2*EXP(-$P$2*Table114[[#This Row],[R(ao)]]-$Q$2*Table114[[#This Row],[T(K)]])</calculatedColumnFormula>
    </tableColumn>
    <tableColumn id="11" xr3:uid="{821322BF-7605-4593-B856-ADF82371A1D7}" name="(res)^2" dataDxfId="16">
      <calculatedColumnFormula>(Table114[[#This Row],[rho_0 pred]]-Table114[[#This Row],[rho_0]])^2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1488B7E-1F0F-42C5-85BD-EF1A33D19177}" name="Table115" displayName="Table115" ref="A2:L46" totalsRowShown="0">
  <autoFilter ref="A2:L46" xr:uid="{8056A378-C86C-46A6-B422-1302805D1E1C}">
    <filterColumn colId="0">
      <filters>
        <filter val="110"/>
      </filters>
    </filterColumn>
    <filterColumn colId="2">
      <filters>
        <filter val="2500"/>
      </filters>
    </filterColumn>
  </autoFilter>
  <tableColumns count="12">
    <tableColumn id="1" xr3:uid="{703C118D-AEA0-45B7-95EF-1ADE16B73718}" name="surfOrient"/>
    <tableColumn id="2" xr3:uid="{BE67818B-3FD5-4F3C-B2F3-1A63FAC31CE8}" name="R(ao)"/>
    <tableColumn id="3" xr3:uid="{A221CB2A-C6AF-4211-A38F-EDA012E37BCB}" name="T(K)"/>
    <tableColumn id="4" xr3:uid="{4B218D2C-772C-4356-8A9F-A441D57EDC86}" name="P0"/>
    <tableColumn id="5" xr3:uid="{E43F8DC0-4C09-4EE3-870B-AE365F0C9D87}" name="Pb"/>
    <tableColumn id="6" xr3:uid="{52D14E0D-5590-423D-B0B0-45F074259979}" name="a_P"/>
    <tableColumn id="7" xr3:uid="{D3994C77-2F54-4436-A0CA-77520B8EA136}" name="rho_0"/>
    <tableColumn id="8" xr3:uid="{C61F0DDF-AD40-4A56-8861-986A16C801B0}" name="rho_b"/>
    <tableColumn id="9" xr3:uid="{F63CDA44-1FD8-4B2F-B947-C517EBEC1817}" name="a_rho"/>
    <tableColumn id="10" xr3:uid="{CE191D73-9654-493A-A7EF-CBB2C5C4721C}" name="lnrho_b" dataDxfId="15">
      <calculatedColumnFormula>LN(Table115[[#This Row],[rho_b]])</calculatedColumnFormula>
    </tableColumn>
    <tableColumn id="11" xr3:uid="{C60A03E3-0F5A-445E-A284-F4717E346BF9}" name="lnR" dataDxfId="14">
      <calculatedColumnFormula>LN(Table115[[#This Row],[R(ao)]])</calculatedColumnFormula>
    </tableColumn>
    <tableColumn id="12" xr3:uid="{94054DD6-AF9E-469D-9FEC-E92B62B4B0CC}" name="1/R" dataDxfId="13">
      <calculatedColumnFormula>1/Table115[[#This Row],[R(ao)]]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F31797C-C91B-428B-AD33-790ACA1D7C0F}" name="Table116" displayName="Table116" ref="A2:L46" totalsRowShown="0">
  <autoFilter ref="A2:L46" xr:uid="{0E573184-4C94-47EB-9848-B6B8074C979A}">
    <filterColumn colId="0">
      <filters>
        <filter val="110"/>
      </filters>
    </filterColumn>
    <filterColumn colId="1">
      <filters>
        <filter val="4"/>
      </filters>
    </filterColumn>
  </autoFilter>
  <tableColumns count="12">
    <tableColumn id="1" xr3:uid="{813A70AD-A38E-412E-B353-3FA60D959F27}" name="surfOrient"/>
    <tableColumn id="2" xr3:uid="{E0693689-6797-49BE-ADB6-105BF59EA613}" name="R(ao)"/>
    <tableColumn id="3" xr3:uid="{92E0720A-0EA4-4134-B897-0D4A648FF1DE}" name="T(K)"/>
    <tableColumn id="4" xr3:uid="{B2FEE451-F474-4145-B723-ECB86C61937E}" name="P0"/>
    <tableColumn id="5" xr3:uid="{8FDBA6BE-CA4E-4252-8279-63669D1C578C}" name="Pb"/>
    <tableColumn id="6" xr3:uid="{E4CAD1C2-4D19-433F-8598-9920A2FB8FDD}" name="a_P"/>
    <tableColumn id="7" xr3:uid="{F3A0DA5F-AE69-49A0-8907-AF0F0C1A9073}" name="rho_0"/>
    <tableColumn id="8" xr3:uid="{584C271B-98A2-4EE7-92DC-888BACA0A20A}" name="rho_b"/>
    <tableColumn id="9" xr3:uid="{80651094-DE42-4FB0-89A0-979F1D49D257}" name="a_rho"/>
    <tableColumn id="10" xr3:uid="{76495612-7091-450D-8A3B-9712A0EEFA5B}" name="lnrho_b" dataDxfId="12">
      <calculatedColumnFormula>LN(Table116[[#This Row],[rho_b]])</calculatedColumnFormula>
    </tableColumn>
    <tableColumn id="11" xr3:uid="{480E26DF-A24A-482C-9EAD-CE3F150207B2}" name="lnT" dataDxfId="11">
      <calculatedColumnFormula>LN(Table116[[#This Row],[T(K)]])</calculatedColumnFormula>
    </tableColumn>
    <tableColumn id="12" xr3:uid="{E615EABE-F943-4D9C-A0E0-834B9F3AC242}" name="1/T" dataDxfId="10">
      <calculatedColumnFormula>1/Table116[[#This Row],[T(K)]]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8245401-9D87-44D8-9525-536743AE5217}" name="Table117" displayName="Table117" ref="B2:L26" totalsRowShown="0">
  <autoFilter ref="B2:L26" xr:uid="{E973659C-E411-4BCE-B5FD-69B807AAB7E8}"/>
  <tableColumns count="11">
    <tableColumn id="1" xr3:uid="{6AFA2152-9429-40EB-8F69-8C098B480FDA}" name="surfOrient"/>
    <tableColumn id="2" xr3:uid="{F96439BD-5AA8-492D-8029-0DC8DABB7B16}" name="R(ao)"/>
    <tableColumn id="3" xr3:uid="{22F5B14F-4E2A-4F2B-8B30-A4FFE4845060}" name="T(K)"/>
    <tableColumn id="4" xr3:uid="{329B574A-EFB0-4A88-B66B-2D8D5AB80872}" name="P0"/>
    <tableColumn id="5" xr3:uid="{77162255-60EC-4F1A-86D7-A7E62388644E}" name="Pb"/>
    <tableColumn id="6" xr3:uid="{3DBEA9FB-4430-4AD9-A1ED-C56F0D49EACF}" name="a_P"/>
    <tableColumn id="7" xr3:uid="{466B258E-50DE-4ADB-907D-33409BD9C886}" name="rho_0"/>
    <tableColumn id="8" xr3:uid="{76616130-FB9B-422F-88B6-0269BE4B7C5F}" name="rho_b"/>
    <tableColumn id="9" xr3:uid="{FF82C611-F30C-4625-B8A0-03CE5FC607AE}" name="a_rho"/>
    <tableColumn id="10" xr3:uid="{262F5663-9F8D-4E71-BB01-F51585095943}" name="rho_b pred" dataDxfId="9">
      <calculatedColumnFormula>$O$2*Table117[[#This Row],[R(ao)]]^(-$P$2)*EXP(-$Q$2*Table117[[#This Row],[T(K)]])</calculatedColumnFormula>
    </tableColumn>
    <tableColumn id="11" xr3:uid="{B8DE1D91-3D03-421B-9381-4F9986A5DC41}" name="(res)^2" dataDxfId="8">
      <calculatedColumnFormula>(Table117[[#This Row],[rho_b pred]]-Table117[[#This Row],[rho_b]])^2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682D17C-C1FF-4ADA-9029-2914426C52F2}" name="Table118" displayName="Table118" ref="A2:L42" totalsRowShown="0">
  <autoFilter ref="A2:L42" xr:uid="{F98D6226-EB69-4D51-A887-5E684093D0FD}">
    <filterColumn colId="0">
      <filters>
        <filter val="110"/>
      </filters>
    </filterColumn>
    <filterColumn colId="2">
      <filters>
        <filter val="2500"/>
      </filters>
    </filterColumn>
  </autoFilter>
  <tableColumns count="12">
    <tableColumn id="1" xr3:uid="{6F236E6E-631C-40ED-875C-C18D7556676A}" name="surfOrient"/>
    <tableColumn id="2" xr3:uid="{CC8B21A6-F577-4D79-B7CF-226639567A0D}" name="R(ao)"/>
    <tableColumn id="3" xr3:uid="{079D63A8-9BBB-4B8A-97C3-4755C50EDEA5}" name="T(K)"/>
    <tableColumn id="4" xr3:uid="{FAF70278-195C-41C3-9FA0-05B6F517D11A}" name="P0"/>
    <tableColumn id="5" xr3:uid="{F48A0C23-17A7-41D4-8D43-FE080F774C66}" name="Pb"/>
    <tableColumn id="6" xr3:uid="{97E23A9D-BA5C-4D34-892C-1DC2C2613DCA}" name="a_P"/>
    <tableColumn id="7" xr3:uid="{4504F69E-C63A-433F-B824-0F645CD2909E}" name="rho_0"/>
    <tableColumn id="8" xr3:uid="{E5E96F2F-099C-41F3-85DF-774527BE00C1}" name="rho_b"/>
    <tableColumn id="9" xr3:uid="{05C489D7-3DA1-4360-9D0D-F52332A5A31D}" name="a_rho"/>
    <tableColumn id="10" xr3:uid="{977C5E49-8ED1-4D07-A0F5-52E5E1230BC3}" name="lna_rho" dataDxfId="7">
      <calculatedColumnFormula>LN(Table118[[#This Row],[a_rho]])</calculatedColumnFormula>
    </tableColumn>
    <tableColumn id="11" xr3:uid="{8F2B0B01-7972-4CE5-BF88-E64C7557CADF}" name="lnR" dataDxfId="6">
      <calculatedColumnFormula>LN(Table118[[#This Row],[R(ao)]])</calculatedColumnFormula>
    </tableColumn>
    <tableColumn id="12" xr3:uid="{F3FC455A-82A3-4389-A633-7C473A6D2F4D}" name="1/R" dataDxfId="5">
      <calculatedColumnFormula>1/Table118[[#This Row],[R(ao)]]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CEE9C5F-4BAB-4844-900A-554DF0B3FD2F}" name="Table119" displayName="Table119" ref="A2:L42" totalsRowShown="0">
  <autoFilter ref="A2:L42" xr:uid="{2DE9ACFC-7464-49DB-A874-64AA1D29FD63}">
    <filterColumn colId="0">
      <filters>
        <filter val="110"/>
      </filters>
    </filterColumn>
    <filterColumn colId="1">
      <filters>
        <filter val="4"/>
      </filters>
    </filterColumn>
  </autoFilter>
  <tableColumns count="12">
    <tableColumn id="1" xr3:uid="{66101886-A10D-43D8-B0BB-65024B09D340}" name="surfOrient"/>
    <tableColumn id="2" xr3:uid="{5A0ED0F3-CD81-4395-B3D3-60358AF4B82F}" name="R(ao)"/>
    <tableColumn id="3" xr3:uid="{3B9153B4-A4A4-4310-9040-93F57F8601AE}" name="T(K)"/>
    <tableColumn id="4" xr3:uid="{A8FA39A0-C2EC-43FC-BFD4-0FE0FC502018}" name="P0"/>
    <tableColumn id="5" xr3:uid="{E85A0763-4841-425E-90B2-CC2B9CD55FE3}" name="Pb"/>
    <tableColumn id="6" xr3:uid="{E32CA256-D4BB-4636-B2C7-72687B82DCCF}" name="a_P"/>
    <tableColumn id="7" xr3:uid="{2F0BD139-BE71-4F7C-B167-A07EF138A11A}" name="rho_0"/>
    <tableColumn id="8" xr3:uid="{88CD4B2D-C07C-49DD-A662-914B76F3BE7C}" name="rho_b"/>
    <tableColumn id="9" xr3:uid="{E41995BF-C64E-4B9F-8239-DE27AB39B11F}" name="a_rho"/>
    <tableColumn id="10" xr3:uid="{C86EC340-3F2D-4E45-BC01-ADC2D16D21AD}" name="lna_rho" dataDxfId="4">
      <calculatedColumnFormula>LN(Table119[[#This Row],[a_rho]])</calculatedColumnFormula>
    </tableColumn>
    <tableColumn id="11" xr3:uid="{5C60609D-2440-4CA6-A360-AF8427BFB919}" name="lnT" dataDxfId="3">
      <calculatedColumnFormula>LN(Table119[[#This Row],[T(K)]])</calculatedColumnFormula>
    </tableColumn>
    <tableColumn id="12" xr3:uid="{ECACFDC0-BB5B-4084-B7BF-8A53FE388AD9}" name="1/T" dataDxfId="2">
      <calculatedColumnFormula>1/Table119[[#This Row],[T(K)]]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3CE9BEA-60CD-428F-B713-3D7775AA8B99}" name="Table120" displayName="Table120" ref="B2:L22" totalsRowShown="0">
  <autoFilter ref="B2:L22" xr:uid="{663F6C7D-2513-44AA-A477-88CA39676898}"/>
  <tableColumns count="11">
    <tableColumn id="1" xr3:uid="{0C00FB06-8D00-41ED-AFF9-7D3B7BDA88B1}" name="surfOrient"/>
    <tableColumn id="2" xr3:uid="{7C4EC78A-F1FF-439A-BE9D-A5D9A39C9BAB}" name="R(ao)"/>
    <tableColumn id="3" xr3:uid="{B8A34BD3-301C-4D76-B330-1256FA9AA22B}" name="T(K)"/>
    <tableColumn id="4" xr3:uid="{DBDFC277-2AB4-4C1C-93CC-6FACB16485C5}" name="P0"/>
    <tableColumn id="5" xr3:uid="{DA212E3A-1BE5-4AA5-BEEF-1881C8269C64}" name="Pb"/>
    <tableColumn id="6" xr3:uid="{8BB8E3E7-6DAA-48B2-BB61-1C04FF964705}" name="a_P"/>
    <tableColumn id="7" xr3:uid="{05EA32B0-345C-49B6-AAAD-2BDEDA581C67}" name="rho_0"/>
    <tableColumn id="8" xr3:uid="{014B595E-0D54-43AB-BD85-AF411696E149}" name="rho_b"/>
    <tableColumn id="9" xr3:uid="{2CC3317D-D98A-4EF9-8D6F-3C7D317D5839}" name="a_rho"/>
    <tableColumn id="10" xr3:uid="{B8F95456-B229-432B-A5BF-BA32526912A9}" name="a_rho pred" dataDxfId="1">
      <calculatedColumnFormula>$O$2*Table120[[#This Row],[R(ao)]]^($P$2)*EXP(Table120[[#This Row],[T(K)]]*$Q$2)</calculatedColumnFormula>
    </tableColumn>
    <tableColumn id="11" xr3:uid="{F0E793A3-5772-4E5E-9D0F-316B5EB458B6}" name="(res)^2" dataDxfId="0">
      <calculatedColumnFormula>(Table120[[#This Row],[a_rho pred]]-Table120[[#This Row],[a_rho]])^2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652D6F-A7C2-4759-9F4F-3D0720FA5947}" name="Table9" displayName="Table9" ref="A1:I45" totalsRowShown="0">
  <autoFilter ref="A1:I45" xr:uid="{B64C4ED9-CC06-4EAE-B578-5B17BA1D6A57}"/>
  <tableColumns count="9">
    <tableColumn id="1" xr3:uid="{1480EAFD-8E52-4D4F-B2D3-F43879F626B7}" name="surfOrient"/>
    <tableColumn id="2" xr3:uid="{73D9D3F5-1E10-4596-80F1-4D67227BB6D9}" name="R(ao)"/>
    <tableColumn id="3" xr3:uid="{83689167-003E-4BFF-B14C-06B1458DD75D}" name="T(K)"/>
    <tableColumn id="4" xr3:uid="{7CE5E9A0-EA02-47BA-B840-50F8D9F2C030}" name="P0"/>
    <tableColumn id="5" xr3:uid="{404473D6-3B02-4BBB-A2D2-B0C22748251D}" name="Pb"/>
    <tableColumn id="6" xr3:uid="{477AC4DB-A27F-4638-8866-92C93D692AB5}" name="a_P"/>
    <tableColumn id="7" xr3:uid="{4E246740-914D-49B6-8A1A-3C2B0DD3F9A3}" name="rho_0"/>
    <tableColumn id="8" xr3:uid="{229BAA95-5B29-480A-8F66-AB97F3211588}" name="rho_b"/>
    <tableColumn id="9" xr3:uid="{36AC9773-5526-4355-8109-EC1D1A3AA758}" name="a_rho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DFFF35-83A2-4258-BFBF-6B733C7F6B47}" name="Table921" displayName="Table921" ref="A2:I46" totalsRowShown="0">
  <autoFilter ref="A2:I46" xr:uid="{0884AD5C-0234-4FB0-BE1D-766A050F024A}"/>
  <tableColumns count="9">
    <tableColumn id="1" xr3:uid="{34B915EA-679F-4F8C-A55B-01A66FEA7CA6}" name="surfOrient"/>
    <tableColumn id="2" xr3:uid="{27C8DFC4-83DC-4422-B521-9315A1C15A86}" name="R(ao)"/>
    <tableColumn id="3" xr3:uid="{AAD72F98-FBB9-451B-9A85-586A0F2FB509}" name="T(K)"/>
    <tableColumn id="4" xr3:uid="{B51B0323-A6A8-4C2D-97B6-AE4BCC485C2E}" name="P0"/>
    <tableColumn id="5" xr3:uid="{84EC38D4-DF79-4E04-AA6E-EB4A15F382BA}" name="Pb"/>
    <tableColumn id="6" xr3:uid="{77419971-59F5-44D2-8F01-185222860CFC}" name="a_P"/>
    <tableColumn id="7" xr3:uid="{4CA1F228-9524-42D0-82C0-7AF360B9D269}" name="rho_0"/>
    <tableColumn id="8" xr3:uid="{84B402A4-C6FD-4DE8-B5E9-5B67AB6C465B}" name="rho_b"/>
    <tableColumn id="9" xr3:uid="{013EE406-3EA8-43BB-A35B-EA5DB3BABD32}" name="a_rh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D734CD-FF29-46FB-A179-792C168FA75A}" name="Table13" displayName="Table13" ref="A2:K46" totalsRowShown="0">
  <autoFilter ref="A2:K46" xr:uid="{22435AD3-9A46-4851-9911-B6CB50E28F1D}">
    <filterColumn colId="0">
      <filters>
        <filter val="100"/>
      </filters>
    </filterColumn>
    <filterColumn colId="2">
      <filters>
        <filter val="2500"/>
      </filters>
    </filterColumn>
  </autoFilter>
  <tableColumns count="11">
    <tableColumn id="1" xr3:uid="{A712B003-84DE-454A-991D-343182911CEC}" name="surfOrient"/>
    <tableColumn id="2" xr3:uid="{91E07B8C-C1EA-41E4-AD0F-17B548B86B3D}" name="R(ao)"/>
    <tableColumn id="3" xr3:uid="{418EA522-70D8-4D22-929C-3B334C181F7D}" name="T(K)"/>
    <tableColumn id="4" xr3:uid="{589B645D-3104-4309-ACCB-8F3DB96B7B63}" name="P0"/>
    <tableColumn id="5" xr3:uid="{1E8CC25B-D77A-40C0-B820-A71117481AF7}" name="Pb"/>
    <tableColumn id="6" xr3:uid="{35C1831C-D72C-44F8-A2FD-4E9C623685DA}" name="a_P"/>
    <tableColumn id="7" xr3:uid="{3190E28C-057A-4CE3-8983-53AB511A741F}" name="rho_0"/>
    <tableColumn id="8" xr3:uid="{4818BD68-7ADB-4157-969F-97BCD0A34786}" name="rho_b"/>
    <tableColumn id="9" xr3:uid="{48B745D0-AE2B-4AA3-A55A-69D9D36C5117}" name="a_rho"/>
    <tableColumn id="10" xr3:uid="{F83ED42B-288F-439B-8750-2619463438A0}" name="lnR" dataDxfId="32">
      <calculatedColumnFormula>LN(Table13[[#This Row],[R(ao)]])</calculatedColumnFormula>
    </tableColumn>
    <tableColumn id="11" xr3:uid="{74F69818-413D-4833-B670-673B63114989}" name="lnP0" dataDxfId="31">
      <calculatedColumnFormula>LN(Table13[[#This Row],[P0]])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53AB3F-C734-44BD-B3F7-AB38BB02FC32}" name="Table14" displayName="Table14" ref="A2:L46" totalsRowShown="0">
  <autoFilter ref="A2:L46" xr:uid="{49B1A24D-5282-4992-87EA-464EA9A0FCED}">
    <filterColumn colId="0">
      <filters>
        <filter val="110"/>
      </filters>
    </filterColumn>
    <filterColumn colId="1">
      <filters>
        <filter val="4"/>
      </filters>
    </filterColumn>
  </autoFilter>
  <tableColumns count="12">
    <tableColumn id="1" xr3:uid="{66CFF40B-33F8-45D4-BD27-8D8EF75D3681}" name="surfOrient"/>
    <tableColumn id="2" xr3:uid="{4EB2131B-12C4-4869-97C0-F5264FDE7BC8}" name="R(ao)"/>
    <tableColumn id="3" xr3:uid="{851E02E7-27EC-4693-8655-446580BF0255}" name="T(K)"/>
    <tableColumn id="4" xr3:uid="{6DD4593E-A3B1-4F38-B8A7-37526154DD89}" name="P0"/>
    <tableColumn id="5" xr3:uid="{4F1FD096-7273-48F9-A3CE-2F48C126699A}" name="Pb"/>
    <tableColumn id="6" xr3:uid="{BF5EDDD1-E1F7-421F-9434-9AA31D17E631}" name="a_P"/>
    <tableColumn id="7" xr3:uid="{89F51FAC-BFA4-448D-92D5-74080745170A}" name="rho_0"/>
    <tableColumn id="8" xr3:uid="{82FCFB6B-B285-4302-959C-A93792446517}" name="rho_b"/>
    <tableColumn id="9" xr3:uid="{0952BF03-24A4-4203-BF4B-42D3E6821338}" name="a_rho"/>
    <tableColumn id="10" xr3:uid="{D9F51D20-B207-4FF6-BD13-0C55965E3FE4}" name="lnP0" dataDxfId="30">
      <calculatedColumnFormula>LN(Table14[[#This Row],[P0]])</calculatedColumnFormula>
    </tableColumn>
    <tableColumn id="11" xr3:uid="{5381E512-3E71-437D-A27F-D6A772BBDE6C}" name="lnT" dataDxfId="29">
      <calculatedColumnFormula>LN(Table14[[#This Row],[T(K)]])</calculatedColumnFormula>
    </tableColumn>
    <tableColumn id="12" xr3:uid="{13BD5F52-A8D9-4569-9D7C-3994E84B7139}" name="1/T" dataDxfId="28">
      <calculatedColumnFormula>1/Table14[[#This Row],[T(K)]]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BF0B42-4BEC-4098-9122-306D9D54663F}" name="Table15" displayName="Table15" ref="A2:K46" totalsRowShown="0">
  <autoFilter ref="A2:K46" xr:uid="{B90D874C-CBA1-415C-83F2-510BC099931A}">
    <filterColumn colId="0">
      <filters>
        <filter val="110"/>
      </filters>
    </filterColumn>
    <filterColumn colId="2">
      <filters>
        <filter val="500"/>
      </filters>
    </filterColumn>
  </autoFilter>
  <tableColumns count="11">
    <tableColumn id="1" xr3:uid="{2E4F6B12-C15E-4BFA-81F9-21811F937677}" name="surfOrient"/>
    <tableColumn id="2" xr3:uid="{71B8F0CB-BD97-4BA1-8ED5-4D27C9164528}" name="R(ao)"/>
    <tableColumn id="3" xr3:uid="{18642BFD-35FB-4593-8026-9D6CB47C4E2A}" name="T(K)"/>
    <tableColumn id="4" xr3:uid="{AA69D9C0-DD9C-4062-BF0D-CB7B94590E05}" name="P0"/>
    <tableColumn id="5" xr3:uid="{70B1DCD6-D37D-47F2-9FDD-04E3BA38B176}" name="Pb"/>
    <tableColumn id="6" xr3:uid="{A058CF63-3A68-4F5A-B763-CF1B3A6FE4FB}" name="a_P"/>
    <tableColumn id="7" xr3:uid="{FEA5ECB0-4298-42CA-8E61-5F6918759D35}" name="rho_0"/>
    <tableColumn id="8" xr3:uid="{AF71C967-85B7-44CF-B494-C941B1D127CA}" name="rho_b"/>
    <tableColumn id="9" xr3:uid="{A964F1CE-4B5E-49AF-8095-70C10FC32F34}" name="a_rho"/>
    <tableColumn id="10" xr3:uid="{FF0A0C52-A237-451D-93D6-6B3F25CB9253}" name="lnPb" dataDxfId="27">
      <calculatedColumnFormula>LN(Table15[[#This Row],[Pb]])</calculatedColumnFormula>
    </tableColumn>
    <tableColumn id="11" xr3:uid="{BC5CCF82-D269-4792-AFA8-41B24344F8ED}" name="lnR" dataDxfId="26">
      <calculatedColumnFormula>LN(Table15[[#This Row],[R(ao)]])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172C8E-84B0-4B03-8610-4AE33F2DA0F6}" name="Table17" displayName="Table17" ref="A2:K46" totalsRowShown="0">
  <autoFilter ref="A2:K46" xr:uid="{3C89E1E5-1EC5-4E35-953C-B8295AB2CBAE}">
    <filterColumn colId="0">
      <filters>
        <filter val="100"/>
      </filters>
    </filterColumn>
    <filterColumn colId="1">
      <filters>
        <filter val="1"/>
      </filters>
    </filterColumn>
  </autoFilter>
  <tableColumns count="11">
    <tableColumn id="1" xr3:uid="{D9C1C721-687E-4E0A-98B7-FC66E7FE2BF6}" name="surfOrient"/>
    <tableColumn id="2" xr3:uid="{5F8847B9-E631-4613-9D3F-E1E0A2198E2F}" name="R(ao)"/>
    <tableColumn id="3" xr3:uid="{C232624E-CD19-48E5-B965-E35D8BD1F704}" name="T(K)"/>
    <tableColumn id="4" xr3:uid="{FEE006B2-A716-446C-9514-86A440E40092}" name="P0"/>
    <tableColumn id="5" xr3:uid="{EDE242D0-3DC5-4B85-A906-865CB9267DEC}" name="Pb"/>
    <tableColumn id="6" xr3:uid="{9E452EA3-554A-45D0-B02C-5DFFDE31AEAF}" name="a_P"/>
    <tableColumn id="7" xr3:uid="{0DBE1E08-1A56-40B6-9D51-783BEEEF09F8}" name="rho_0"/>
    <tableColumn id="8" xr3:uid="{7E9BA13B-1C21-4C05-8C0B-0E9F0DDAFDDB}" name="rho_b"/>
    <tableColumn id="9" xr3:uid="{E04F33C0-0D86-46F4-AC39-332A43C72560}" name="a_rho"/>
    <tableColumn id="10" xr3:uid="{1CA8B2EE-0314-42FB-9150-8203B52830C2}" name="lnPb" dataDxfId="25">
      <calculatedColumnFormula>LN(Table17[[#This Row],[Pb]])</calculatedColumnFormula>
    </tableColumn>
    <tableColumn id="11" xr3:uid="{66835532-7596-40C2-AF0C-910FB58AF3A6}" name="lnT" dataDxfId="24">
      <calculatedColumnFormula>LN(Table17[[#This Row],[T(K)]])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098BEC-DF96-496D-86BE-A08AF47A247B}" name="Table18" displayName="Table18" ref="A2:I46" totalsRowShown="0">
  <autoFilter ref="A2:I46" xr:uid="{4E178E66-4F14-4D9B-B404-09E264FD7080}">
    <filterColumn colId="0">
      <filters>
        <filter val="110"/>
      </filters>
    </filterColumn>
    <filterColumn colId="2">
      <filters>
        <filter val="2500"/>
      </filters>
    </filterColumn>
  </autoFilter>
  <tableColumns count="9">
    <tableColumn id="1" xr3:uid="{51AB79AF-4777-4647-B010-A25954ABC8D1}" name="surfOrient"/>
    <tableColumn id="2" xr3:uid="{CED46A81-74E9-4EFD-B961-B6D1B17D90F7}" name="R(ao)"/>
    <tableColumn id="3" xr3:uid="{61984EA4-CE50-4619-AE58-E1B6B7225657}" name="T(K)"/>
    <tableColumn id="4" xr3:uid="{C0B88611-9E3E-40ED-859C-A6569AAAB233}" name="P0"/>
    <tableColumn id="5" xr3:uid="{A5244106-2485-4D4E-82A6-8E72D2E1D477}" name="Pb"/>
    <tableColumn id="6" xr3:uid="{2B12972F-B9DC-412C-A8A4-7877ED6142DD}" name="a_P"/>
    <tableColumn id="7" xr3:uid="{D092231B-C770-4220-B8F1-AD381EA05641}" name="rho_0"/>
    <tableColumn id="8" xr3:uid="{50DDFBA7-B35D-4245-8AD3-C0A82DAFDCB1}" name="rho_b"/>
    <tableColumn id="9" xr3:uid="{26CC7A8A-E1B1-4CCA-9860-C4EDDCC4B37F}" name="a_rh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78A0F2-944E-4D4D-AD9E-1C521461DD8F}" name="Table19" displayName="Table19" ref="A2:I46" totalsRowShown="0">
  <autoFilter ref="A2:I46" xr:uid="{7E43DC0D-96E0-458F-9F98-B16E12AB5F46}">
    <filterColumn colId="0">
      <filters>
        <filter val="110"/>
      </filters>
    </filterColumn>
    <filterColumn colId="1">
      <filters>
        <filter val="2"/>
      </filters>
    </filterColumn>
  </autoFilter>
  <tableColumns count="9">
    <tableColumn id="1" xr3:uid="{5A28D6B5-0F8F-470D-B060-0D002477763D}" name="surfOrient"/>
    <tableColumn id="2" xr3:uid="{9016764A-7069-4772-AB88-E829F893C872}" name="R(ao)"/>
    <tableColumn id="3" xr3:uid="{CDEDC08B-ACAC-4E16-BEC6-1BBDA96C7491}" name="T(K)"/>
    <tableColumn id="4" xr3:uid="{534CB728-D27A-4426-8430-33C93DD9184D}" name="P0"/>
    <tableColumn id="5" xr3:uid="{9F46E80E-2AB7-4C9E-87B9-6F68A8A71728}" name="Pb"/>
    <tableColumn id="6" xr3:uid="{0C1C2B74-48C5-42A1-BD38-C50A499F2135}" name="a_P"/>
    <tableColumn id="7" xr3:uid="{EA84A6E8-F9A8-4FA4-8B03-67E54068E57F}" name="rho_0"/>
    <tableColumn id="8" xr3:uid="{84123DA4-5AD1-4EA2-AA31-2DC631FD9167}" name="rho_b"/>
    <tableColumn id="9" xr3:uid="{B7820D93-AF33-4B08-97F6-D4918C26CADD}" name="a_rh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85F076-BCC5-4F12-A795-F110670109D9}" name="Table911" displayName="Table911" ref="A2:I46" totalsRowShown="0">
  <autoFilter ref="A2:I46" xr:uid="{4307C1D4-33C0-4F5D-8924-935E2B074B2D}">
    <filterColumn colId="0">
      <filters>
        <filter val="100"/>
      </filters>
    </filterColumn>
    <filterColumn colId="2">
      <filters>
        <filter val="2500"/>
      </filters>
    </filterColumn>
  </autoFilter>
  <tableColumns count="9">
    <tableColumn id="1" xr3:uid="{1A72261F-74F3-48E3-9761-A07E97BDA80F}" name="surfOrient"/>
    <tableColumn id="2" xr3:uid="{A7BBA98D-C863-44ED-8676-713DC965B66C}" name="R(ao)"/>
    <tableColumn id="3" xr3:uid="{CCAE9DE0-97C9-4D43-957D-75DE60B35D2E}" name="T(K)"/>
    <tableColumn id="4" xr3:uid="{D58BFA27-A7F6-44CA-A3B8-AFEF32DFE66B}" name="P0"/>
    <tableColumn id="5" xr3:uid="{C588BCA1-F7F2-46D3-81CA-956B2CBFAFF0}" name="Pb"/>
    <tableColumn id="6" xr3:uid="{C79E2A5D-D439-4579-A9A4-2203714BA369}" name="a_P"/>
    <tableColumn id="7" xr3:uid="{AFE4EDAB-0E66-4BF3-BE7A-7636676B0BBD}" name="rho_0"/>
    <tableColumn id="8" xr3:uid="{D1A9B152-A1FB-413D-A234-ECEE69BE634D}" name="rho_b"/>
    <tableColumn id="9" xr3:uid="{EE5D9B09-6CDB-4981-A792-1405F57FD5E0}" name="a_rh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81B1-A2DB-4AF8-AB43-B9F7BD62F472}">
  <dimension ref="A1:I45"/>
  <sheetViews>
    <sheetView workbookViewId="0">
      <selection activeCell="F20" sqref="F20"/>
    </sheetView>
  </sheetViews>
  <sheetFormatPr defaultRowHeight="14.4" x14ac:dyDescent="0.3"/>
  <cols>
    <col min="1" max="1" width="11.33203125" style="1" customWidth="1"/>
    <col min="2" max="2" width="7.44140625" customWidth="1"/>
    <col min="3" max="4" width="6.33203125" customWidth="1"/>
    <col min="5" max="5" width="5.44140625" customWidth="1"/>
    <col min="6" max="6" width="6.33203125" customWidth="1"/>
    <col min="7" max="7" width="7.77734375" customWidth="1"/>
    <col min="8" max="8" width="7.88671875" customWidth="1"/>
    <col min="9" max="9" width="7.77734375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0</v>
      </c>
      <c r="I1" t="s">
        <v>8</v>
      </c>
    </row>
    <row r="2" spans="1:9" x14ac:dyDescent="0.3">
      <c r="A2">
        <v>100</v>
      </c>
      <c r="B2">
        <v>1</v>
      </c>
      <c r="C2">
        <v>500</v>
      </c>
      <c r="D2">
        <v>38.987904843554098</v>
      </c>
      <c r="E2">
        <v>88.051904233454493</v>
      </c>
      <c r="F2">
        <v>0.61602232172104499</v>
      </c>
      <c r="G2">
        <v>1.7805269034751501</v>
      </c>
      <c r="H2">
        <v>5.7174463924963899</v>
      </c>
      <c r="I2">
        <v>1.0588650288078501</v>
      </c>
    </row>
    <row r="3" spans="1:9" x14ac:dyDescent="0.3">
      <c r="A3">
        <v>100</v>
      </c>
      <c r="B3">
        <v>1</v>
      </c>
      <c r="C3">
        <v>1000</v>
      </c>
      <c r="D3">
        <v>36.549487136239101</v>
      </c>
      <c r="E3">
        <v>76.838578092363605</v>
      </c>
      <c r="F3">
        <v>0.90900473903045798</v>
      </c>
      <c r="G3">
        <v>1.52448359526946</v>
      </c>
      <c r="H3">
        <v>5.4619033090646703</v>
      </c>
      <c r="I3">
        <v>1.24498258477945</v>
      </c>
    </row>
    <row r="4" spans="1:9" x14ac:dyDescent="0.3">
      <c r="A4">
        <v>100</v>
      </c>
      <c r="B4">
        <v>1</v>
      </c>
      <c r="C4">
        <v>1500</v>
      </c>
      <c r="D4">
        <v>26.994950335905699</v>
      </c>
      <c r="E4">
        <v>68.538763993909001</v>
      </c>
      <c r="F4">
        <v>0.77971835079028595</v>
      </c>
      <c r="G4">
        <v>1.05270746011517</v>
      </c>
      <c r="H4">
        <v>4.9417855011150396</v>
      </c>
      <c r="I4">
        <v>1.17828101475251</v>
      </c>
    </row>
    <row r="5" spans="1:9" x14ac:dyDescent="0.3">
      <c r="A5">
        <v>100</v>
      </c>
      <c r="B5">
        <v>1</v>
      </c>
      <c r="C5">
        <v>2000</v>
      </c>
      <c r="D5">
        <v>19.553108798739299</v>
      </c>
      <c r="E5">
        <v>63.490942324909099</v>
      </c>
      <c r="F5">
        <v>0.90509577673152797</v>
      </c>
      <c r="G5">
        <v>0.78681743658388403</v>
      </c>
      <c r="H5">
        <v>4.6280308277581002</v>
      </c>
      <c r="I5">
        <v>1.44797915088444</v>
      </c>
    </row>
    <row r="6" spans="1:9" x14ac:dyDescent="0.3">
      <c r="A6">
        <v>100</v>
      </c>
      <c r="B6">
        <v>1</v>
      </c>
      <c r="C6">
        <v>2500</v>
      </c>
      <c r="D6">
        <v>13.1516507988825</v>
      </c>
      <c r="E6">
        <v>56.859420649</v>
      </c>
      <c r="F6">
        <v>1.60925803027996</v>
      </c>
      <c r="G6">
        <v>0.61247407166907097</v>
      </c>
      <c r="H6">
        <v>4.2249616822571303</v>
      </c>
      <c r="I6">
        <v>1.86439953983776</v>
      </c>
    </row>
    <row r="7" spans="1:9" x14ac:dyDescent="0.3">
      <c r="A7">
        <v>100</v>
      </c>
      <c r="B7">
        <v>2</v>
      </c>
      <c r="C7">
        <v>500</v>
      </c>
      <c r="D7">
        <v>13.3547971639351</v>
      </c>
      <c r="E7">
        <v>56.212994217575698</v>
      </c>
      <c r="F7">
        <v>1.3230710714705101</v>
      </c>
      <c r="G7">
        <v>1.4353258976085499</v>
      </c>
      <c r="H7">
        <v>4.4933293849343903</v>
      </c>
      <c r="I7">
        <v>1.4206104886524999</v>
      </c>
    </row>
    <row r="8" spans="1:9" x14ac:dyDescent="0.3">
      <c r="A8">
        <v>100</v>
      </c>
      <c r="B8">
        <v>2</v>
      </c>
      <c r="C8">
        <v>1000</v>
      </c>
      <c r="D8">
        <v>12.1156014384801</v>
      </c>
      <c r="E8">
        <v>48.526996635303</v>
      </c>
      <c r="F8">
        <v>1.59016333434984</v>
      </c>
      <c r="G8">
        <v>1.1983958301855899</v>
      </c>
      <c r="H8">
        <v>4.1407165728614199</v>
      </c>
      <c r="I8">
        <v>1.57593520260021</v>
      </c>
    </row>
    <row r="9" spans="1:9" x14ac:dyDescent="0.3">
      <c r="A9">
        <v>100</v>
      </c>
      <c r="B9">
        <v>2</v>
      </c>
      <c r="C9">
        <v>1500</v>
      </c>
      <c r="D9">
        <v>11.435813865154101</v>
      </c>
      <c r="E9">
        <v>41.5902465345454</v>
      </c>
      <c r="F9">
        <v>1.7959888232993599</v>
      </c>
      <c r="G9">
        <v>1.01640261263089</v>
      </c>
      <c r="H9">
        <v>3.73823132574043</v>
      </c>
      <c r="I9">
        <v>1.7062675113349399</v>
      </c>
    </row>
    <row r="10" spans="1:9" x14ac:dyDescent="0.3">
      <c r="A10">
        <v>100</v>
      </c>
      <c r="B10">
        <v>2</v>
      </c>
      <c r="C10">
        <v>2000</v>
      </c>
      <c r="D10">
        <v>9.5302387812026605</v>
      </c>
      <c r="E10">
        <v>36.802862126818098</v>
      </c>
      <c r="F10">
        <v>1.8207042084874001</v>
      </c>
      <c r="G10">
        <v>0.79288552264530698</v>
      </c>
      <c r="H10">
        <v>3.4606612192424602</v>
      </c>
      <c r="I10">
        <v>1.8679472767974801</v>
      </c>
    </row>
    <row r="11" spans="1:9" x14ac:dyDescent="0.3">
      <c r="A11">
        <v>100</v>
      </c>
      <c r="B11">
        <v>2</v>
      </c>
      <c r="C11">
        <v>2500</v>
      </c>
      <c r="D11">
        <v>10.013526888477299</v>
      </c>
      <c r="E11">
        <v>33.105415840303003</v>
      </c>
      <c r="F11">
        <v>2.6691951839081001</v>
      </c>
      <c r="G11">
        <v>0.70347678721266305</v>
      </c>
      <c r="H11">
        <v>3.1608122907983001</v>
      </c>
      <c r="I11">
        <v>2.4366614934508699</v>
      </c>
    </row>
    <row r="12" spans="1:9" x14ac:dyDescent="0.3">
      <c r="A12">
        <v>100</v>
      </c>
      <c r="B12">
        <v>3</v>
      </c>
      <c r="C12">
        <v>500</v>
      </c>
      <c r="D12">
        <v>7.7582738103185598</v>
      </c>
      <c r="E12">
        <v>43.6846300404545</v>
      </c>
      <c r="F12">
        <v>1.69209394815262</v>
      </c>
      <c r="G12">
        <v>1.33891259050426</v>
      </c>
      <c r="H12">
        <v>3.8549523475830001</v>
      </c>
      <c r="I12">
        <v>1.5800188454213999</v>
      </c>
    </row>
    <row r="13" spans="1:9" x14ac:dyDescent="0.3">
      <c r="A13">
        <v>100</v>
      </c>
      <c r="B13">
        <v>3</v>
      </c>
      <c r="C13">
        <v>1000</v>
      </c>
      <c r="D13">
        <v>6.57343200408088</v>
      </c>
      <c r="E13">
        <v>37.648316448333297</v>
      </c>
      <c r="F13">
        <v>1.9620784200538901</v>
      </c>
      <c r="G13">
        <v>1.0740450425230601</v>
      </c>
      <c r="H13">
        <v>3.5285528061407798</v>
      </c>
      <c r="I13">
        <v>1.75228054012568</v>
      </c>
    </row>
    <row r="14" spans="1:9" x14ac:dyDescent="0.3">
      <c r="A14">
        <v>100</v>
      </c>
      <c r="B14">
        <v>3</v>
      </c>
      <c r="C14">
        <v>1500</v>
      </c>
      <c r="D14">
        <v>4.9960232850488699</v>
      </c>
      <c r="E14">
        <v>32.414257819090899</v>
      </c>
      <c r="F14">
        <v>2.1209708774329799</v>
      </c>
      <c r="G14">
        <v>0.79689930934966602</v>
      </c>
      <c r="H14">
        <v>3.1969493628966599</v>
      </c>
      <c r="I14">
        <v>1.8557261190132299</v>
      </c>
    </row>
    <row r="15" spans="1:9" x14ac:dyDescent="0.3">
      <c r="A15">
        <v>100</v>
      </c>
      <c r="B15">
        <v>3</v>
      </c>
      <c r="C15">
        <v>2000</v>
      </c>
      <c r="D15">
        <v>2.9305364867537098</v>
      </c>
      <c r="E15">
        <v>28.558953559393899</v>
      </c>
      <c r="F15">
        <v>2.17873207546595</v>
      </c>
      <c r="G15">
        <v>0.51862118385605305</v>
      </c>
      <c r="H15">
        <v>2.9504476336276202</v>
      </c>
      <c r="I15">
        <v>1.9680218520978201</v>
      </c>
    </row>
    <row r="16" spans="1:9" x14ac:dyDescent="0.3">
      <c r="A16">
        <v>100</v>
      </c>
      <c r="B16">
        <v>3</v>
      </c>
      <c r="C16">
        <v>2500</v>
      </c>
      <c r="D16">
        <v>2.7709229587059001</v>
      </c>
      <c r="E16">
        <v>25.136572647727199</v>
      </c>
      <c r="F16">
        <v>2.5626585277727001</v>
      </c>
      <c r="G16">
        <v>0.46449383279055001</v>
      </c>
      <c r="H16">
        <v>2.69146716438381</v>
      </c>
      <c r="I16">
        <v>2.3207968657201001</v>
      </c>
    </row>
    <row r="17" spans="1:9" x14ac:dyDescent="0.3">
      <c r="A17">
        <v>100</v>
      </c>
      <c r="B17">
        <v>4</v>
      </c>
      <c r="C17">
        <v>500</v>
      </c>
      <c r="D17">
        <v>6.4722997312794099</v>
      </c>
      <c r="E17">
        <v>37.209898678787802</v>
      </c>
      <c r="F17">
        <v>2.1496440043624498</v>
      </c>
      <c r="G17">
        <v>1.39978383337849</v>
      </c>
      <c r="H17">
        <v>3.5183836489188001</v>
      </c>
      <c r="I17">
        <v>1.9070302809725299</v>
      </c>
    </row>
    <row r="18" spans="1:9" x14ac:dyDescent="0.3">
      <c r="A18">
        <v>100</v>
      </c>
      <c r="B18">
        <v>4</v>
      </c>
      <c r="C18">
        <v>1000</v>
      </c>
      <c r="D18">
        <v>4.8172790003394699</v>
      </c>
      <c r="E18">
        <v>31.911139860151501</v>
      </c>
      <c r="F18">
        <v>2.3364256688114402</v>
      </c>
      <c r="G18">
        <v>1.05070848753989</v>
      </c>
      <c r="H18">
        <v>3.2523060525854102</v>
      </c>
      <c r="I18">
        <v>2.0689651452311</v>
      </c>
    </row>
    <row r="19" spans="1:9" x14ac:dyDescent="0.3">
      <c r="A19">
        <v>100</v>
      </c>
      <c r="B19">
        <v>4</v>
      </c>
      <c r="C19">
        <v>1500</v>
      </c>
      <c r="D19">
        <v>3.3023887897462001</v>
      </c>
      <c r="E19">
        <v>27.4015136460606</v>
      </c>
      <c r="F19">
        <v>2.4922487904066601</v>
      </c>
      <c r="G19">
        <v>0.7089662863724</v>
      </c>
      <c r="H19">
        <v>2.9789941421977599</v>
      </c>
      <c r="I19">
        <v>2.1636276488749502</v>
      </c>
    </row>
    <row r="20" spans="1:9" x14ac:dyDescent="0.3">
      <c r="A20">
        <v>100</v>
      </c>
      <c r="B20">
        <v>4</v>
      </c>
      <c r="C20">
        <v>2000</v>
      </c>
      <c r="D20">
        <v>1.3450059512694701</v>
      </c>
      <c r="E20">
        <v>24.008469821060601</v>
      </c>
      <c r="F20">
        <v>2.6235122738626102</v>
      </c>
      <c r="G20">
        <v>0.348569685825595</v>
      </c>
      <c r="H20">
        <v>2.71829570073464</v>
      </c>
      <c r="I20">
        <v>2.24910715449955</v>
      </c>
    </row>
    <row r="21" spans="1:9" x14ac:dyDescent="0.3">
      <c r="A21">
        <v>100</v>
      </c>
      <c r="B21">
        <v>4</v>
      </c>
      <c r="C21">
        <v>2500</v>
      </c>
      <c r="D21">
        <v>1.3022767583499999</v>
      </c>
      <c r="E21">
        <v>21.139661948030302</v>
      </c>
      <c r="F21">
        <v>2.9820756376031898</v>
      </c>
      <c r="G21">
        <v>0.33471296296296199</v>
      </c>
      <c r="H21">
        <v>2.5102488722876002</v>
      </c>
      <c r="I21">
        <v>2.6883749253830702</v>
      </c>
    </row>
    <row r="22" spans="1:9" x14ac:dyDescent="0.3">
      <c r="A22">
        <v>100</v>
      </c>
      <c r="B22">
        <v>5</v>
      </c>
      <c r="C22">
        <v>500</v>
      </c>
      <c r="E22">
        <v>32.475539339999997</v>
      </c>
      <c r="H22">
        <v>3.2692510372910299</v>
      </c>
    </row>
    <row r="23" spans="1:9" x14ac:dyDescent="0.3">
      <c r="A23">
        <v>100</v>
      </c>
      <c r="B23">
        <v>5</v>
      </c>
      <c r="C23">
        <v>2500</v>
      </c>
      <c r="E23">
        <v>18.448552741111101</v>
      </c>
      <c r="H23">
        <v>2.3282538582025598</v>
      </c>
    </row>
    <row r="24" spans="1:9" x14ac:dyDescent="0.3">
      <c r="A24">
        <v>100</v>
      </c>
      <c r="B24">
        <v>6</v>
      </c>
      <c r="C24">
        <v>500</v>
      </c>
      <c r="E24">
        <v>27.079947847777699</v>
      </c>
      <c r="H24">
        <v>2.9615035911824501</v>
      </c>
    </row>
    <row r="25" spans="1:9" x14ac:dyDescent="0.3">
      <c r="A25">
        <v>100</v>
      </c>
      <c r="B25">
        <v>6</v>
      </c>
      <c r="C25">
        <v>2500</v>
      </c>
      <c r="E25">
        <v>16.522505253888799</v>
      </c>
      <c r="H25">
        <v>2.1977976354319599</v>
      </c>
    </row>
    <row r="26" spans="1:9" x14ac:dyDescent="0.3">
      <c r="A26">
        <v>110</v>
      </c>
      <c r="B26">
        <v>1</v>
      </c>
      <c r="C26">
        <v>500</v>
      </c>
      <c r="D26">
        <v>57.282114061772397</v>
      </c>
      <c r="E26">
        <v>86.600729920272698</v>
      </c>
      <c r="F26">
        <v>1.0312647741452401</v>
      </c>
      <c r="G26">
        <v>2.5886822361941402</v>
      </c>
      <c r="H26">
        <v>5.83584206677161</v>
      </c>
      <c r="I26">
        <v>1.7439489115946001</v>
      </c>
    </row>
    <row r="27" spans="1:9" x14ac:dyDescent="0.3">
      <c r="A27">
        <v>110</v>
      </c>
      <c r="B27">
        <v>1</v>
      </c>
      <c r="C27">
        <v>1000</v>
      </c>
      <c r="D27">
        <v>37.486742154701602</v>
      </c>
      <c r="E27">
        <v>77.167960525181797</v>
      </c>
      <c r="F27">
        <v>0.73926540807119001</v>
      </c>
      <c r="G27">
        <v>1.6681911472192399</v>
      </c>
      <c r="H27">
        <v>5.4113362160566698</v>
      </c>
      <c r="I27">
        <v>1.27635381978995</v>
      </c>
    </row>
    <row r="28" spans="1:9" x14ac:dyDescent="0.3">
      <c r="A28">
        <v>110</v>
      </c>
      <c r="B28">
        <v>1</v>
      </c>
      <c r="C28">
        <v>1500</v>
      </c>
      <c r="D28">
        <v>29.761861465604099</v>
      </c>
      <c r="E28">
        <v>69.371188460090906</v>
      </c>
      <c r="F28">
        <v>0.79821700722667299</v>
      </c>
      <c r="G28">
        <v>1.29195428868517</v>
      </c>
      <c r="H28">
        <v>5.0469736422668197</v>
      </c>
      <c r="I28">
        <v>1.1870163692771201</v>
      </c>
    </row>
    <row r="29" spans="1:9" x14ac:dyDescent="0.3">
      <c r="A29">
        <v>110</v>
      </c>
      <c r="B29">
        <v>1</v>
      </c>
      <c r="C29">
        <v>2000</v>
      </c>
      <c r="D29">
        <v>25.361730066887599</v>
      </c>
      <c r="E29">
        <v>63.423271751727199</v>
      </c>
      <c r="F29">
        <v>0.83943070478818405</v>
      </c>
      <c r="G29">
        <v>1.05080714795866</v>
      </c>
      <c r="H29">
        <v>4.6836377508854703</v>
      </c>
      <c r="I29">
        <v>1.2559956537835</v>
      </c>
    </row>
    <row r="30" spans="1:9" x14ac:dyDescent="0.3">
      <c r="A30">
        <v>110</v>
      </c>
      <c r="B30">
        <v>1</v>
      </c>
      <c r="C30">
        <v>2500</v>
      </c>
      <c r="D30">
        <v>21.835551091972899</v>
      </c>
      <c r="E30">
        <v>57.584859685181797</v>
      </c>
      <c r="F30">
        <v>1.01519197215941</v>
      </c>
      <c r="G30">
        <v>1.0006699945887401</v>
      </c>
      <c r="H30">
        <v>4.23501931654204</v>
      </c>
      <c r="I30">
        <v>1.35253992325525</v>
      </c>
    </row>
    <row r="31" spans="1:9" x14ac:dyDescent="0.3">
      <c r="A31">
        <v>110</v>
      </c>
      <c r="B31">
        <v>2</v>
      </c>
      <c r="C31">
        <v>500</v>
      </c>
      <c r="D31">
        <v>25.206654469418599</v>
      </c>
      <c r="E31">
        <v>56.245464272727197</v>
      </c>
      <c r="F31">
        <v>1.7590441166728701</v>
      </c>
      <c r="G31">
        <v>2.1167485383282001</v>
      </c>
      <c r="H31">
        <v>4.5018395086386596</v>
      </c>
      <c r="I31">
        <v>1.99997147662459</v>
      </c>
    </row>
    <row r="32" spans="1:9" x14ac:dyDescent="0.3">
      <c r="A32">
        <v>110</v>
      </c>
      <c r="B32">
        <v>2</v>
      </c>
      <c r="C32">
        <v>1000</v>
      </c>
      <c r="D32">
        <v>19.8142490225679</v>
      </c>
      <c r="E32">
        <v>48.242304509696901</v>
      </c>
      <c r="F32">
        <v>1.71642862674407</v>
      </c>
      <c r="G32">
        <v>1.7719903046463199</v>
      </c>
      <c r="H32">
        <v>4.0859314651361798</v>
      </c>
      <c r="I32">
        <v>1.8463729498725401</v>
      </c>
    </row>
    <row r="33" spans="1:9" x14ac:dyDescent="0.3">
      <c r="A33">
        <v>110</v>
      </c>
      <c r="B33">
        <v>2</v>
      </c>
      <c r="C33">
        <v>1500</v>
      </c>
      <c r="D33">
        <v>14.237183619633299</v>
      </c>
      <c r="E33">
        <v>41.639288495606003</v>
      </c>
      <c r="F33">
        <v>1.34673078210956</v>
      </c>
      <c r="G33">
        <v>1.2277035528868701</v>
      </c>
      <c r="H33">
        <v>3.7475995846554802</v>
      </c>
      <c r="I33">
        <v>1.42916325231605</v>
      </c>
    </row>
    <row r="34" spans="1:9" x14ac:dyDescent="0.3">
      <c r="A34">
        <v>110</v>
      </c>
      <c r="B34">
        <v>2</v>
      </c>
      <c r="C34">
        <v>2000</v>
      </c>
      <c r="D34">
        <v>13.908604489889999</v>
      </c>
      <c r="E34">
        <v>36.8278655477272</v>
      </c>
      <c r="F34">
        <v>1.8654282014749799</v>
      </c>
      <c r="G34">
        <v>0.97630376102077798</v>
      </c>
      <c r="H34">
        <v>3.4399342176330201</v>
      </c>
      <c r="I34">
        <v>1.7345285214649</v>
      </c>
    </row>
    <row r="35" spans="1:9" x14ac:dyDescent="0.3">
      <c r="A35">
        <v>110</v>
      </c>
      <c r="B35">
        <v>2</v>
      </c>
      <c r="C35">
        <v>2500</v>
      </c>
      <c r="D35">
        <v>11.400694755451401</v>
      </c>
      <c r="E35">
        <v>32.920906616969603</v>
      </c>
      <c r="F35">
        <v>1.82191980185842</v>
      </c>
      <c r="G35">
        <v>0.73595834237968005</v>
      </c>
      <c r="H35">
        <v>3.1161673525534099</v>
      </c>
      <c r="I35">
        <v>1.7257716809789001</v>
      </c>
    </row>
    <row r="36" spans="1:9" x14ac:dyDescent="0.3">
      <c r="A36">
        <v>110</v>
      </c>
      <c r="B36">
        <v>3</v>
      </c>
      <c r="C36">
        <v>500</v>
      </c>
      <c r="D36">
        <v>15.680837448358799</v>
      </c>
      <c r="E36">
        <v>43.764438158939399</v>
      </c>
      <c r="F36">
        <v>2.1771258157546902</v>
      </c>
      <c r="G36">
        <v>1.98065622473133</v>
      </c>
      <c r="H36">
        <v>3.8643627782451899</v>
      </c>
      <c r="I36">
        <v>2.3749907745095098</v>
      </c>
    </row>
    <row r="37" spans="1:9" x14ac:dyDescent="0.3">
      <c r="A37">
        <v>110</v>
      </c>
      <c r="B37">
        <v>3</v>
      </c>
      <c r="C37">
        <v>1000</v>
      </c>
      <c r="D37">
        <v>11.5141612395254</v>
      </c>
      <c r="E37">
        <v>37.7315105795454</v>
      </c>
      <c r="F37">
        <v>2.0887724737230799</v>
      </c>
      <c r="G37">
        <v>1.5671124781375301</v>
      </c>
      <c r="H37">
        <v>3.5275192877459798</v>
      </c>
      <c r="I37">
        <v>2.0904653787392502</v>
      </c>
    </row>
    <row r="38" spans="1:9" x14ac:dyDescent="0.3">
      <c r="A38">
        <v>110</v>
      </c>
      <c r="B38">
        <v>3</v>
      </c>
      <c r="C38">
        <v>1500</v>
      </c>
      <c r="D38">
        <v>7.0103726034851501</v>
      </c>
      <c r="E38">
        <v>32.583728399848397</v>
      </c>
      <c r="F38">
        <v>1.8031873212866101</v>
      </c>
      <c r="G38">
        <v>1.03946478552786</v>
      </c>
      <c r="H38">
        <v>3.2084982031034102</v>
      </c>
      <c r="I38">
        <v>1.6084584716921499</v>
      </c>
    </row>
    <row r="39" spans="1:9" x14ac:dyDescent="0.3">
      <c r="A39">
        <v>110</v>
      </c>
      <c r="B39">
        <v>3</v>
      </c>
      <c r="C39">
        <v>2000</v>
      </c>
      <c r="D39">
        <v>8.0664703720160293</v>
      </c>
      <c r="E39">
        <v>28.682397553787801</v>
      </c>
      <c r="F39">
        <v>2.1857902579310799</v>
      </c>
      <c r="G39">
        <v>0.98087451540237203</v>
      </c>
      <c r="H39">
        <v>2.9467332525354601</v>
      </c>
      <c r="I39">
        <v>1.85597030853824</v>
      </c>
    </row>
    <row r="40" spans="1:9" x14ac:dyDescent="0.3">
      <c r="A40">
        <v>110</v>
      </c>
      <c r="B40">
        <v>3</v>
      </c>
      <c r="C40">
        <v>2500</v>
      </c>
      <c r="D40">
        <v>6.3015760126496199</v>
      </c>
      <c r="E40">
        <v>25.507203677575699</v>
      </c>
      <c r="F40">
        <v>2.4420614425269198</v>
      </c>
      <c r="G40">
        <v>0.69350996440117196</v>
      </c>
      <c r="H40">
        <v>2.7148923891940502</v>
      </c>
      <c r="I40">
        <v>2.1630238105382098</v>
      </c>
    </row>
    <row r="41" spans="1:9" x14ac:dyDescent="0.3">
      <c r="A41">
        <v>110</v>
      </c>
      <c r="B41">
        <v>4</v>
      </c>
      <c r="C41">
        <v>500</v>
      </c>
      <c r="D41">
        <v>8.6403234385068099</v>
      </c>
      <c r="E41">
        <v>37.295747593939303</v>
      </c>
      <c r="F41">
        <v>2.2307611496558502</v>
      </c>
      <c r="G41">
        <v>1.4522039845741801</v>
      </c>
      <c r="H41">
        <v>3.5143489769496701</v>
      </c>
      <c r="I41">
        <v>1.8703239363325299</v>
      </c>
    </row>
    <row r="42" spans="1:9" x14ac:dyDescent="0.3">
      <c r="A42">
        <v>110</v>
      </c>
      <c r="B42">
        <v>4</v>
      </c>
      <c r="C42">
        <v>1000</v>
      </c>
      <c r="D42">
        <v>7.4863922622541601</v>
      </c>
      <c r="E42">
        <v>32.045970122575703</v>
      </c>
      <c r="F42">
        <v>2.3494714868673099</v>
      </c>
      <c r="G42">
        <v>1.3376697832860101</v>
      </c>
      <c r="H42">
        <v>3.24130686371111</v>
      </c>
      <c r="I42">
        <v>2.1644097021986601</v>
      </c>
    </row>
    <row r="43" spans="1:9" x14ac:dyDescent="0.3">
      <c r="A43">
        <v>110</v>
      </c>
      <c r="B43">
        <v>4</v>
      </c>
      <c r="C43">
        <v>1500</v>
      </c>
      <c r="D43">
        <v>5.3881873237563402</v>
      </c>
      <c r="E43">
        <v>27.6151055918181</v>
      </c>
      <c r="F43">
        <v>2.31390130435652</v>
      </c>
      <c r="G43">
        <v>0.99311152509896905</v>
      </c>
      <c r="H43">
        <v>2.9749875643070598</v>
      </c>
      <c r="I43">
        <v>2.0130874146964302</v>
      </c>
    </row>
    <row r="44" spans="1:9" x14ac:dyDescent="0.3">
      <c r="A44">
        <v>110</v>
      </c>
      <c r="B44">
        <v>4</v>
      </c>
      <c r="C44">
        <v>2000</v>
      </c>
      <c r="D44">
        <v>4.4819066287711804</v>
      </c>
      <c r="E44">
        <v>24.284387221666599</v>
      </c>
      <c r="F44">
        <v>2.5066143811223598</v>
      </c>
      <c r="G44">
        <v>0.79638290010602197</v>
      </c>
      <c r="H44">
        <v>2.7267401132220899</v>
      </c>
      <c r="I44">
        <v>2.2240596970790301</v>
      </c>
    </row>
    <row r="45" spans="1:9" x14ac:dyDescent="0.3">
      <c r="A45">
        <v>110</v>
      </c>
      <c r="B45">
        <v>4</v>
      </c>
      <c r="C45">
        <v>2500</v>
      </c>
      <c r="D45">
        <v>3.84190099003421</v>
      </c>
      <c r="E45">
        <v>21.5010230271212</v>
      </c>
      <c r="F45">
        <v>2.6940043156601399</v>
      </c>
      <c r="G45">
        <v>0.62146177945828096</v>
      </c>
      <c r="H45">
        <v>2.5151068939545098</v>
      </c>
      <c r="I45">
        <v>2.4262134399034898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1EA2-1471-4A51-B533-F8D9DF0BFDAB}">
  <dimension ref="A1:I46"/>
  <sheetViews>
    <sheetView workbookViewId="0">
      <selection activeCell="J1" sqref="J1"/>
    </sheetView>
  </sheetViews>
  <sheetFormatPr defaultRowHeight="14.4" x14ac:dyDescent="0.3"/>
  <sheetData>
    <row r="1" spans="1:9" ht="285" customHeight="1" x14ac:dyDescent="0.3"/>
    <row r="2" spans="1:9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</row>
    <row r="3" spans="1:9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</row>
    <row r="4" spans="1:9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</row>
    <row r="5" spans="1:9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</row>
    <row r="6" spans="1:9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</row>
    <row r="7" spans="1:9" hidden="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</row>
    <row r="8" spans="1:9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</row>
    <row r="9" spans="1:9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</row>
    <row r="10" spans="1:9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</row>
    <row r="11" spans="1:9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</row>
    <row r="12" spans="1:9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</row>
    <row r="13" spans="1:9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</row>
    <row r="14" spans="1:9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</row>
    <row r="15" spans="1:9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</row>
    <row r="16" spans="1:9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</row>
    <row r="17" spans="1:9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</row>
    <row r="18" spans="1:9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</row>
    <row r="19" spans="1:9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</row>
    <row r="20" spans="1:9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</row>
    <row r="21" spans="1:9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</row>
    <row r="22" spans="1:9" hidden="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</row>
    <row r="23" spans="1:9" hidden="1" x14ac:dyDescent="0.3">
      <c r="A23">
        <v>100</v>
      </c>
      <c r="B23">
        <v>5</v>
      </c>
      <c r="C23">
        <v>500</v>
      </c>
      <c r="E23">
        <v>32.475539339999997</v>
      </c>
      <c r="H23">
        <v>3.2692510372910299</v>
      </c>
    </row>
    <row r="24" spans="1:9" hidden="1" x14ac:dyDescent="0.3">
      <c r="A24">
        <v>100</v>
      </c>
      <c r="B24">
        <v>5</v>
      </c>
      <c r="C24">
        <v>2500</v>
      </c>
      <c r="E24">
        <v>18.448552741111101</v>
      </c>
      <c r="H24">
        <v>2.3282538582025598</v>
      </c>
    </row>
    <row r="25" spans="1:9" hidden="1" x14ac:dyDescent="0.3">
      <c r="A25">
        <v>100</v>
      </c>
      <c r="B25">
        <v>6</v>
      </c>
      <c r="C25">
        <v>500</v>
      </c>
      <c r="E25">
        <v>27.079947847777699</v>
      </c>
      <c r="H25">
        <v>2.9615035911824501</v>
      </c>
    </row>
    <row r="26" spans="1:9" hidden="1" x14ac:dyDescent="0.3">
      <c r="A26">
        <v>100</v>
      </c>
      <c r="B26">
        <v>6</v>
      </c>
      <c r="C26">
        <v>2500</v>
      </c>
      <c r="E26">
        <v>16.522505253888799</v>
      </c>
      <c r="H26">
        <v>2.1977976354319599</v>
      </c>
    </row>
    <row r="27" spans="1:9" hidden="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1.0312647741452401</v>
      </c>
      <c r="G27">
        <v>2.5886822361941402</v>
      </c>
      <c r="H27">
        <v>5.83584206677161</v>
      </c>
      <c r="I27">
        <v>1.7439489115946001</v>
      </c>
    </row>
    <row r="28" spans="1:9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0.73926540807119001</v>
      </c>
      <c r="G28">
        <v>1.6681911472192399</v>
      </c>
      <c r="H28">
        <v>5.4113362160566698</v>
      </c>
      <c r="I28">
        <v>1.27635381978995</v>
      </c>
    </row>
    <row r="29" spans="1:9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0.79821700722667299</v>
      </c>
      <c r="G29">
        <v>1.29195428868517</v>
      </c>
      <c r="H29">
        <v>5.0469736422668197</v>
      </c>
      <c r="I29">
        <v>1.1870163692771201</v>
      </c>
    </row>
    <row r="30" spans="1:9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0.83943070478818405</v>
      </c>
      <c r="G30">
        <v>1.05080714795866</v>
      </c>
      <c r="H30">
        <v>4.6836377508854703</v>
      </c>
      <c r="I30">
        <v>1.2559956537835</v>
      </c>
    </row>
    <row r="31" spans="1:9" hidden="1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1.01519197215941</v>
      </c>
      <c r="G31">
        <v>1.0006699945887401</v>
      </c>
      <c r="H31">
        <v>4.23501931654204</v>
      </c>
      <c r="I31">
        <v>1.35253992325525</v>
      </c>
    </row>
    <row r="32" spans="1:9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1.7590441166728701</v>
      </c>
      <c r="G32">
        <v>2.1167485383282001</v>
      </c>
      <c r="H32">
        <v>4.5018395086386596</v>
      </c>
      <c r="I32">
        <v>1.99997147662459</v>
      </c>
    </row>
    <row r="33" spans="1:9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1.71642862674407</v>
      </c>
      <c r="G33">
        <v>1.7719903046463199</v>
      </c>
      <c r="H33">
        <v>4.0859314651361798</v>
      </c>
      <c r="I33">
        <v>1.8463729498725401</v>
      </c>
    </row>
    <row r="34" spans="1:9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1.34673078210956</v>
      </c>
      <c r="G34">
        <v>1.2277035528868701</v>
      </c>
      <c r="H34">
        <v>3.7475995846554802</v>
      </c>
      <c r="I34">
        <v>1.42916325231605</v>
      </c>
    </row>
    <row r="35" spans="1:9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1.8654282014749799</v>
      </c>
      <c r="G35">
        <v>0.97630376102077798</v>
      </c>
      <c r="H35">
        <v>3.4399342176330201</v>
      </c>
      <c r="I35">
        <v>1.7345285214649</v>
      </c>
    </row>
    <row r="36" spans="1:9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1.82191980185842</v>
      </c>
      <c r="G36">
        <v>0.73595834237968005</v>
      </c>
      <c r="H36">
        <v>3.1161673525534099</v>
      </c>
      <c r="I36">
        <v>1.7257716809789001</v>
      </c>
    </row>
    <row r="37" spans="1:9" hidden="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2.1771258157546902</v>
      </c>
      <c r="G37">
        <v>1.98065622473133</v>
      </c>
      <c r="H37">
        <v>3.8643627782451899</v>
      </c>
      <c r="I37">
        <v>2.3749907745095098</v>
      </c>
    </row>
    <row r="38" spans="1:9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2.0887724737230799</v>
      </c>
      <c r="G38">
        <v>1.5671124781375301</v>
      </c>
      <c r="H38">
        <v>3.5275192877459798</v>
      </c>
      <c r="I38">
        <v>2.0904653787392502</v>
      </c>
    </row>
    <row r="39" spans="1:9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1.8031873212866101</v>
      </c>
      <c r="G39">
        <v>1.03946478552786</v>
      </c>
      <c r="H39">
        <v>3.2084982031034102</v>
      </c>
      <c r="I39">
        <v>1.6084584716921499</v>
      </c>
    </row>
    <row r="40" spans="1:9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2.1857902579310799</v>
      </c>
      <c r="G40">
        <v>0.98087451540237203</v>
      </c>
      <c r="H40">
        <v>2.9467332525354601</v>
      </c>
      <c r="I40">
        <v>1.85597030853824</v>
      </c>
    </row>
    <row r="41" spans="1:9" hidden="1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2.4420614425269198</v>
      </c>
      <c r="G41">
        <v>0.69350996440117196</v>
      </c>
      <c r="H41">
        <v>2.7148923891940502</v>
      </c>
      <c r="I41">
        <v>2.1630238105382098</v>
      </c>
    </row>
    <row r="42" spans="1:9" hidden="1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2.2307611496558502</v>
      </c>
      <c r="G42">
        <v>1.4522039845741801</v>
      </c>
      <c r="H42">
        <v>3.5143489769496701</v>
      </c>
      <c r="I42">
        <v>1.8703239363325299</v>
      </c>
    </row>
    <row r="43" spans="1:9" hidden="1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2.3494714868673099</v>
      </c>
      <c r="G43">
        <v>1.3376697832860101</v>
      </c>
      <c r="H43">
        <v>3.24130686371111</v>
      </c>
      <c r="I43">
        <v>2.1644097021986601</v>
      </c>
    </row>
    <row r="44" spans="1:9" hidden="1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2.31390130435652</v>
      </c>
      <c r="G44">
        <v>0.99311152509896905</v>
      </c>
      <c r="H44">
        <v>2.9749875643070598</v>
      </c>
      <c r="I44">
        <v>2.0130874146964302</v>
      </c>
    </row>
    <row r="45" spans="1:9" hidden="1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2.5066143811223598</v>
      </c>
      <c r="G45">
        <v>0.79638290010602197</v>
      </c>
      <c r="H45">
        <v>2.7267401132220899</v>
      </c>
      <c r="I45">
        <v>2.2240596970790301</v>
      </c>
    </row>
    <row r="46" spans="1:9" hidden="1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2.6940043156601399</v>
      </c>
      <c r="G46">
        <v>0.62146177945828096</v>
      </c>
      <c r="H46">
        <v>2.5151068939545098</v>
      </c>
      <c r="I46">
        <v>2.4262134399034898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956B-B9F2-4414-877D-6F438786FB62}">
  <dimension ref="A1:AJ23"/>
  <sheetViews>
    <sheetView workbookViewId="0">
      <selection activeCell="Q3" sqref="Q3"/>
    </sheetView>
  </sheetViews>
  <sheetFormatPr defaultRowHeight="14.4" x14ac:dyDescent="0.3"/>
  <cols>
    <col min="1" max="1" width="29.44140625" customWidth="1"/>
    <col min="12" max="12" width="9.88671875" customWidth="1"/>
    <col min="31" max="31" width="9.5546875" customWidth="1"/>
  </cols>
  <sheetData>
    <row r="1" spans="1:36" x14ac:dyDescent="0.3">
      <c r="H1" s="1" t="s">
        <v>21</v>
      </c>
      <c r="AA1" s="1" t="s">
        <v>23</v>
      </c>
    </row>
    <row r="2" spans="1:36" x14ac:dyDescent="0.3">
      <c r="O2" t="s">
        <v>11</v>
      </c>
      <c r="P2" t="s">
        <v>12</v>
      </c>
      <c r="Q2" t="s">
        <v>13</v>
      </c>
      <c r="AH2" t="s">
        <v>11</v>
      </c>
      <c r="AI2" t="s">
        <v>12</v>
      </c>
      <c r="AJ2" t="s">
        <v>13</v>
      </c>
    </row>
    <row r="3" spans="1:36" x14ac:dyDescent="0.3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1</v>
      </c>
      <c r="I3" s="3" t="s">
        <v>0</v>
      </c>
      <c r="J3" s="4" t="s">
        <v>8</v>
      </c>
      <c r="K3" s="11" t="s">
        <v>33</v>
      </c>
      <c r="L3" s="11" t="s">
        <v>34</v>
      </c>
      <c r="M3" s="11" t="s">
        <v>16</v>
      </c>
      <c r="N3" s="11" t="s">
        <v>17</v>
      </c>
      <c r="O3">
        <v>0.14980405927901425</v>
      </c>
      <c r="P3">
        <v>0.27690251777610242</v>
      </c>
      <c r="Q3">
        <v>0.59952888157283013</v>
      </c>
      <c r="U3" s="2" t="s">
        <v>2</v>
      </c>
      <c r="V3" s="3" t="s">
        <v>3</v>
      </c>
      <c r="W3" s="3" t="s">
        <v>4</v>
      </c>
      <c r="X3" s="3" t="s">
        <v>5</v>
      </c>
      <c r="Y3" s="3" t="s">
        <v>6</v>
      </c>
      <c r="Z3" s="3" t="s">
        <v>7</v>
      </c>
      <c r="AA3" s="3" t="s">
        <v>1</v>
      </c>
      <c r="AB3" s="3" t="s">
        <v>0</v>
      </c>
      <c r="AC3" s="4" t="s">
        <v>8</v>
      </c>
      <c r="AD3" s="11" t="s">
        <v>33</v>
      </c>
      <c r="AE3" s="11" t="s">
        <v>34</v>
      </c>
      <c r="AF3" s="11" t="s">
        <v>16</v>
      </c>
      <c r="AG3" s="11" t="s">
        <v>17</v>
      </c>
      <c r="AH3">
        <v>0.64485919591370189</v>
      </c>
      <c r="AI3">
        <v>6.1593011663060616E-2</v>
      </c>
      <c r="AJ3">
        <v>0.65904144001720621</v>
      </c>
    </row>
    <row r="4" spans="1:36" x14ac:dyDescent="0.3">
      <c r="B4" s="5">
        <v>100</v>
      </c>
      <c r="C4" s="6">
        <v>1</v>
      </c>
      <c r="D4" s="6">
        <v>500</v>
      </c>
      <c r="E4" s="6">
        <v>38.987904843554098</v>
      </c>
      <c r="F4" s="6">
        <v>88.051904233454493</v>
      </c>
      <c r="G4" s="6">
        <v>0.61602232172104499</v>
      </c>
      <c r="H4" s="6">
        <v>1.7805269034751501</v>
      </c>
      <c r="I4" s="6">
        <v>5.7174463924963899</v>
      </c>
      <c r="J4" s="7">
        <v>1.0588650288078501</v>
      </c>
      <c r="K4">
        <f>$O$3*D4^($P$3)*C4^($Q$3)</f>
        <v>0.83728858679225326</v>
      </c>
      <c r="L4">
        <f>(K4-G4)^2</f>
        <v>4.8958760058562208E-2</v>
      </c>
      <c r="M4">
        <f>SUM(L4:L23)</f>
        <v>1.0240779758125342</v>
      </c>
      <c r="N4">
        <f>RSQ(K4:K23,G4:G23)</f>
        <v>0.88547567525862203</v>
      </c>
      <c r="U4" s="5">
        <v>110</v>
      </c>
      <c r="V4" s="6">
        <v>1</v>
      </c>
      <c r="W4" s="6">
        <v>500</v>
      </c>
      <c r="X4" s="6">
        <v>57.282114061772397</v>
      </c>
      <c r="Y4" s="6">
        <v>86.600729920272698</v>
      </c>
      <c r="Z4" s="6">
        <v>1.0312647741452401</v>
      </c>
      <c r="AA4" s="6">
        <v>2.5886822361941402</v>
      </c>
      <c r="AB4" s="6">
        <v>5.83584206677161</v>
      </c>
      <c r="AC4" s="7">
        <v>1.7439489115946001</v>
      </c>
      <c r="AD4">
        <f>$AH$3*W4^($AI$3)*V4^($AJ$3)</f>
        <v>0.94558938521855784</v>
      </c>
      <c r="AE4">
        <f>(AD4-Z4)^2</f>
        <v>7.3402722677382674E-3</v>
      </c>
      <c r="AF4">
        <f>SUM(AE4:AE23)</f>
        <v>0.70295153503239372</v>
      </c>
      <c r="AG4">
        <f>RSQ(AD4:AD23,Z4:Z23)</f>
        <v>0.90434067531893125</v>
      </c>
    </row>
    <row r="5" spans="1:36" x14ac:dyDescent="0.3">
      <c r="B5" s="8">
        <v>100</v>
      </c>
      <c r="C5" s="9">
        <v>1</v>
      </c>
      <c r="D5" s="9">
        <v>1000</v>
      </c>
      <c r="E5" s="9">
        <v>36.549487136239101</v>
      </c>
      <c r="F5" s="9">
        <v>76.838578092363605</v>
      </c>
      <c r="G5" s="9">
        <v>0.90900473903045798</v>
      </c>
      <c r="H5" s="9">
        <v>1.52448359526946</v>
      </c>
      <c r="I5" s="9">
        <v>5.4619033090646703</v>
      </c>
      <c r="J5" s="10">
        <v>1.24498258477945</v>
      </c>
      <c r="K5">
        <f t="shared" ref="K5:K23" si="0">$O$3*D5^($P$3)*C5^($Q$3)</f>
        <v>1.0144511412051369</v>
      </c>
      <c r="L5">
        <f t="shared" ref="L5:L23" si="1">(K5-G5)^2</f>
        <v>1.1118943731584134E-2</v>
      </c>
      <c r="U5" s="8">
        <v>110</v>
      </c>
      <c r="V5" s="9">
        <v>1</v>
      </c>
      <c r="W5" s="9">
        <v>1000</v>
      </c>
      <c r="X5" s="9">
        <v>37.486742154701602</v>
      </c>
      <c r="Y5" s="9">
        <v>77.167960525181797</v>
      </c>
      <c r="Z5" s="9">
        <v>0.73926540807119001</v>
      </c>
      <c r="AA5" s="9">
        <v>1.6681911472192399</v>
      </c>
      <c r="AB5" s="9">
        <v>5.4113362160566698</v>
      </c>
      <c r="AC5" s="10">
        <v>1.27635381978995</v>
      </c>
      <c r="AD5">
        <f t="shared" ref="AD5:AD23" si="2">$AH$3*W5^($AI$3)*V5^($AJ$3)</f>
        <v>0.98683360985972879</v>
      </c>
      <c r="AE5">
        <f t="shared" ref="AE5:AE23" si="3">(AD5-Z5)^2</f>
        <v>6.1290014536810655E-2</v>
      </c>
    </row>
    <row r="6" spans="1:36" x14ac:dyDescent="0.3">
      <c r="B6" s="5">
        <v>100</v>
      </c>
      <c r="C6" s="6">
        <v>1</v>
      </c>
      <c r="D6" s="6">
        <v>1500</v>
      </c>
      <c r="E6" s="6">
        <v>26.994950335905699</v>
      </c>
      <c r="F6" s="6">
        <v>68.538763993909001</v>
      </c>
      <c r="G6" s="6">
        <v>0.77971835079028595</v>
      </c>
      <c r="H6" s="6">
        <v>1.05270746011517</v>
      </c>
      <c r="I6" s="6">
        <v>4.9417855011150396</v>
      </c>
      <c r="J6" s="7">
        <v>1.17828101475251</v>
      </c>
      <c r="K6">
        <f t="shared" si="0"/>
        <v>1.1349879429908758</v>
      </c>
      <c r="L6">
        <f t="shared" si="1"/>
        <v>0.12621648314237341</v>
      </c>
      <c r="U6" s="5">
        <v>110</v>
      </c>
      <c r="V6" s="6">
        <v>1</v>
      </c>
      <c r="W6" s="6">
        <v>1500</v>
      </c>
      <c r="X6" s="6">
        <v>29.761861465604099</v>
      </c>
      <c r="Y6" s="6">
        <v>69.371188460090906</v>
      </c>
      <c r="Z6" s="6">
        <v>0.79821700722667299</v>
      </c>
      <c r="AA6" s="6">
        <v>1.29195428868517</v>
      </c>
      <c r="AB6" s="6">
        <v>5.0469736422668197</v>
      </c>
      <c r="AC6" s="7">
        <v>1.1870163692771201</v>
      </c>
      <c r="AD6">
        <f t="shared" si="2"/>
        <v>1.0117889297487566</v>
      </c>
      <c r="AE6">
        <f t="shared" si="3"/>
        <v>4.561296608977887E-2</v>
      </c>
    </row>
    <row r="7" spans="1:36" x14ac:dyDescent="0.3">
      <c r="B7" s="8">
        <v>100</v>
      </c>
      <c r="C7" s="9">
        <v>1</v>
      </c>
      <c r="D7" s="9">
        <v>2000</v>
      </c>
      <c r="E7" s="9">
        <v>19.553108798739299</v>
      </c>
      <c r="F7" s="9">
        <v>63.490942324909099</v>
      </c>
      <c r="G7" s="9">
        <v>0.90509577673152797</v>
      </c>
      <c r="H7" s="9">
        <v>0.78681743658388403</v>
      </c>
      <c r="I7" s="9">
        <v>4.6280308277581002</v>
      </c>
      <c r="J7" s="10">
        <v>1.44797915088444</v>
      </c>
      <c r="K7">
        <f t="shared" si="0"/>
        <v>1.2290996606499138</v>
      </c>
      <c r="L7">
        <f t="shared" si="1"/>
        <v>0.10497851679419885</v>
      </c>
      <c r="U7" s="8">
        <v>110</v>
      </c>
      <c r="V7" s="9">
        <v>1</v>
      </c>
      <c r="W7" s="9">
        <v>2000</v>
      </c>
      <c r="X7" s="9">
        <v>25.361730066887599</v>
      </c>
      <c r="Y7" s="9">
        <v>63.423271751727199</v>
      </c>
      <c r="Z7" s="9">
        <v>0.83943070478818405</v>
      </c>
      <c r="AA7" s="9">
        <v>1.05080714795866</v>
      </c>
      <c r="AB7" s="9">
        <v>4.6836377508854703</v>
      </c>
      <c r="AC7" s="10">
        <v>1.2559956537835</v>
      </c>
      <c r="AD7">
        <f t="shared" si="2"/>
        <v>1.0298768035807591</v>
      </c>
      <c r="AE7">
        <f t="shared" si="3"/>
        <v>3.6269716545311241E-2</v>
      </c>
    </row>
    <row r="8" spans="1:36" x14ac:dyDescent="0.3">
      <c r="B8" s="5">
        <v>100</v>
      </c>
      <c r="C8" s="6">
        <v>1</v>
      </c>
      <c r="D8" s="6">
        <v>2500</v>
      </c>
      <c r="E8" s="6">
        <v>13.1516507988825</v>
      </c>
      <c r="F8" s="6">
        <v>56.859420649</v>
      </c>
      <c r="G8" s="6">
        <v>1.60925803027996</v>
      </c>
      <c r="H8" s="6">
        <v>0.61247407166907097</v>
      </c>
      <c r="I8" s="6">
        <v>4.2249616822571303</v>
      </c>
      <c r="J8" s="7">
        <v>1.86439953983776</v>
      </c>
      <c r="K8">
        <f t="shared" si="0"/>
        <v>1.3074398725561154</v>
      </c>
      <c r="L8">
        <f t="shared" si="1"/>
        <v>9.109420033181552E-2</v>
      </c>
      <c r="U8" s="5">
        <v>110</v>
      </c>
      <c r="V8" s="6">
        <v>1</v>
      </c>
      <c r="W8" s="6">
        <v>2500</v>
      </c>
      <c r="X8" s="6">
        <v>21.835551091972899</v>
      </c>
      <c r="Y8" s="6">
        <v>57.584859685181797</v>
      </c>
      <c r="Z8" s="6">
        <v>1.01519197215941</v>
      </c>
      <c r="AA8" s="6">
        <v>1.0006699945887401</v>
      </c>
      <c r="AB8" s="6">
        <v>4.23501931654204</v>
      </c>
      <c r="AC8" s="7">
        <v>1.35253992325525</v>
      </c>
      <c r="AD8">
        <f t="shared" si="2"/>
        <v>1.0441292351660654</v>
      </c>
      <c r="AE8">
        <f t="shared" si="3"/>
        <v>8.3736519031634327E-4</v>
      </c>
    </row>
    <row r="9" spans="1:36" x14ac:dyDescent="0.3">
      <c r="B9" s="8">
        <v>100</v>
      </c>
      <c r="C9" s="9">
        <v>2</v>
      </c>
      <c r="D9" s="9">
        <v>500</v>
      </c>
      <c r="E9" s="9">
        <v>13.3547971639351</v>
      </c>
      <c r="F9" s="9">
        <v>56.212994217575698</v>
      </c>
      <c r="G9" s="9">
        <v>1.3230710714705101</v>
      </c>
      <c r="H9" s="9">
        <v>1.4353258976085499</v>
      </c>
      <c r="I9" s="9">
        <v>4.4933293849343903</v>
      </c>
      <c r="J9" s="10">
        <v>1.4206104886524999</v>
      </c>
      <c r="K9">
        <f t="shared" si="0"/>
        <v>1.2686778219622392</v>
      </c>
      <c r="L9">
        <f t="shared" si="1"/>
        <v>2.9586255920690066E-3</v>
      </c>
      <c r="U9" s="8">
        <v>110</v>
      </c>
      <c r="V9" s="9">
        <v>2</v>
      </c>
      <c r="W9" s="9">
        <v>500</v>
      </c>
      <c r="X9" s="9">
        <v>25.206654469418599</v>
      </c>
      <c r="Y9" s="9">
        <v>56.245464272727197</v>
      </c>
      <c r="Z9" s="9">
        <v>1.7590441166728701</v>
      </c>
      <c r="AA9" s="9">
        <v>2.1167485383282001</v>
      </c>
      <c r="AB9" s="9">
        <v>4.5018395086386596</v>
      </c>
      <c r="AC9" s="10">
        <v>1.99997147662459</v>
      </c>
      <c r="AD9">
        <f t="shared" si="2"/>
        <v>1.4931169656401584</v>
      </c>
      <c r="AE9">
        <f t="shared" si="3"/>
        <v>7.0717249656374659E-2</v>
      </c>
    </row>
    <row r="10" spans="1:36" x14ac:dyDescent="0.3">
      <c r="B10" s="5">
        <v>100</v>
      </c>
      <c r="C10" s="6">
        <v>2</v>
      </c>
      <c r="D10" s="6">
        <v>1000</v>
      </c>
      <c r="E10" s="6">
        <v>12.1156014384801</v>
      </c>
      <c r="F10" s="6">
        <v>48.526996635303</v>
      </c>
      <c r="G10" s="6">
        <v>1.59016333434984</v>
      </c>
      <c r="H10" s="6">
        <v>1.1983958301855899</v>
      </c>
      <c r="I10" s="6">
        <v>4.1407165728614199</v>
      </c>
      <c r="J10" s="7">
        <v>1.57593520260021</v>
      </c>
      <c r="K10">
        <f t="shared" si="0"/>
        <v>1.5371183658933265</v>
      </c>
      <c r="L10">
        <f t="shared" si="1"/>
        <v>2.8137686785525144E-3</v>
      </c>
      <c r="U10" s="5">
        <v>110</v>
      </c>
      <c r="V10" s="6">
        <v>2</v>
      </c>
      <c r="W10" s="6">
        <v>1000</v>
      </c>
      <c r="X10" s="6">
        <v>19.8142490225679</v>
      </c>
      <c r="Y10" s="6">
        <v>48.242304509696901</v>
      </c>
      <c r="Z10" s="6">
        <v>1.71642862674407</v>
      </c>
      <c r="AA10" s="6">
        <v>1.7719903046463199</v>
      </c>
      <c r="AB10" s="6">
        <v>4.0859314651361798</v>
      </c>
      <c r="AC10" s="7">
        <v>1.8463729498725401</v>
      </c>
      <c r="AD10">
        <f t="shared" si="2"/>
        <v>1.5582429627262744</v>
      </c>
      <c r="AE10">
        <f t="shared" si="3"/>
        <v>2.5022704300750931E-2</v>
      </c>
    </row>
    <row r="11" spans="1:36" x14ac:dyDescent="0.3">
      <c r="B11" s="8">
        <v>100</v>
      </c>
      <c r="C11" s="9">
        <v>2</v>
      </c>
      <c r="D11" s="9">
        <v>1500</v>
      </c>
      <c r="E11" s="9">
        <v>11.435813865154101</v>
      </c>
      <c r="F11" s="9">
        <v>41.5902465345454</v>
      </c>
      <c r="G11" s="9">
        <v>1.7959888232993599</v>
      </c>
      <c r="H11" s="9">
        <v>1.01640261263089</v>
      </c>
      <c r="I11" s="9">
        <v>3.73823132574043</v>
      </c>
      <c r="J11" s="10">
        <v>1.7062675113349399</v>
      </c>
      <c r="K11">
        <f t="shared" si="0"/>
        <v>1.7197583416055098</v>
      </c>
      <c r="L11">
        <f t="shared" si="1"/>
        <v>5.8110863392764247E-3</v>
      </c>
      <c r="U11" s="8">
        <v>110</v>
      </c>
      <c r="V11" s="9">
        <v>2</v>
      </c>
      <c r="W11" s="9">
        <v>1500</v>
      </c>
      <c r="X11" s="9">
        <v>14.237183619633299</v>
      </c>
      <c r="Y11" s="9">
        <v>41.639288495606003</v>
      </c>
      <c r="Z11" s="9">
        <v>1.34673078210956</v>
      </c>
      <c r="AA11" s="9">
        <v>1.2277035528868701</v>
      </c>
      <c r="AB11" s="9">
        <v>3.7475995846554802</v>
      </c>
      <c r="AC11" s="10">
        <v>1.42916325231605</v>
      </c>
      <c r="AD11">
        <f t="shared" si="2"/>
        <v>1.5976482395745042</v>
      </c>
      <c r="AE11">
        <f t="shared" si="3"/>
        <v>6.295957046067209E-2</v>
      </c>
    </row>
    <row r="12" spans="1:36" x14ac:dyDescent="0.3">
      <c r="A12" t="s">
        <v>62</v>
      </c>
      <c r="B12" s="5">
        <v>100</v>
      </c>
      <c r="C12" s="6">
        <v>2</v>
      </c>
      <c r="D12" s="6">
        <v>2000</v>
      </c>
      <c r="E12" s="6">
        <v>9.5302387812026605</v>
      </c>
      <c r="F12" s="6">
        <v>36.802862126818098</v>
      </c>
      <c r="G12" s="6">
        <v>1.8207042084874001</v>
      </c>
      <c r="H12" s="6">
        <v>0.79288552264530698</v>
      </c>
      <c r="I12" s="6">
        <v>3.4606612192424602</v>
      </c>
      <c r="J12" s="7">
        <v>1.8679472767974801</v>
      </c>
      <c r="K12">
        <f t="shared" si="0"/>
        <v>1.8623584568635221</v>
      </c>
      <c r="L12">
        <f t="shared" si="1"/>
        <v>1.73507640777966E-3</v>
      </c>
      <c r="U12" s="5">
        <v>110</v>
      </c>
      <c r="V12" s="6">
        <v>2</v>
      </c>
      <c r="W12" s="6">
        <v>2000</v>
      </c>
      <c r="X12" s="6">
        <v>13.908604489889999</v>
      </c>
      <c r="Y12" s="6">
        <v>36.8278655477272</v>
      </c>
      <c r="Z12" s="6">
        <v>1.8654282014749799</v>
      </c>
      <c r="AA12" s="6">
        <v>0.97630376102077798</v>
      </c>
      <c r="AB12" s="6">
        <v>3.4399342176330201</v>
      </c>
      <c r="AC12" s="7">
        <v>1.7345285214649</v>
      </c>
      <c r="AD12">
        <f t="shared" si="2"/>
        <v>1.6262095915874388</v>
      </c>
      <c r="AE12">
        <f t="shared" si="3"/>
        <v>5.7225543316527558E-2</v>
      </c>
    </row>
    <row r="13" spans="1:36" x14ac:dyDescent="0.3">
      <c r="A13" t="s">
        <v>35</v>
      </c>
      <c r="B13" s="8">
        <v>100</v>
      </c>
      <c r="C13" s="9">
        <v>2</v>
      </c>
      <c r="D13" s="9">
        <v>2500</v>
      </c>
      <c r="E13" s="9">
        <v>10.013526888477299</v>
      </c>
      <c r="F13" s="9">
        <v>33.105415840303003</v>
      </c>
      <c r="G13" s="9">
        <v>2.6691951839081001</v>
      </c>
      <c r="H13" s="9">
        <v>0.70347678721266305</v>
      </c>
      <c r="I13" s="9">
        <v>3.1608122907983001</v>
      </c>
      <c r="J13" s="10">
        <v>2.4366614934508699</v>
      </c>
      <c r="K13">
        <f t="shared" si="0"/>
        <v>1.981061244625133</v>
      </c>
      <c r="L13">
        <f t="shared" si="1"/>
        <v>0.47352831839309423</v>
      </c>
      <c r="U13" s="8">
        <v>110</v>
      </c>
      <c r="V13" s="9">
        <v>2</v>
      </c>
      <c r="W13" s="9">
        <v>2500</v>
      </c>
      <c r="X13" s="9">
        <v>11.400694755451401</v>
      </c>
      <c r="Y13" s="9">
        <v>32.920906616969603</v>
      </c>
      <c r="Z13" s="9">
        <v>1.82191980185842</v>
      </c>
      <c r="AA13" s="9">
        <v>0.73595834237968005</v>
      </c>
      <c r="AB13" s="9">
        <v>3.1161673525534099</v>
      </c>
      <c r="AC13" s="10">
        <v>1.7257716809789001</v>
      </c>
      <c r="AD13">
        <f t="shared" si="2"/>
        <v>1.6487146532286794</v>
      </c>
      <c r="AE13">
        <f t="shared" si="3"/>
        <v>3.0000023511850521E-2</v>
      </c>
    </row>
    <row r="14" spans="1:36" x14ac:dyDescent="0.3">
      <c r="A14" t="s">
        <v>36</v>
      </c>
      <c r="B14" s="5">
        <v>100</v>
      </c>
      <c r="C14" s="6">
        <v>3</v>
      </c>
      <c r="D14" s="6">
        <v>500</v>
      </c>
      <c r="E14" s="6">
        <v>7.7582738103185598</v>
      </c>
      <c r="F14" s="6">
        <v>43.6846300404545</v>
      </c>
      <c r="G14" s="6">
        <v>1.69209394815262</v>
      </c>
      <c r="H14" s="6">
        <v>1.33891259050426</v>
      </c>
      <c r="I14" s="6">
        <v>3.8549523475830001</v>
      </c>
      <c r="J14" s="7">
        <v>1.5800188454213999</v>
      </c>
      <c r="K14">
        <f t="shared" si="0"/>
        <v>1.6177937136864573</v>
      </c>
      <c r="L14">
        <f t="shared" si="1"/>
        <v>5.5205248417267575E-3</v>
      </c>
      <c r="U14" s="5">
        <v>110</v>
      </c>
      <c r="V14" s="6">
        <v>3</v>
      </c>
      <c r="W14" s="6">
        <v>500</v>
      </c>
      <c r="X14" s="6">
        <v>15.680837448358799</v>
      </c>
      <c r="Y14" s="6">
        <v>43.764438158939399</v>
      </c>
      <c r="Z14" s="6">
        <v>2.1771258157546902</v>
      </c>
      <c r="AA14" s="6">
        <v>1.98065622473133</v>
      </c>
      <c r="AB14" s="6">
        <v>3.8643627782451899</v>
      </c>
      <c r="AC14" s="7">
        <v>2.3749907745095098</v>
      </c>
      <c r="AD14">
        <f t="shared" si="2"/>
        <v>1.9504969122455895</v>
      </c>
      <c r="AE14">
        <f t="shared" si="3"/>
        <v>5.1360659905737273E-2</v>
      </c>
    </row>
    <row r="15" spans="1:36" x14ac:dyDescent="0.3">
      <c r="A15" t="s">
        <v>37</v>
      </c>
      <c r="B15" s="8">
        <v>100</v>
      </c>
      <c r="C15" s="9">
        <v>3</v>
      </c>
      <c r="D15" s="9">
        <v>1000</v>
      </c>
      <c r="E15" s="9">
        <v>6.57343200408088</v>
      </c>
      <c r="F15" s="9">
        <v>37.648316448333297</v>
      </c>
      <c r="G15" s="9">
        <v>1.9620784200538901</v>
      </c>
      <c r="H15" s="9">
        <v>1.0740450425230601</v>
      </c>
      <c r="I15" s="9">
        <v>3.5285528061407798</v>
      </c>
      <c r="J15" s="10">
        <v>1.75228054012568</v>
      </c>
      <c r="K15">
        <f t="shared" si="0"/>
        <v>1.9601039653140864</v>
      </c>
      <c r="L15">
        <f t="shared" si="1"/>
        <v>3.8984715195334255E-6</v>
      </c>
      <c r="U15" s="8">
        <v>110</v>
      </c>
      <c r="V15" s="9">
        <v>3</v>
      </c>
      <c r="W15" s="9">
        <v>1000</v>
      </c>
      <c r="X15" s="9">
        <v>11.5141612395254</v>
      </c>
      <c r="Y15" s="9">
        <v>37.7315105795454</v>
      </c>
      <c r="Z15" s="9">
        <v>2.0887724737230799</v>
      </c>
      <c r="AA15" s="9">
        <v>1.5671124781375301</v>
      </c>
      <c r="AB15" s="9">
        <v>3.5275192877459798</v>
      </c>
      <c r="AC15" s="10">
        <v>2.0904653787392502</v>
      </c>
      <c r="AD15">
        <f t="shared" si="2"/>
        <v>2.0355726693005116</v>
      </c>
      <c r="AE15">
        <f t="shared" si="3"/>
        <v>2.8302191905995211E-3</v>
      </c>
    </row>
    <row r="16" spans="1:36" x14ac:dyDescent="0.3">
      <c r="A16" t="s">
        <v>38</v>
      </c>
      <c r="B16" s="5">
        <v>100</v>
      </c>
      <c r="C16" s="6">
        <v>3</v>
      </c>
      <c r="D16" s="6">
        <v>1500</v>
      </c>
      <c r="E16" s="6">
        <v>4.9960232850488699</v>
      </c>
      <c r="F16" s="6">
        <v>32.414257819090899</v>
      </c>
      <c r="G16" s="6">
        <v>2.1209708774329799</v>
      </c>
      <c r="H16" s="6">
        <v>0.79689930934966602</v>
      </c>
      <c r="I16" s="6">
        <v>3.1969493628966599</v>
      </c>
      <c r="J16" s="7">
        <v>1.8557261190132299</v>
      </c>
      <c r="K16">
        <f t="shared" si="0"/>
        <v>2.1930029720280317</v>
      </c>
      <c r="L16">
        <f t="shared" si="1"/>
        <v>5.1886226517505038E-3</v>
      </c>
      <c r="U16" s="5">
        <v>110</v>
      </c>
      <c r="V16" s="6">
        <v>3</v>
      </c>
      <c r="W16" s="6">
        <v>1500</v>
      </c>
      <c r="X16" s="6">
        <v>7.0103726034851501</v>
      </c>
      <c r="Y16" s="6">
        <v>32.583728399848397</v>
      </c>
      <c r="Z16" s="6">
        <v>1.8031873212866101</v>
      </c>
      <c r="AA16" s="6">
        <v>1.03946478552786</v>
      </c>
      <c r="AB16" s="6">
        <v>3.2084982031034102</v>
      </c>
      <c r="AC16" s="7">
        <v>1.6084584716921499</v>
      </c>
      <c r="AD16">
        <f t="shared" si="2"/>
        <v>2.0870487911230922</v>
      </c>
      <c r="AE16">
        <f t="shared" si="3"/>
        <v>8.0577334057728031E-2</v>
      </c>
    </row>
    <row r="17" spans="1:31" x14ac:dyDescent="0.3">
      <c r="A17" t="s">
        <v>39</v>
      </c>
      <c r="B17" s="8">
        <v>100</v>
      </c>
      <c r="C17" s="9">
        <v>3</v>
      </c>
      <c r="D17" s="9">
        <v>2000</v>
      </c>
      <c r="E17" s="9">
        <v>2.9305364867537098</v>
      </c>
      <c r="F17" s="9">
        <v>28.558953559393899</v>
      </c>
      <c r="G17" s="9">
        <v>2.17873207546595</v>
      </c>
      <c r="H17" s="9">
        <v>0.51862118385605305</v>
      </c>
      <c r="I17" s="9">
        <v>2.9504476336276202</v>
      </c>
      <c r="J17" s="10">
        <v>1.9680218520978201</v>
      </c>
      <c r="K17">
        <f t="shared" si="0"/>
        <v>2.3748439138666471</v>
      </c>
      <c r="L17">
        <f t="shared" si="1"/>
        <v>3.84598531609011E-2</v>
      </c>
      <c r="U17" s="8">
        <v>110</v>
      </c>
      <c r="V17" s="9">
        <v>3</v>
      </c>
      <c r="W17" s="9">
        <v>2000</v>
      </c>
      <c r="X17" s="9">
        <v>8.0664703720160293</v>
      </c>
      <c r="Y17" s="9">
        <v>28.682397553787801</v>
      </c>
      <c r="Z17" s="9">
        <v>2.1857902579310799</v>
      </c>
      <c r="AA17" s="9">
        <v>0.98087451540237203</v>
      </c>
      <c r="AB17" s="9">
        <v>2.9467332525354601</v>
      </c>
      <c r="AC17" s="10">
        <v>1.85597030853824</v>
      </c>
      <c r="AD17">
        <f t="shared" si="2"/>
        <v>2.1243592163561908</v>
      </c>
      <c r="AE17">
        <f t="shared" si="3"/>
        <v>3.7737728689757532E-3</v>
      </c>
    </row>
    <row r="18" spans="1:31" x14ac:dyDescent="0.3">
      <c r="B18" s="5">
        <v>100</v>
      </c>
      <c r="C18" s="6">
        <v>3</v>
      </c>
      <c r="D18" s="6">
        <v>2500</v>
      </c>
      <c r="E18" s="6">
        <v>2.7709229587059001</v>
      </c>
      <c r="F18" s="6">
        <v>25.136572647727199</v>
      </c>
      <c r="G18" s="6">
        <v>2.5626585277727001</v>
      </c>
      <c r="H18" s="6">
        <v>0.46449383279055001</v>
      </c>
      <c r="I18" s="6">
        <v>2.69146716438381</v>
      </c>
      <c r="J18" s="7">
        <v>2.3207968657201001</v>
      </c>
      <c r="K18">
        <f t="shared" si="0"/>
        <v>2.5262114403681926</v>
      </c>
      <c r="L18">
        <f t="shared" si="1"/>
        <v>1.3283901802718112E-3</v>
      </c>
      <c r="U18" s="5">
        <v>110</v>
      </c>
      <c r="V18" s="6">
        <v>3</v>
      </c>
      <c r="W18" s="6">
        <v>2500</v>
      </c>
      <c r="X18" s="6">
        <v>6.3015760126496199</v>
      </c>
      <c r="Y18" s="6">
        <v>25.507203677575699</v>
      </c>
      <c r="Z18" s="6">
        <v>2.4420614425269198</v>
      </c>
      <c r="AA18" s="6">
        <v>0.69350996440117196</v>
      </c>
      <c r="AB18" s="6">
        <v>2.7148923891940502</v>
      </c>
      <c r="AC18" s="7">
        <v>2.1630238105382098</v>
      </c>
      <c r="AD18">
        <f t="shared" si="2"/>
        <v>2.1537581544509816</v>
      </c>
      <c r="AE18">
        <f t="shared" si="3"/>
        <v>8.3118785915397411E-2</v>
      </c>
    </row>
    <row r="19" spans="1:31" x14ac:dyDescent="0.3">
      <c r="B19" s="8">
        <v>100</v>
      </c>
      <c r="C19" s="9">
        <v>4</v>
      </c>
      <c r="D19" s="9">
        <v>500</v>
      </c>
      <c r="E19" s="9">
        <v>6.4722997312794099</v>
      </c>
      <c r="F19" s="9">
        <v>37.209898678787802</v>
      </c>
      <c r="G19" s="9">
        <v>2.1496440043624498</v>
      </c>
      <c r="H19" s="9">
        <v>1.39978383337849</v>
      </c>
      <c r="I19" s="9">
        <v>3.5183836489188001</v>
      </c>
      <c r="J19" s="10">
        <v>1.9070302809725299</v>
      </c>
      <c r="K19">
        <f t="shared" si="0"/>
        <v>1.9223281450726477</v>
      </c>
      <c r="L19">
        <f t="shared" si="1"/>
        <v>5.1672499884661126E-2</v>
      </c>
      <c r="U19" s="8">
        <v>110</v>
      </c>
      <c r="V19" s="9">
        <v>4</v>
      </c>
      <c r="W19" s="9">
        <v>500</v>
      </c>
      <c r="X19" s="9">
        <v>8.6403234385068099</v>
      </c>
      <c r="Y19" s="9">
        <v>37.295747593939303</v>
      </c>
      <c r="Z19" s="9">
        <v>2.2307611496558502</v>
      </c>
      <c r="AA19" s="9">
        <v>1.4522039845741801</v>
      </c>
      <c r="AB19" s="9">
        <v>3.5143489769496701</v>
      </c>
      <c r="AC19" s="10">
        <v>1.8703239363325299</v>
      </c>
      <c r="AD19">
        <f t="shared" si="2"/>
        <v>2.3576811541377274</v>
      </c>
      <c r="AE19">
        <f t="shared" si="3"/>
        <v>1.6108687537679738E-2</v>
      </c>
    </row>
    <row r="20" spans="1:31" x14ac:dyDescent="0.3">
      <c r="B20" s="5">
        <v>100</v>
      </c>
      <c r="C20" s="6">
        <v>4</v>
      </c>
      <c r="D20" s="6">
        <v>1000</v>
      </c>
      <c r="E20" s="6">
        <v>4.8172790003394699</v>
      </c>
      <c r="F20" s="6">
        <v>31.911139860151501</v>
      </c>
      <c r="G20" s="6">
        <v>2.3364256688114402</v>
      </c>
      <c r="H20" s="6">
        <v>1.05070848753989</v>
      </c>
      <c r="I20" s="6">
        <v>3.2523060525854102</v>
      </c>
      <c r="J20" s="7">
        <v>2.0689651452311</v>
      </c>
      <c r="K20">
        <f t="shared" si="0"/>
        <v>2.3290750779379241</v>
      </c>
      <c r="L20">
        <f t="shared" si="1"/>
        <v>5.4031186189817929E-5</v>
      </c>
      <c r="U20" s="5">
        <v>110</v>
      </c>
      <c r="V20" s="6">
        <v>4</v>
      </c>
      <c r="W20" s="6">
        <v>1000</v>
      </c>
      <c r="X20" s="6">
        <v>7.4863922622541601</v>
      </c>
      <c r="Y20" s="6">
        <v>32.045970122575703</v>
      </c>
      <c r="Z20" s="6">
        <v>2.3494714868673099</v>
      </c>
      <c r="AA20" s="6">
        <v>1.3376697832860101</v>
      </c>
      <c r="AB20" s="6">
        <v>3.24130686371111</v>
      </c>
      <c r="AC20" s="7">
        <v>2.1644097021986601</v>
      </c>
      <c r="AD20">
        <f t="shared" si="2"/>
        <v>2.4605172610923711</v>
      </c>
      <c r="AE20">
        <f t="shared" si="3"/>
        <v>1.2331163973243273E-2</v>
      </c>
    </row>
    <row r="21" spans="1:31" x14ac:dyDescent="0.3">
      <c r="B21" s="8">
        <v>100</v>
      </c>
      <c r="C21" s="9">
        <v>4</v>
      </c>
      <c r="D21" s="9">
        <v>1500</v>
      </c>
      <c r="E21" s="9">
        <v>3.3023887897462001</v>
      </c>
      <c r="F21" s="9">
        <v>27.4015136460606</v>
      </c>
      <c r="G21" s="9">
        <v>2.4922487904066601</v>
      </c>
      <c r="H21" s="9">
        <v>0.7089662863724</v>
      </c>
      <c r="I21" s="9">
        <v>2.9789941421977599</v>
      </c>
      <c r="J21" s="10">
        <v>2.1636276488749502</v>
      </c>
      <c r="K21">
        <f t="shared" si="0"/>
        <v>2.6058151293907699</v>
      </c>
      <c r="L21">
        <f t="shared" si="1"/>
        <v>1.2897313350253721E-2</v>
      </c>
      <c r="U21" s="8">
        <v>110</v>
      </c>
      <c r="V21" s="9">
        <v>4</v>
      </c>
      <c r="W21" s="9">
        <v>1500</v>
      </c>
      <c r="X21" s="9">
        <v>5.3881873237563402</v>
      </c>
      <c r="Y21" s="9">
        <v>27.6151055918181</v>
      </c>
      <c r="Z21" s="9">
        <v>2.31390130435652</v>
      </c>
      <c r="AA21" s="9">
        <v>0.99311152509896905</v>
      </c>
      <c r="AB21" s="9">
        <v>2.9749875643070598</v>
      </c>
      <c r="AC21" s="10">
        <v>2.0130874146964302</v>
      </c>
      <c r="AD21">
        <f t="shared" si="2"/>
        <v>2.5227394986910303</v>
      </c>
      <c r="AE21">
        <f t="shared" si="3"/>
        <v>4.361339141289871E-2</v>
      </c>
    </row>
    <row r="22" spans="1:31" x14ac:dyDescent="0.3">
      <c r="B22" s="5">
        <v>100</v>
      </c>
      <c r="C22" s="6">
        <v>4</v>
      </c>
      <c r="D22" s="6">
        <v>2000</v>
      </c>
      <c r="E22" s="6">
        <v>1.3450059512694701</v>
      </c>
      <c r="F22" s="6">
        <v>24.008469821060601</v>
      </c>
      <c r="G22" s="6">
        <v>2.6235122738626102</v>
      </c>
      <c r="H22" s="6">
        <v>0.348569685825595</v>
      </c>
      <c r="I22" s="6">
        <v>2.71829570073464</v>
      </c>
      <c r="J22" s="7">
        <v>2.24910715449955</v>
      </c>
      <c r="K22">
        <f t="shared" si="0"/>
        <v>2.8218859160835632</v>
      </c>
      <c r="L22">
        <f t="shared" si="1"/>
        <v>3.9352101928006665E-2</v>
      </c>
      <c r="U22" s="5">
        <v>110</v>
      </c>
      <c r="V22" s="6">
        <v>4</v>
      </c>
      <c r="W22" s="6">
        <v>2000</v>
      </c>
      <c r="X22" s="6">
        <v>4.4819066287711804</v>
      </c>
      <c r="Y22" s="6">
        <v>24.284387221666599</v>
      </c>
      <c r="Z22" s="6">
        <v>2.5066143811223598</v>
      </c>
      <c r="AA22" s="6">
        <v>0.79638290010602197</v>
      </c>
      <c r="AB22" s="6">
        <v>2.7267401132220899</v>
      </c>
      <c r="AC22" s="7">
        <v>2.2240596970790301</v>
      </c>
      <c r="AD22">
        <f t="shared" si="2"/>
        <v>2.5678388197269539</v>
      </c>
      <c r="AE22">
        <f t="shared" si="3"/>
        <v>3.7484318824477177E-3</v>
      </c>
    </row>
    <row r="23" spans="1:31" x14ac:dyDescent="0.3">
      <c r="B23" s="8">
        <v>100</v>
      </c>
      <c r="C23" s="9">
        <v>4</v>
      </c>
      <c r="D23" s="9">
        <v>2500</v>
      </c>
      <c r="E23" s="9">
        <v>1.3022767583499999</v>
      </c>
      <c r="F23" s="9">
        <v>21.139661948030302</v>
      </c>
      <c r="G23" s="9">
        <v>2.9820756376031898</v>
      </c>
      <c r="H23" s="9">
        <v>0.33471296296296199</v>
      </c>
      <c r="I23" s="9">
        <v>2.5102488722876002</v>
      </c>
      <c r="J23" s="10">
        <v>2.6883749253830702</v>
      </c>
      <c r="K23">
        <f t="shared" si="0"/>
        <v>3.0017469539787474</v>
      </c>
      <c r="L23">
        <f t="shared" si="1"/>
        <v>3.8696068794727759E-4</v>
      </c>
      <c r="U23" s="8">
        <v>110</v>
      </c>
      <c r="V23" s="9">
        <v>4</v>
      </c>
      <c r="W23" s="9">
        <v>2500</v>
      </c>
      <c r="X23" s="9">
        <v>3.84190099003421</v>
      </c>
      <c r="Y23" s="9">
        <v>21.5010230271212</v>
      </c>
      <c r="Z23" s="9">
        <v>2.6940043156601399</v>
      </c>
      <c r="AA23" s="9">
        <v>0.62146177945828096</v>
      </c>
      <c r="AB23" s="9">
        <v>2.5151068939545098</v>
      </c>
      <c r="AC23" s="10">
        <v>2.4262134399034898</v>
      </c>
      <c r="AD23">
        <f t="shared" si="2"/>
        <v>2.6033750576274537</v>
      </c>
      <c r="AE23">
        <f t="shared" si="3"/>
        <v>8.2136624115552118E-3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390E-7DE9-4B29-9E7D-BC28C5B73C91}">
  <dimension ref="A1:I46"/>
  <sheetViews>
    <sheetView workbookViewId="0">
      <selection activeCell="K1" sqref="K1"/>
    </sheetView>
  </sheetViews>
  <sheetFormatPr defaultRowHeight="14.4" x14ac:dyDescent="0.3"/>
  <sheetData>
    <row r="1" spans="1:9" ht="236.4" customHeight="1" x14ac:dyDescent="0.3"/>
    <row r="2" spans="1:9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</row>
    <row r="3" spans="1:9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-3.0639592862165301</v>
      </c>
      <c r="G3">
        <v>1.7805269034751501</v>
      </c>
      <c r="H3">
        <v>5.7174463924963899</v>
      </c>
      <c r="I3">
        <v>-0.680837895797611</v>
      </c>
    </row>
    <row r="4" spans="1:9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-1.2545682869318899</v>
      </c>
      <c r="G4">
        <v>1.52448359526946</v>
      </c>
      <c r="H4">
        <v>5.4619033090646703</v>
      </c>
      <c r="I4">
        <v>-0.29950782071523602</v>
      </c>
    </row>
    <row r="5" spans="1:9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-1.82940567991059</v>
      </c>
      <c r="G5">
        <v>1.05270746011517</v>
      </c>
      <c r="H5">
        <v>4.9417855011150396</v>
      </c>
      <c r="I5">
        <v>-0.51433639341625403</v>
      </c>
    </row>
    <row r="6" spans="1:9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-1.27494383024921</v>
      </c>
      <c r="G6">
        <v>0.78681743658388403</v>
      </c>
      <c r="H6">
        <v>4.6280308277581002</v>
      </c>
      <c r="I6">
        <v>-0.19413447211668999</v>
      </c>
    </row>
    <row r="7" spans="1:9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0.39412502121464699</v>
      </c>
      <c r="G7">
        <v>0.61247407166907097</v>
      </c>
      <c r="H7">
        <v>4.2249616822571303</v>
      </c>
      <c r="I7">
        <v>0.399389458115669</v>
      </c>
    </row>
    <row r="8" spans="1:9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-0.34311488076490498</v>
      </c>
      <c r="G8">
        <v>1.4353258976085499</v>
      </c>
      <c r="H8">
        <v>4.4933293849343903</v>
      </c>
      <c r="I8">
        <v>0.12147561994367501</v>
      </c>
    </row>
    <row r="9" spans="1:9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0.13178078432088799</v>
      </c>
      <c r="G9">
        <v>1.1983958301855899</v>
      </c>
      <c r="H9">
        <v>4.1407165728614199</v>
      </c>
      <c r="I9">
        <v>0.28724074745922901</v>
      </c>
    </row>
    <row r="10" spans="1:9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0.65486360537229804</v>
      </c>
      <c r="G10">
        <v>1.01640261263089</v>
      </c>
      <c r="H10">
        <v>3.73823132574043</v>
      </c>
      <c r="I10">
        <v>0.54234788885749896</v>
      </c>
    </row>
    <row r="11" spans="1:9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0.63562656121260697</v>
      </c>
      <c r="G11">
        <v>0.79288552264530698</v>
      </c>
      <c r="H11">
        <v>3.4606612192424602</v>
      </c>
      <c r="I11">
        <v>0.59714930028636704</v>
      </c>
    </row>
    <row r="12" spans="1:9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2.2264616189631199</v>
      </c>
      <c r="G12">
        <v>0.70347678721266305</v>
      </c>
      <c r="H12">
        <v>3.1608122907983001</v>
      </c>
      <c r="I12">
        <v>1.34561466175779</v>
      </c>
    </row>
    <row r="13" spans="1:9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8.9066753198056903E-2</v>
      </c>
      <c r="G13">
        <v>1.33891259050426</v>
      </c>
      <c r="H13">
        <v>3.8549523475830001</v>
      </c>
      <c r="I13">
        <v>0.43790946815583598</v>
      </c>
    </row>
    <row r="14" spans="1:9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0.47250736208501098</v>
      </c>
      <c r="G14">
        <v>1.0740450425230601</v>
      </c>
      <c r="H14">
        <v>3.5285528061407798</v>
      </c>
      <c r="I14">
        <v>0.70863290279662605</v>
      </c>
    </row>
    <row r="15" spans="1:9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0.59269611213590001</v>
      </c>
      <c r="G15">
        <v>0.79689930934966602</v>
      </c>
      <c r="H15">
        <v>3.1969493628966599</v>
      </c>
      <c r="I15">
        <v>0.70939601504666305</v>
      </c>
    </row>
    <row r="16" spans="1:9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0.41317138465693898</v>
      </c>
      <c r="G16">
        <v>0.51862118385605305</v>
      </c>
      <c r="H16">
        <v>2.9504476336276202</v>
      </c>
      <c r="I16">
        <v>0.55126358847103696</v>
      </c>
    </row>
    <row r="17" spans="1:9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0.98854137273126197</v>
      </c>
      <c r="G17">
        <v>0.46449383279055001</v>
      </c>
      <c r="H17">
        <v>2.69146716438381</v>
      </c>
      <c r="I17">
        <v>1.1883973490067199</v>
      </c>
    </row>
    <row r="18" spans="1:9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0.62832076279901705</v>
      </c>
      <c r="G18">
        <v>1.39978383337849</v>
      </c>
      <c r="H18">
        <v>3.5183836489188001</v>
      </c>
      <c r="I18">
        <v>1.4587862262967599</v>
      </c>
    </row>
    <row r="19" spans="1:9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0.77744158232054095</v>
      </c>
      <c r="G19">
        <v>1.05070848753989</v>
      </c>
      <c r="H19">
        <v>3.2523060525854102</v>
      </c>
      <c r="I19">
        <v>1.42961886514237</v>
      </c>
    </row>
    <row r="20" spans="1:9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0.75251864652243206</v>
      </c>
      <c r="G20">
        <v>0.7089662863724</v>
      </c>
      <c r="H20">
        <v>2.9789941421977599</v>
      </c>
      <c r="I20">
        <v>1.0618214182144601</v>
      </c>
    </row>
    <row r="21" spans="1:9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0.46747260152818099</v>
      </c>
      <c r="G21">
        <v>0.348569685825595</v>
      </c>
      <c r="H21">
        <v>2.71829570073464</v>
      </c>
      <c r="I21">
        <v>0.59867738539457604</v>
      </c>
    </row>
    <row r="22" spans="1:9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0.92097714757956695</v>
      </c>
      <c r="G22">
        <v>0.33471296296296199</v>
      </c>
      <c r="H22">
        <v>2.5102488722876002</v>
      </c>
      <c r="I22">
        <v>1.2920208940698199</v>
      </c>
    </row>
    <row r="23" spans="1:9" hidden="1" x14ac:dyDescent="0.3">
      <c r="A23">
        <v>100</v>
      </c>
      <c r="B23">
        <v>5</v>
      </c>
      <c r="C23">
        <v>500</v>
      </c>
      <c r="D23">
        <v>32.282554088333299</v>
      </c>
      <c r="E23">
        <v>32.475539339999997</v>
      </c>
      <c r="F23">
        <v>-6217.86362275396</v>
      </c>
      <c r="G23">
        <v>3.25500985382673</v>
      </c>
      <c r="H23">
        <v>3.2692510372910299</v>
      </c>
      <c r="I23">
        <v>-8313.1128450660599</v>
      </c>
    </row>
    <row r="24" spans="1:9" x14ac:dyDescent="0.3">
      <c r="A24">
        <v>100</v>
      </c>
      <c r="B24">
        <v>5</v>
      </c>
      <c r="C24">
        <v>2500</v>
      </c>
      <c r="D24">
        <v>18.4262436166666</v>
      </c>
      <c r="E24">
        <v>18.448552741111101</v>
      </c>
      <c r="F24">
        <v>-2989.18050221775</v>
      </c>
      <c r="G24">
        <v>2.32756415216899</v>
      </c>
      <c r="H24">
        <v>2.3282538582025598</v>
      </c>
      <c r="I24">
        <v>1</v>
      </c>
    </row>
    <row r="25" spans="1:9" hidden="1" x14ac:dyDescent="0.3">
      <c r="A25">
        <v>100</v>
      </c>
      <c r="B25">
        <v>6</v>
      </c>
      <c r="C25">
        <v>500</v>
      </c>
      <c r="D25">
        <v>26.9970652083333</v>
      </c>
      <c r="E25">
        <v>27.079947847777699</v>
      </c>
      <c r="F25">
        <v>-12099.813127534901</v>
      </c>
      <c r="G25">
        <v>2.9591403261824198</v>
      </c>
      <c r="H25">
        <v>2.9615035911824501</v>
      </c>
      <c r="I25">
        <v>-46565.284884338602</v>
      </c>
    </row>
    <row r="26" spans="1:9" x14ac:dyDescent="0.3">
      <c r="A26">
        <v>100</v>
      </c>
      <c r="B26">
        <v>6</v>
      </c>
      <c r="C26">
        <v>2500</v>
      </c>
      <c r="D26">
        <v>16.340238518333301</v>
      </c>
      <c r="E26">
        <v>16.522505253888799</v>
      </c>
      <c r="F26">
        <v>-3361.7813995416</v>
      </c>
      <c r="G26">
        <v>2.17630016194809</v>
      </c>
      <c r="H26">
        <v>2.1977976354319599</v>
      </c>
      <c r="I26">
        <v>-3795.5092202988499</v>
      </c>
    </row>
    <row r="27" spans="1:9" hidden="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-0.72748571713329102</v>
      </c>
      <c r="G27">
        <v>2.5886822361941402</v>
      </c>
      <c r="H27">
        <v>5.83584206677161</v>
      </c>
      <c r="I27">
        <v>1.3967274664017599</v>
      </c>
    </row>
    <row r="28" spans="1:9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-2.5446273929788901</v>
      </c>
      <c r="G28">
        <v>1.6681911472192399</v>
      </c>
      <c r="H28">
        <v>5.4113362160566698</v>
      </c>
      <c r="I28">
        <v>-0.43010495005923099</v>
      </c>
    </row>
    <row r="29" spans="1:9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-1.91161102566042</v>
      </c>
      <c r="G29">
        <v>1.29195428868517</v>
      </c>
      <c r="H29">
        <v>5.0469736422668197</v>
      </c>
      <c r="I29">
        <v>-0.60906018720856603</v>
      </c>
    </row>
    <row r="30" spans="1:9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-1.5793682050025899</v>
      </c>
      <c r="G30">
        <v>1.05080714795866</v>
      </c>
      <c r="H30">
        <v>4.6836377508854703</v>
      </c>
      <c r="I30">
        <v>-0.46265631747909203</v>
      </c>
    </row>
    <row r="31" spans="1:9" hidden="1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-1.1632897907881099</v>
      </c>
      <c r="G31">
        <v>1.0006699945887401</v>
      </c>
      <c r="H31">
        <v>4.23501931654204</v>
      </c>
      <c r="I31">
        <v>-4.8331846037699099E-2</v>
      </c>
    </row>
    <row r="32" spans="1:9" hidden="1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1.5213786653682499</v>
      </c>
      <c r="G32">
        <v>2.1167485383282001</v>
      </c>
      <c r="H32">
        <v>4.5018395086386596</v>
      </c>
      <c r="I32">
        <v>2.4909738118676099</v>
      </c>
    </row>
    <row r="33" spans="1:9" hidden="1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1.1660801143805899</v>
      </c>
      <c r="G33">
        <v>1.7719903046463199</v>
      </c>
      <c r="H33">
        <v>4.0859314651361798</v>
      </c>
      <c r="I33">
        <v>1.74057666016901</v>
      </c>
    </row>
    <row r="34" spans="1:9" hidden="1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-0.33054830693300202</v>
      </c>
      <c r="G34">
        <v>1.2277035528868701</v>
      </c>
      <c r="H34">
        <v>3.7475995846554802</v>
      </c>
      <c r="I34">
        <v>-0.25521371776884999</v>
      </c>
    </row>
    <row r="35" spans="1:9" hidden="1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1.44714727128862</v>
      </c>
      <c r="G35">
        <v>0.97630376102077798</v>
      </c>
      <c r="H35">
        <v>3.4399342176330201</v>
      </c>
      <c r="I35">
        <v>0.52206524155188805</v>
      </c>
    </row>
    <row r="36" spans="1:9" hidden="1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1.14950451787921</v>
      </c>
      <c r="G36">
        <v>0.73595834237968005</v>
      </c>
      <c r="H36">
        <v>3.1161673525534099</v>
      </c>
      <c r="I36">
        <v>0.39894682894482503</v>
      </c>
    </row>
    <row r="37" spans="1:9" hidden="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1.8771526257105899</v>
      </c>
      <c r="G37">
        <v>1.98065622473133</v>
      </c>
      <c r="H37">
        <v>3.8643627782451899</v>
      </c>
      <c r="I37">
        <v>4.01437772311629</v>
      </c>
    </row>
    <row r="38" spans="1:9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1.3735819730480101</v>
      </c>
      <c r="G38">
        <v>1.5671124781375301</v>
      </c>
      <c r="H38">
        <v>3.5275192877459798</v>
      </c>
      <c r="I38">
        <v>2.4455288299246498</v>
      </c>
    </row>
    <row r="39" spans="1:9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0.276129393150781</v>
      </c>
      <c r="G39">
        <v>1.03946478552786</v>
      </c>
      <c r="H39">
        <v>3.2084982031034102</v>
      </c>
      <c r="I39">
        <v>5.0009616928881701E-2</v>
      </c>
    </row>
    <row r="40" spans="1:9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1.44682695082506</v>
      </c>
      <c r="G40">
        <v>0.98087451540237203</v>
      </c>
      <c r="H40">
        <v>2.9467332525354601</v>
      </c>
      <c r="I40">
        <v>0.96893037875749299</v>
      </c>
    </row>
    <row r="41" spans="1:9" hidden="1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1.56195858507774</v>
      </c>
      <c r="G41">
        <v>0.69350996440117196</v>
      </c>
      <c r="H41">
        <v>2.7148923891940502</v>
      </c>
      <c r="I41">
        <v>1.18398439500529</v>
      </c>
    </row>
    <row r="42" spans="1:9" hidden="1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1.0641017856180299</v>
      </c>
      <c r="G42">
        <v>1.4522039845741801</v>
      </c>
      <c r="H42">
        <v>3.5143489769496701</v>
      </c>
      <c r="I42">
        <v>1.2096630869232801</v>
      </c>
    </row>
    <row r="43" spans="1:9" hidden="1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1.2817382419598999</v>
      </c>
      <c r="G43">
        <v>1.3376697832860101</v>
      </c>
      <c r="H43">
        <v>3.24130686371111</v>
      </c>
      <c r="I43">
        <v>2.23693449782043</v>
      </c>
    </row>
    <row r="44" spans="1:9" hidden="1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0.99368630135239699</v>
      </c>
      <c r="G44">
        <v>0.99311152509896905</v>
      </c>
      <c r="H44">
        <v>2.9749875643070598</v>
      </c>
      <c r="I44">
        <v>1.1320072792853499</v>
      </c>
    </row>
    <row r="45" spans="1:9" hidden="1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1.1747385534316099</v>
      </c>
      <c r="G45">
        <v>0.79638290010602197</v>
      </c>
      <c r="H45">
        <v>2.7267401132220899</v>
      </c>
      <c r="I45">
        <v>1.44685149101321</v>
      </c>
    </row>
    <row r="46" spans="1:9" hidden="1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1.38815527916363</v>
      </c>
      <c r="G46">
        <v>0.62146177945828096</v>
      </c>
      <c r="H46">
        <v>2.5151068939545098</v>
      </c>
      <c r="I46">
        <v>1.5374597313007701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E084-73CE-44E0-BDCB-4D016E2BDB14}">
  <dimension ref="A1:I46"/>
  <sheetViews>
    <sheetView workbookViewId="0">
      <selection activeCell="J1" sqref="J1"/>
    </sheetView>
  </sheetViews>
  <sheetFormatPr defaultRowHeight="14.4" x14ac:dyDescent="0.3"/>
  <sheetData>
    <row r="1" spans="1:9" ht="248.4" customHeight="1" x14ac:dyDescent="0.3"/>
    <row r="2" spans="1:9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</row>
    <row r="3" spans="1:9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-3.0639592862165301</v>
      </c>
      <c r="G3">
        <v>1.7805269034751501</v>
      </c>
      <c r="H3">
        <v>5.7174463924963899</v>
      </c>
      <c r="I3">
        <v>-0.680837895797611</v>
      </c>
    </row>
    <row r="4" spans="1:9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-1.2545682869318899</v>
      </c>
      <c r="G4">
        <v>1.52448359526946</v>
      </c>
      <c r="H4">
        <v>5.4619033090646703</v>
      </c>
      <c r="I4">
        <v>-0.29950782071523602</v>
      </c>
    </row>
    <row r="5" spans="1:9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-1.82940567991059</v>
      </c>
      <c r="G5">
        <v>1.05270746011517</v>
      </c>
      <c r="H5">
        <v>4.9417855011150396</v>
      </c>
      <c r="I5">
        <v>-0.51433639341625403</v>
      </c>
    </row>
    <row r="6" spans="1:9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-1.27494383024921</v>
      </c>
      <c r="G6">
        <v>0.78681743658388403</v>
      </c>
      <c r="H6">
        <v>4.6280308277581002</v>
      </c>
      <c r="I6">
        <v>-0.19413447211668999</v>
      </c>
    </row>
    <row r="7" spans="1:9" hidden="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0.39412502121464699</v>
      </c>
      <c r="G7">
        <v>0.61247407166907097</v>
      </c>
      <c r="H7">
        <v>4.2249616822571303</v>
      </c>
      <c r="I7">
        <v>0.399389458115669</v>
      </c>
    </row>
    <row r="8" spans="1:9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-0.34311488076490498</v>
      </c>
      <c r="G8">
        <v>1.4353258976085499</v>
      </c>
      <c r="H8">
        <v>4.4933293849343903</v>
      </c>
      <c r="I8">
        <v>0.12147561994367501</v>
      </c>
    </row>
    <row r="9" spans="1:9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0.13178078432088799</v>
      </c>
      <c r="G9">
        <v>1.1983958301855899</v>
      </c>
      <c r="H9">
        <v>4.1407165728614199</v>
      </c>
      <c r="I9">
        <v>0.28724074745922901</v>
      </c>
    </row>
    <row r="10" spans="1:9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0.65486360537229804</v>
      </c>
      <c r="G10">
        <v>1.01640261263089</v>
      </c>
      <c r="H10">
        <v>3.73823132574043</v>
      </c>
      <c r="I10">
        <v>0.54234788885749896</v>
      </c>
    </row>
    <row r="11" spans="1:9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0.63562656121260697</v>
      </c>
      <c r="G11">
        <v>0.79288552264530698</v>
      </c>
      <c r="H11">
        <v>3.4606612192424602</v>
      </c>
      <c r="I11">
        <v>0.59714930028636704</v>
      </c>
    </row>
    <row r="12" spans="1:9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2.2264616189631199</v>
      </c>
      <c r="G12">
        <v>0.70347678721266305</v>
      </c>
      <c r="H12">
        <v>3.1608122907983001</v>
      </c>
      <c r="I12">
        <v>1.34561466175779</v>
      </c>
    </row>
    <row r="13" spans="1:9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8.9066753198056903E-2</v>
      </c>
      <c r="G13">
        <v>1.33891259050426</v>
      </c>
      <c r="H13">
        <v>3.8549523475830001</v>
      </c>
      <c r="I13">
        <v>0.43790946815583598</v>
      </c>
    </row>
    <row r="14" spans="1:9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0.47250736208501098</v>
      </c>
      <c r="G14">
        <v>1.0740450425230601</v>
      </c>
      <c r="H14">
        <v>3.5285528061407798</v>
      </c>
      <c r="I14">
        <v>0.70863290279662605</v>
      </c>
    </row>
    <row r="15" spans="1:9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0.59269611213590001</v>
      </c>
      <c r="G15">
        <v>0.79689930934966602</v>
      </c>
      <c r="H15">
        <v>3.1969493628966599</v>
      </c>
      <c r="I15">
        <v>0.70939601504666305</v>
      </c>
    </row>
    <row r="16" spans="1:9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0.41317138465693898</v>
      </c>
      <c r="G16">
        <v>0.51862118385605305</v>
      </c>
      <c r="H16">
        <v>2.9504476336276202</v>
      </c>
      <c r="I16">
        <v>0.55126358847103696</v>
      </c>
    </row>
    <row r="17" spans="1:9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0.98854137273126197</v>
      </c>
      <c r="G17">
        <v>0.46449383279055001</v>
      </c>
      <c r="H17">
        <v>2.69146716438381</v>
      </c>
      <c r="I17">
        <v>1.1883973490067199</v>
      </c>
    </row>
    <row r="18" spans="1:9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0.62832076279901705</v>
      </c>
      <c r="G18">
        <v>1.39978383337849</v>
      </c>
      <c r="H18">
        <v>3.5183836489188001</v>
      </c>
      <c r="I18">
        <v>1.4587862262967599</v>
      </c>
    </row>
    <row r="19" spans="1:9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0.77744158232054095</v>
      </c>
      <c r="G19">
        <v>1.05070848753989</v>
      </c>
      <c r="H19">
        <v>3.2523060525854102</v>
      </c>
      <c r="I19">
        <v>1.42961886514237</v>
      </c>
    </row>
    <row r="20" spans="1:9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0.75251864652243206</v>
      </c>
      <c r="G20">
        <v>0.7089662863724</v>
      </c>
      <c r="H20">
        <v>2.9789941421977599</v>
      </c>
      <c r="I20">
        <v>1.0618214182144601</v>
      </c>
    </row>
    <row r="21" spans="1:9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0.46747260152818099</v>
      </c>
      <c r="G21">
        <v>0.348569685825595</v>
      </c>
      <c r="H21">
        <v>2.71829570073464</v>
      </c>
      <c r="I21">
        <v>0.59867738539457604</v>
      </c>
    </row>
    <row r="22" spans="1:9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0.92097714757956695</v>
      </c>
      <c r="G22">
        <v>0.33471296296296199</v>
      </c>
      <c r="H22">
        <v>2.5102488722876002</v>
      </c>
      <c r="I22">
        <v>1.2920208940698199</v>
      </c>
    </row>
    <row r="23" spans="1:9" hidden="1" x14ac:dyDescent="0.3">
      <c r="A23">
        <v>100</v>
      </c>
      <c r="B23">
        <v>5</v>
      </c>
      <c r="C23">
        <v>500</v>
      </c>
      <c r="D23">
        <v>32.282554088333299</v>
      </c>
      <c r="E23">
        <v>32.475539339999997</v>
      </c>
      <c r="F23">
        <v>-6217.86362275396</v>
      </c>
      <c r="G23">
        <v>3.25500985382673</v>
      </c>
      <c r="H23">
        <v>3.2692510372910299</v>
      </c>
      <c r="I23">
        <v>-8313.1128450660599</v>
      </c>
    </row>
    <row r="24" spans="1:9" hidden="1" x14ac:dyDescent="0.3">
      <c r="A24">
        <v>100</v>
      </c>
      <c r="B24">
        <v>5</v>
      </c>
      <c r="C24">
        <v>2500</v>
      </c>
      <c r="D24">
        <v>18.4262436166666</v>
      </c>
      <c r="E24">
        <v>18.448552741111101</v>
      </c>
      <c r="F24">
        <v>-2989.18050221775</v>
      </c>
      <c r="G24">
        <v>2.32756415216899</v>
      </c>
      <c r="H24">
        <v>2.3282538582025598</v>
      </c>
      <c r="I24">
        <v>1</v>
      </c>
    </row>
    <row r="25" spans="1:9" hidden="1" x14ac:dyDescent="0.3">
      <c r="A25">
        <v>100</v>
      </c>
      <c r="B25">
        <v>6</v>
      </c>
      <c r="C25">
        <v>500</v>
      </c>
      <c r="D25">
        <v>26.9970652083333</v>
      </c>
      <c r="E25">
        <v>27.079947847777699</v>
      </c>
      <c r="F25">
        <v>-12099.813127534901</v>
      </c>
      <c r="G25">
        <v>2.9591403261824198</v>
      </c>
      <c r="H25">
        <v>2.9615035911824501</v>
      </c>
      <c r="I25">
        <v>-46565.284884338602</v>
      </c>
    </row>
    <row r="26" spans="1:9" hidden="1" x14ac:dyDescent="0.3">
      <c r="A26">
        <v>100</v>
      </c>
      <c r="B26">
        <v>6</v>
      </c>
      <c r="C26">
        <v>2500</v>
      </c>
      <c r="D26">
        <v>16.340238518333301</v>
      </c>
      <c r="E26">
        <v>16.522505253888799</v>
      </c>
      <c r="F26">
        <v>-3361.7813995416</v>
      </c>
      <c r="G26">
        <v>2.17630016194809</v>
      </c>
      <c r="H26">
        <v>2.1977976354319599</v>
      </c>
      <c r="I26">
        <v>-3795.5092202988499</v>
      </c>
    </row>
    <row r="27" spans="1:9" hidden="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-0.72748571713329102</v>
      </c>
      <c r="G27">
        <v>2.5886822361941402</v>
      </c>
      <c r="H27">
        <v>5.83584206677161</v>
      </c>
      <c r="I27">
        <v>1.3967274664017599</v>
      </c>
    </row>
    <row r="28" spans="1:9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-2.5446273929788901</v>
      </c>
      <c r="G28">
        <v>1.6681911472192399</v>
      </c>
      <c r="H28">
        <v>5.4113362160566698</v>
      </c>
      <c r="I28">
        <v>-0.43010495005923099</v>
      </c>
    </row>
    <row r="29" spans="1:9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-1.91161102566042</v>
      </c>
      <c r="G29">
        <v>1.29195428868517</v>
      </c>
      <c r="H29">
        <v>5.0469736422668197</v>
      </c>
      <c r="I29">
        <v>-0.60906018720856603</v>
      </c>
    </row>
    <row r="30" spans="1:9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-1.5793682050025899</v>
      </c>
      <c r="G30">
        <v>1.05080714795866</v>
      </c>
      <c r="H30">
        <v>4.6836377508854703</v>
      </c>
      <c r="I30">
        <v>-0.46265631747909203</v>
      </c>
    </row>
    <row r="31" spans="1:9" hidden="1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-1.1632897907881099</v>
      </c>
      <c r="G31">
        <v>1.0006699945887401</v>
      </c>
      <c r="H31">
        <v>4.23501931654204</v>
      </c>
      <c r="I31">
        <v>-4.8331846037699099E-2</v>
      </c>
    </row>
    <row r="32" spans="1:9" hidden="1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1.5213786653682499</v>
      </c>
      <c r="G32">
        <v>2.1167485383282001</v>
      </c>
      <c r="H32">
        <v>4.5018395086386596</v>
      </c>
      <c r="I32">
        <v>2.4909738118676099</v>
      </c>
    </row>
    <row r="33" spans="1:9" hidden="1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1.1660801143805899</v>
      </c>
      <c r="G33">
        <v>1.7719903046463199</v>
      </c>
      <c r="H33">
        <v>4.0859314651361798</v>
      </c>
      <c r="I33">
        <v>1.74057666016901</v>
      </c>
    </row>
    <row r="34" spans="1:9" hidden="1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-0.33054830693300202</v>
      </c>
      <c r="G34">
        <v>1.2277035528868701</v>
      </c>
      <c r="H34">
        <v>3.7475995846554802</v>
      </c>
      <c r="I34">
        <v>-0.25521371776884999</v>
      </c>
    </row>
    <row r="35" spans="1:9" hidden="1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1.44714727128862</v>
      </c>
      <c r="G35">
        <v>0.97630376102077798</v>
      </c>
      <c r="H35">
        <v>3.4399342176330201</v>
      </c>
      <c r="I35">
        <v>0.52206524155188805</v>
      </c>
    </row>
    <row r="36" spans="1:9" hidden="1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1.14950451787921</v>
      </c>
      <c r="G36">
        <v>0.73595834237968005</v>
      </c>
      <c r="H36">
        <v>3.1161673525534099</v>
      </c>
      <c r="I36">
        <v>0.39894682894482503</v>
      </c>
    </row>
    <row r="37" spans="1:9" hidden="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1.8771526257105899</v>
      </c>
      <c r="G37">
        <v>1.98065622473133</v>
      </c>
      <c r="H37">
        <v>3.8643627782451899</v>
      </c>
      <c r="I37">
        <v>4.01437772311629</v>
      </c>
    </row>
    <row r="38" spans="1:9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1.3735819730480101</v>
      </c>
      <c r="G38">
        <v>1.5671124781375301</v>
      </c>
      <c r="H38">
        <v>3.5275192877459798</v>
      </c>
      <c r="I38">
        <v>2.4455288299246498</v>
      </c>
    </row>
    <row r="39" spans="1:9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0.276129393150781</v>
      </c>
      <c r="G39">
        <v>1.03946478552786</v>
      </c>
      <c r="H39">
        <v>3.2084982031034102</v>
      </c>
      <c r="I39">
        <v>5.0009616928881701E-2</v>
      </c>
    </row>
    <row r="40" spans="1:9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1.44682695082506</v>
      </c>
      <c r="G40">
        <v>0.98087451540237203</v>
      </c>
      <c r="H40">
        <v>2.9467332525354601</v>
      </c>
      <c r="I40">
        <v>0.96893037875749299</v>
      </c>
    </row>
    <row r="41" spans="1:9" hidden="1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1.56195858507774</v>
      </c>
      <c r="G41">
        <v>0.69350996440117196</v>
      </c>
      <c r="H41">
        <v>2.7148923891940502</v>
      </c>
      <c r="I41">
        <v>1.18398439500529</v>
      </c>
    </row>
    <row r="42" spans="1:9" hidden="1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1.0641017856180299</v>
      </c>
      <c r="G42">
        <v>1.4522039845741801</v>
      </c>
      <c r="H42">
        <v>3.5143489769496701</v>
      </c>
      <c r="I42">
        <v>1.2096630869232801</v>
      </c>
    </row>
    <row r="43" spans="1:9" hidden="1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1.2817382419598999</v>
      </c>
      <c r="G43">
        <v>1.3376697832860101</v>
      </c>
      <c r="H43">
        <v>3.24130686371111</v>
      </c>
      <c r="I43">
        <v>2.23693449782043</v>
      </c>
    </row>
    <row r="44" spans="1:9" hidden="1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0.99368630135239699</v>
      </c>
      <c r="G44">
        <v>0.99311152509896905</v>
      </c>
      <c r="H44">
        <v>2.9749875643070598</v>
      </c>
      <c r="I44">
        <v>1.1320072792853499</v>
      </c>
    </row>
    <row r="45" spans="1:9" hidden="1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1.1747385534316099</v>
      </c>
      <c r="G45">
        <v>0.79638290010602197</v>
      </c>
      <c r="H45">
        <v>2.7267401132220899</v>
      </c>
      <c r="I45">
        <v>1.44685149101321</v>
      </c>
    </row>
    <row r="46" spans="1:9" hidden="1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1.38815527916363</v>
      </c>
      <c r="G46">
        <v>0.62146177945828096</v>
      </c>
      <c r="H46">
        <v>2.5151068939545098</v>
      </c>
      <c r="I46">
        <v>1.5374597313007701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FDDB-9E49-422F-A4BD-F68576BB75E5}">
  <dimension ref="A1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2044-0C0E-4A2F-A78D-71C748203F32}">
  <dimension ref="A1:L46"/>
  <sheetViews>
    <sheetView workbookViewId="0">
      <selection activeCell="O47" sqref="O47"/>
    </sheetView>
  </sheetViews>
  <sheetFormatPr defaultRowHeight="14.4" x14ac:dyDescent="0.3"/>
  <sheetData>
    <row r="1" spans="1:12" ht="232.8" customHeight="1" x14ac:dyDescent="0.3"/>
    <row r="2" spans="1:12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  <c r="J2" t="s">
        <v>41</v>
      </c>
      <c r="K2" t="s">
        <v>9</v>
      </c>
      <c r="L2" t="s">
        <v>42</v>
      </c>
    </row>
    <row r="3" spans="1:12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  <c r="J3">
        <f>LN(Table16[[#This Row],[rho_0]])</f>
        <v>0.57690933368902053</v>
      </c>
      <c r="K3">
        <f>LN(Table16[[#This Row],[R(ao)]])</f>
        <v>0</v>
      </c>
      <c r="L3">
        <f>1/Table16[[#This Row],[R(ao)]]</f>
        <v>1</v>
      </c>
    </row>
    <row r="4" spans="1:12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  <c r="J4">
        <f>LN(Table16[[#This Row],[rho_0]])</f>
        <v>0.42165572665981355</v>
      </c>
      <c r="K4">
        <f>LN(Table16[[#This Row],[R(ao)]])</f>
        <v>0</v>
      </c>
      <c r="L4">
        <f>1/Table16[[#This Row],[R(ao)]]</f>
        <v>1</v>
      </c>
    </row>
    <row r="5" spans="1:12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  <c r="J5">
        <f>LN(Table16[[#This Row],[rho_0]])</f>
        <v>5.1365378898811244E-2</v>
      </c>
      <c r="K5">
        <f>LN(Table16[[#This Row],[R(ao)]])</f>
        <v>0</v>
      </c>
      <c r="L5">
        <f>1/Table16[[#This Row],[R(ao)]]</f>
        <v>1</v>
      </c>
    </row>
    <row r="6" spans="1:12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  <c r="J6">
        <f>LN(Table16[[#This Row],[rho_0]])</f>
        <v>-0.23975903131995624</v>
      </c>
      <c r="K6">
        <f>LN(Table16[[#This Row],[R(ao)]])</f>
        <v>0</v>
      </c>
      <c r="L6">
        <f>1/Table16[[#This Row],[R(ao)]]</f>
        <v>1</v>
      </c>
    </row>
    <row r="7" spans="1:12" hidden="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  <c r="J7">
        <f>LN(Table16[[#This Row],[rho_0]])</f>
        <v>-0.49024866942814183</v>
      </c>
      <c r="K7">
        <f>LN(Table16[[#This Row],[R(ao)]])</f>
        <v>0</v>
      </c>
      <c r="L7">
        <f>1/Table16[[#This Row],[R(ao)]]</f>
        <v>1</v>
      </c>
    </row>
    <row r="8" spans="1:12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  <c r="J8">
        <f>LN(Table16[[#This Row],[rho_0]])</f>
        <v>0.36139192977426327</v>
      </c>
      <c r="K8">
        <f>LN(Table16[[#This Row],[R(ao)]])</f>
        <v>0.69314718055994529</v>
      </c>
      <c r="L8">
        <f>1/Table16[[#This Row],[R(ao)]]</f>
        <v>0.5</v>
      </c>
    </row>
    <row r="9" spans="1:12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  <c r="J9">
        <f>LN(Table16[[#This Row],[rho_0]])</f>
        <v>0.18098385429010996</v>
      </c>
      <c r="K9">
        <f>LN(Table16[[#This Row],[R(ao)]])</f>
        <v>0.69314718055994529</v>
      </c>
      <c r="L9">
        <f>1/Table16[[#This Row],[R(ao)]]</f>
        <v>0.5</v>
      </c>
    </row>
    <row r="10" spans="1:12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  <c r="J10">
        <f>LN(Table16[[#This Row],[rho_0]])</f>
        <v>1.6269542935666733E-2</v>
      </c>
      <c r="K10">
        <f>LN(Table16[[#This Row],[R(ao)]])</f>
        <v>0.69314718055994529</v>
      </c>
      <c r="L10">
        <f>1/Table16[[#This Row],[R(ao)]]</f>
        <v>0.5</v>
      </c>
    </row>
    <row r="11" spans="1:12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  <c r="J11">
        <f>LN(Table16[[#This Row],[rho_0]])</f>
        <v>-0.23207642761015759</v>
      </c>
      <c r="K11">
        <f>LN(Table16[[#This Row],[R(ao)]])</f>
        <v>0.69314718055994529</v>
      </c>
      <c r="L11">
        <f>1/Table16[[#This Row],[R(ao)]]</f>
        <v>0.5</v>
      </c>
    </row>
    <row r="12" spans="1:12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  <c r="J12">
        <f>LN(Table16[[#This Row],[rho_0]])</f>
        <v>-0.3517203991161249</v>
      </c>
      <c r="K12">
        <f>LN(Table16[[#This Row],[R(ao)]])</f>
        <v>0.69314718055994529</v>
      </c>
      <c r="L12">
        <f>1/Table16[[#This Row],[R(ao)]]</f>
        <v>0.5</v>
      </c>
    </row>
    <row r="13" spans="1:12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  <c r="J13">
        <f>LN(Table16[[#This Row],[rho_0]])</f>
        <v>0.29185778489507264</v>
      </c>
      <c r="K13">
        <f>LN(Table16[[#This Row],[R(ao)]])</f>
        <v>1.0986122886681098</v>
      </c>
      <c r="L13">
        <f>1/Table16[[#This Row],[R(ao)]]</f>
        <v>0.33333333333333331</v>
      </c>
    </row>
    <row r="14" spans="1:12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  <c r="J14">
        <f>LN(Table16[[#This Row],[rho_0]])</f>
        <v>7.1431934241762834E-2</v>
      </c>
      <c r="K14">
        <f>LN(Table16[[#This Row],[R(ao)]])</f>
        <v>1.0986122886681098</v>
      </c>
      <c r="L14">
        <f>1/Table16[[#This Row],[R(ao)]]</f>
        <v>0.33333333333333331</v>
      </c>
    </row>
    <row r="15" spans="1:12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  <c r="J15">
        <f>LN(Table16[[#This Row],[rho_0]])</f>
        <v>-0.2270269452500788</v>
      </c>
      <c r="K15">
        <f>LN(Table16[[#This Row],[R(ao)]])</f>
        <v>1.0986122886681098</v>
      </c>
      <c r="L15">
        <f>1/Table16[[#This Row],[R(ao)]]</f>
        <v>0.33333333333333331</v>
      </c>
    </row>
    <row r="16" spans="1:12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  <c r="J16">
        <f>LN(Table16[[#This Row],[rho_0]])</f>
        <v>-0.65658155855130218</v>
      </c>
      <c r="K16">
        <f>LN(Table16[[#This Row],[R(ao)]])</f>
        <v>1.0986122886681098</v>
      </c>
      <c r="L16">
        <f>1/Table16[[#This Row],[R(ao)]]</f>
        <v>0.33333333333333331</v>
      </c>
    </row>
    <row r="17" spans="1:12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  <c r="J17">
        <f>LN(Table16[[#This Row],[rho_0]])</f>
        <v>-0.76680699790885021</v>
      </c>
      <c r="K17">
        <f>LN(Table16[[#This Row],[R(ao)]])</f>
        <v>1.0986122886681098</v>
      </c>
      <c r="L17">
        <f>1/Table16[[#This Row],[R(ao)]]</f>
        <v>0.33333333333333331</v>
      </c>
    </row>
    <row r="18" spans="1:12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  <c r="J18">
        <f>LN(Table16[[#This Row],[rho_0]])</f>
        <v>0.33631781996992549</v>
      </c>
      <c r="K18">
        <f>LN(Table16[[#This Row],[R(ao)]])</f>
        <v>1.3862943611198906</v>
      </c>
      <c r="L18">
        <f>1/Table16[[#This Row],[R(ao)]]</f>
        <v>0.25</v>
      </c>
    </row>
    <row r="19" spans="1:12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  <c r="J19">
        <f>LN(Table16[[#This Row],[rho_0]])</f>
        <v>4.9464686665965568E-2</v>
      </c>
      <c r="K19">
        <f>LN(Table16[[#This Row],[R(ao)]])</f>
        <v>1.3862943611198906</v>
      </c>
      <c r="L19">
        <f>1/Table16[[#This Row],[R(ao)]]</f>
        <v>0.25</v>
      </c>
    </row>
    <row r="20" spans="1:12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  <c r="J20">
        <f>LN(Table16[[#This Row],[rho_0]])</f>
        <v>-0.34394730453630434</v>
      </c>
      <c r="K20">
        <f>LN(Table16[[#This Row],[R(ao)]])</f>
        <v>1.3862943611198906</v>
      </c>
      <c r="L20">
        <f>1/Table16[[#This Row],[R(ao)]]</f>
        <v>0.25</v>
      </c>
    </row>
    <row r="21" spans="1:12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  <c r="J21">
        <f>LN(Table16[[#This Row],[rho_0]])</f>
        <v>-1.0539171094433712</v>
      </c>
      <c r="K21">
        <f>LN(Table16[[#This Row],[R(ao)]])</f>
        <v>1.3862943611198906</v>
      </c>
      <c r="L21">
        <f>1/Table16[[#This Row],[R(ao)]]</f>
        <v>0.25</v>
      </c>
    </row>
    <row r="22" spans="1:12" hidden="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  <c r="J22">
        <f>LN(Table16[[#This Row],[rho_0]])</f>
        <v>-1.0944819414193525</v>
      </c>
      <c r="K22">
        <f>LN(Table16[[#This Row],[R(ao)]])</f>
        <v>1.3862943611198906</v>
      </c>
      <c r="L22">
        <f>1/Table16[[#This Row],[R(ao)]]</f>
        <v>0.25</v>
      </c>
    </row>
    <row r="23" spans="1:12" hidden="1" x14ac:dyDescent="0.3">
      <c r="A23">
        <v>100</v>
      </c>
      <c r="B23">
        <v>5</v>
      </c>
      <c r="C23">
        <v>500</v>
      </c>
      <c r="E23">
        <v>32.475539339999997</v>
      </c>
      <c r="H23">
        <v>3.2692510372910299</v>
      </c>
      <c r="J23" t="e">
        <f>LN(Table16[[#This Row],[rho_0]])</f>
        <v>#NUM!</v>
      </c>
      <c r="K23">
        <f>LN(Table16[[#This Row],[R(ao)]])</f>
        <v>1.6094379124341003</v>
      </c>
      <c r="L23">
        <f>1/Table16[[#This Row],[R(ao)]]</f>
        <v>0.2</v>
      </c>
    </row>
    <row r="24" spans="1:12" hidden="1" x14ac:dyDescent="0.3">
      <c r="A24">
        <v>100</v>
      </c>
      <c r="B24">
        <v>5</v>
      </c>
      <c r="C24">
        <v>2500</v>
      </c>
      <c r="E24">
        <v>18.448552741111101</v>
      </c>
      <c r="H24">
        <v>2.3282538582025598</v>
      </c>
      <c r="J24" t="e">
        <f>LN(Table16[[#This Row],[rho_0]])</f>
        <v>#NUM!</v>
      </c>
      <c r="K24">
        <f>LN(Table16[[#This Row],[R(ao)]])</f>
        <v>1.6094379124341003</v>
      </c>
      <c r="L24">
        <f>1/Table16[[#This Row],[R(ao)]]</f>
        <v>0.2</v>
      </c>
    </row>
    <row r="25" spans="1:12" hidden="1" x14ac:dyDescent="0.3">
      <c r="A25">
        <v>100</v>
      </c>
      <c r="B25">
        <v>6</v>
      </c>
      <c r="C25">
        <v>500</v>
      </c>
      <c r="E25">
        <v>27.079947847777699</v>
      </c>
      <c r="H25">
        <v>2.9615035911824501</v>
      </c>
      <c r="J25" t="e">
        <f>LN(Table16[[#This Row],[rho_0]])</f>
        <v>#NUM!</v>
      </c>
      <c r="K25">
        <f>LN(Table16[[#This Row],[R(ao)]])</f>
        <v>1.791759469228055</v>
      </c>
      <c r="L25">
        <f>1/Table16[[#This Row],[R(ao)]]</f>
        <v>0.16666666666666666</v>
      </c>
    </row>
    <row r="26" spans="1:12" hidden="1" x14ac:dyDescent="0.3">
      <c r="A26">
        <v>100</v>
      </c>
      <c r="B26">
        <v>6</v>
      </c>
      <c r="C26">
        <v>2500</v>
      </c>
      <c r="E26">
        <v>16.522505253888799</v>
      </c>
      <c r="H26">
        <v>2.1977976354319599</v>
      </c>
      <c r="J26" t="e">
        <f>LN(Table16[[#This Row],[rho_0]])</f>
        <v>#NUM!</v>
      </c>
      <c r="K26">
        <f>LN(Table16[[#This Row],[R(ao)]])</f>
        <v>1.791759469228055</v>
      </c>
      <c r="L26">
        <f>1/Table16[[#This Row],[R(ao)]]</f>
        <v>0.16666666666666666</v>
      </c>
    </row>
    <row r="27" spans="1:12" hidden="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1.0312647741452401</v>
      </c>
      <c r="G27">
        <v>2.5886822361941402</v>
      </c>
      <c r="H27">
        <v>5.83584206677161</v>
      </c>
      <c r="I27">
        <v>1.7439489115946001</v>
      </c>
      <c r="J27">
        <f>LN(Table16[[#This Row],[rho_0]])</f>
        <v>0.95114895712011382</v>
      </c>
      <c r="K27">
        <f>LN(Table16[[#This Row],[R(ao)]])</f>
        <v>0</v>
      </c>
      <c r="L27">
        <f>1/Table16[[#This Row],[R(ao)]]</f>
        <v>1</v>
      </c>
    </row>
    <row r="28" spans="1:12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0.73926540807119001</v>
      </c>
      <c r="G28">
        <v>1.6681911472192399</v>
      </c>
      <c r="H28">
        <v>5.4113362160566698</v>
      </c>
      <c r="I28">
        <v>1.27635381978995</v>
      </c>
      <c r="J28">
        <f>LN(Table16[[#This Row],[rho_0]])</f>
        <v>0.51173989402508058</v>
      </c>
      <c r="K28">
        <f>LN(Table16[[#This Row],[R(ao)]])</f>
        <v>0</v>
      </c>
      <c r="L28">
        <f>1/Table16[[#This Row],[R(ao)]]</f>
        <v>1</v>
      </c>
    </row>
    <row r="29" spans="1:12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0.79821700722667299</v>
      </c>
      <c r="G29">
        <v>1.29195428868517</v>
      </c>
      <c r="H29">
        <v>5.0469736422668197</v>
      </c>
      <c r="I29">
        <v>1.1870163692771201</v>
      </c>
      <c r="J29">
        <f>LN(Table16[[#This Row],[rho_0]])</f>
        <v>0.25615602445987723</v>
      </c>
      <c r="K29">
        <f>LN(Table16[[#This Row],[R(ao)]])</f>
        <v>0</v>
      </c>
      <c r="L29">
        <f>1/Table16[[#This Row],[R(ao)]]</f>
        <v>1</v>
      </c>
    </row>
    <row r="30" spans="1:12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0.83943070478818405</v>
      </c>
      <c r="G30">
        <v>1.05080714795866</v>
      </c>
      <c r="H30">
        <v>4.6836377508854703</v>
      </c>
      <c r="I30">
        <v>1.2559956537835</v>
      </c>
      <c r="J30">
        <f>LN(Table16[[#This Row],[rho_0]])</f>
        <v>4.955858120300919E-2</v>
      </c>
      <c r="K30">
        <f>LN(Table16[[#This Row],[R(ao)]])</f>
        <v>0</v>
      </c>
      <c r="L30">
        <f>1/Table16[[#This Row],[R(ao)]]</f>
        <v>1</v>
      </c>
    </row>
    <row r="31" spans="1:12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1.01519197215941</v>
      </c>
      <c r="G31">
        <v>1.0006699945887401</v>
      </c>
      <c r="H31">
        <v>4.23501931654204</v>
      </c>
      <c r="I31">
        <v>1.35253992325525</v>
      </c>
      <c r="J31">
        <f>LN(Table16[[#This Row],[rho_0]])</f>
        <v>6.6977024256714831E-4</v>
      </c>
      <c r="K31">
        <f>LN(Table16[[#This Row],[R(ao)]])</f>
        <v>0</v>
      </c>
      <c r="L31">
        <f>1/Table16[[#This Row],[R(ao)]]</f>
        <v>1</v>
      </c>
    </row>
    <row r="32" spans="1:12" hidden="1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1.7590441166728701</v>
      </c>
      <c r="G32">
        <v>2.1167485383282001</v>
      </c>
      <c r="H32">
        <v>4.5018395086386596</v>
      </c>
      <c r="I32">
        <v>1.99997147662459</v>
      </c>
      <c r="J32">
        <f>LN(Table16[[#This Row],[rho_0]])</f>
        <v>0.74988120301359096</v>
      </c>
      <c r="K32">
        <f>LN(Table16[[#This Row],[R(ao)]])</f>
        <v>0.69314718055994529</v>
      </c>
      <c r="L32">
        <f>1/Table16[[#This Row],[R(ao)]]</f>
        <v>0.5</v>
      </c>
    </row>
    <row r="33" spans="1:12" hidden="1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1.71642862674407</v>
      </c>
      <c r="G33">
        <v>1.7719903046463199</v>
      </c>
      <c r="H33">
        <v>4.0859314651361798</v>
      </c>
      <c r="I33">
        <v>1.8463729498725401</v>
      </c>
      <c r="J33">
        <f>LN(Table16[[#This Row],[rho_0]])</f>
        <v>0.57210338074936562</v>
      </c>
      <c r="K33">
        <f>LN(Table16[[#This Row],[R(ao)]])</f>
        <v>0.69314718055994529</v>
      </c>
      <c r="L33">
        <f>1/Table16[[#This Row],[R(ao)]]</f>
        <v>0.5</v>
      </c>
    </row>
    <row r="34" spans="1:12" hidden="1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1.34673078210956</v>
      </c>
      <c r="G34">
        <v>1.2277035528868701</v>
      </c>
      <c r="H34">
        <v>3.7475995846554802</v>
      </c>
      <c r="I34">
        <v>1.42916325231605</v>
      </c>
      <c r="J34">
        <f>LN(Table16[[#This Row],[rho_0]])</f>
        <v>0.20514539413780791</v>
      </c>
      <c r="K34">
        <f>LN(Table16[[#This Row],[R(ao)]])</f>
        <v>0.69314718055994529</v>
      </c>
      <c r="L34">
        <f>1/Table16[[#This Row],[R(ao)]]</f>
        <v>0.5</v>
      </c>
    </row>
    <row r="35" spans="1:12" hidden="1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1.8654282014749799</v>
      </c>
      <c r="G35">
        <v>0.97630376102077798</v>
      </c>
      <c r="H35">
        <v>3.4399342176330201</v>
      </c>
      <c r="I35">
        <v>1.7345285214649</v>
      </c>
      <c r="J35">
        <f>LN(Table16[[#This Row],[rho_0]])</f>
        <v>-2.3981510437150945E-2</v>
      </c>
      <c r="K35">
        <f>LN(Table16[[#This Row],[R(ao)]])</f>
        <v>0.69314718055994529</v>
      </c>
      <c r="L35">
        <f>1/Table16[[#This Row],[R(ao)]]</f>
        <v>0.5</v>
      </c>
    </row>
    <row r="36" spans="1:12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1.82191980185842</v>
      </c>
      <c r="G36">
        <v>0.73595834237968005</v>
      </c>
      <c r="H36">
        <v>3.1161673525534099</v>
      </c>
      <c r="I36">
        <v>1.7257716809789001</v>
      </c>
      <c r="J36">
        <f>LN(Table16[[#This Row],[rho_0]])</f>
        <v>-0.30658176188271147</v>
      </c>
      <c r="K36">
        <f>LN(Table16[[#This Row],[R(ao)]])</f>
        <v>0.69314718055994529</v>
      </c>
      <c r="L36">
        <f>1/Table16[[#This Row],[R(ao)]]</f>
        <v>0.5</v>
      </c>
    </row>
    <row r="37" spans="1:12" hidden="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2.1771258157546902</v>
      </c>
      <c r="G37">
        <v>1.98065622473133</v>
      </c>
      <c r="H37">
        <v>3.8643627782451899</v>
      </c>
      <c r="I37">
        <v>2.3749907745095098</v>
      </c>
      <c r="J37">
        <f>LN(Table16[[#This Row],[rho_0]])</f>
        <v>0.68342821642875451</v>
      </c>
      <c r="K37">
        <f>LN(Table16[[#This Row],[R(ao)]])</f>
        <v>1.0986122886681098</v>
      </c>
      <c r="L37">
        <f>1/Table16[[#This Row],[R(ao)]]</f>
        <v>0.33333333333333331</v>
      </c>
    </row>
    <row r="38" spans="1:12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2.0887724737230799</v>
      </c>
      <c r="G38">
        <v>1.5671124781375301</v>
      </c>
      <c r="H38">
        <v>3.5275192877459798</v>
      </c>
      <c r="I38">
        <v>2.0904653787392502</v>
      </c>
      <c r="J38">
        <f>LN(Table16[[#This Row],[rho_0]])</f>
        <v>0.44923474008155651</v>
      </c>
      <c r="K38">
        <f>LN(Table16[[#This Row],[R(ao)]])</f>
        <v>1.0986122886681098</v>
      </c>
      <c r="L38">
        <f>1/Table16[[#This Row],[R(ao)]]</f>
        <v>0.33333333333333331</v>
      </c>
    </row>
    <row r="39" spans="1:12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1.8031873212866101</v>
      </c>
      <c r="G39">
        <v>1.03946478552786</v>
      </c>
      <c r="H39">
        <v>3.2084982031034102</v>
      </c>
      <c r="I39">
        <v>1.6084584716921499</v>
      </c>
      <c r="J39">
        <f>LN(Table16[[#This Row],[rho_0]])</f>
        <v>3.8705951386038849E-2</v>
      </c>
      <c r="K39">
        <f>LN(Table16[[#This Row],[R(ao)]])</f>
        <v>1.0986122886681098</v>
      </c>
      <c r="L39">
        <f>1/Table16[[#This Row],[R(ao)]]</f>
        <v>0.33333333333333331</v>
      </c>
    </row>
    <row r="40" spans="1:12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2.1857902579310799</v>
      </c>
      <c r="G40">
        <v>0.98087451540237203</v>
      </c>
      <c r="H40">
        <v>2.9467332525354601</v>
      </c>
      <c r="I40">
        <v>1.85597030853824</v>
      </c>
      <c r="J40">
        <f>LN(Table16[[#This Row],[rho_0]])</f>
        <v>-1.9310742580884555E-2</v>
      </c>
      <c r="K40">
        <f>LN(Table16[[#This Row],[R(ao)]])</f>
        <v>1.0986122886681098</v>
      </c>
      <c r="L40">
        <f>1/Table16[[#This Row],[R(ao)]]</f>
        <v>0.33333333333333331</v>
      </c>
    </row>
    <row r="41" spans="1:12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2.4420614425269198</v>
      </c>
      <c r="G41">
        <v>0.69350996440117196</v>
      </c>
      <c r="H41">
        <v>2.7148923891940502</v>
      </c>
      <c r="I41">
        <v>2.1630238105382098</v>
      </c>
      <c r="J41">
        <f>LN(Table16[[#This Row],[rho_0]])</f>
        <v>-0.36598967105192703</v>
      </c>
      <c r="K41">
        <f>LN(Table16[[#This Row],[R(ao)]])</f>
        <v>1.0986122886681098</v>
      </c>
      <c r="L41">
        <f>1/Table16[[#This Row],[R(ao)]]</f>
        <v>0.33333333333333331</v>
      </c>
    </row>
    <row r="42" spans="1:12" hidden="1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2.2307611496558502</v>
      </c>
      <c r="G42">
        <v>1.4522039845741801</v>
      </c>
      <c r="H42">
        <v>3.5143489769496701</v>
      </c>
      <c r="I42">
        <v>1.8703239363325299</v>
      </c>
      <c r="J42">
        <f>LN(Table16[[#This Row],[rho_0]])</f>
        <v>0.37308239177940228</v>
      </c>
      <c r="K42">
        <f>LN(Table16[[#This Row],[R(ao)]])</f>
        <v>1.3862943611198906</v>
      </c>
      <c r="L42">
        <f>1/Table16[[#This Row],[R(ao)]]</f>
        <v>0.25</v>
      </c>
    </row>
    <row r="43" spans="1:12" hidden="1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2.3494714868673099</v>
      </c>
      <c r="G43">
        <v>1.3376697832860101</v>
      </c>
      <c r="H43">
        <v>3.24130686371111</v>
      </c>
      <c r="I43">
        <v>2.1644097021986601</v>
      </c>
      <c r="J43">
        <f>LN(Table16[[#This Row],[rho_0]])</f>
        <v>0.29092913250631314</v>
      </c>
      <c r="K43">
        <f>LN(Table16[[#This Row],[R(ao)]])</f>
        <v>1.3862943611198906</v>
      </c>
      <c r="L43">
        <f>1/Table16[[#This Row],[R(ao)]]</f>
        <v>0.25</v>
      </c>
    </row>
    <row r="44" spans="1:12" hidden="1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2.31390130435652</v>
      </c>
      <c r="G44">
        <v>0.99311152509896905</v>
      </c>
      <c r="H44">
        <v>2.9749875643070598</v>
      </c>
      <c r="I44">
        <v>2.0130874146964302</v>
      </c>
      <c r="J44">
        <f>LN(Table16[[#This Row],[rho_0]])</f>
        <v>-6.9123099654893969E-3</v>
      </c>
      <c r="K44">
        <f>LN(Table16[[#This Row],[R(ao)]])</f>
        <v>1.3862943611198906</v>
      </c>
      <c r="L44">
        <f>1/Table16[[#This Row],[R(ao)]]</f>
        <v>0.25</v>
      </c>
    </row>
    <row r="45" spans="1:12" hidden="1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2.5066143811223598</v>
      </c>
      <c r="G45">
        <v>0.79638290010602197</v>
      </c>
      <c r="H45">
        <v>2.7267401132220899</v>
      </c>
      <c r="I45">
        <v>2.2240596970790301</v>
      </c>
      <c r="J45">
        <f>LN(Table16[[#This Row],[rho_0]])</f>
        <v>-0.22767517851178537</v>
      </c>
      <c r="K45">
        <f>LN(Table16[[#This Row],[R(ao)]])</f>
        <v>1.3862943611198906</v>
      </c>
      <c r="L45">
        <f>1/Table16[[#This Row],[R(ao)]]</f>
        <v>0.25</v>
      </c>
    </row>
    <row r="46" spans="1:12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2.6940043156601399</v>
      </c>
      <c r="G46">
        <v>0.62146177945828096</v>
      </c>
      <c r="H46">
        <v>2.5151068939545098</v>
      </c>
      <c r="I46">
        <v>2.4262134399034898</v>
      </c>
      <c r="J46">
        <f>LN(Table16[[#This Row],[rho_0]])</f>
        <v>-0.47568086717376279</v>
      </c>
      <c r="K46">
        <f>LN(Table16[[#This Row],[R(ao)]])</f>
        <v>1.3862943611198906</v>
      </c>
      <c r="L46">
        <f>1/Table16[[#This Row],[R(ao)]]</f>
        <v>0.25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1401-5D8E-43B0-A6F0-FF7E6905B7E2}">
  <dimension ref="A1:L46"/>
  <sheetViews>
    <sheetView workbookViewId="0">
      <selection activeCell="H51" sqref="H51"/>
    </sheetView>
  </sheetViews>
  <sheetFormatPr defaultRowHeight="14.4" x14ac:dyDescent="0.3"/>
  <sheetData>
    <row r="1" spans="1:12" ht="228" customHeight="1" x14ac:dyDescent="0.3"/>
    <row r="2" spans="1:12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  <c r="J2" t="s">
        <v>43</v>
      </c>
      <c r="K2" t="s">
        <v>18</v>
      </c>
      <c r="L2" t="s">
        <v>19</v>
      </c>
    </row>
    <row r="3" spans="1:12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  <c r="J3">
        <f>LN(Table113[[#This Row],[rho_0]])</f>
        <v>0.57690933368902053</v>
      </c>
      <c r="K3">
        <f>LN(Table113[[#This Row],[T(K)]])</f>
        <v>6.2146080984221914</v>
      </c>
      <c r="L3">
        <f>1/Table113[[#This Row],[T(K)]]</f>
        <v>2E-3</v>
      </c>
    </row>
    <row r="4" spans="1:12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  <c r="J4">
        <f>LN(Table113[[#This Row],[rho_0]])</f>
        <v>0.42165572665981355</v>
      </c>
      <c r="K4">
        <f>LN(Table113[[#This Row],[T(K)]])</f>
        <v>6.9077552789821368</v>
      </c>
      <c r="L4">
        <f>1/Table113[[#This Row],[T(K)]]</f>
        <v>1E-3</v>
      </c>
    </row>
    <row r="5" spans="1:12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  <c r="J5">
        <f>LN(Table113[[#This Row],[rho_0]])</f>
        <v>5.1365378898811244E-2</v>
      </c>
      <c r="K5">
        <f>LN(Table113[[#This Row],[T(K)]])</f>
        <v>7.3132203870903014</v>
      </c>
      <c r="L5">
        <f>1/Table113[[#This Row],[T(K)]]</f>
        <v>6.6666666666666664E-4</v>
      </c>
    </row>
    <row r="6" spans="1:12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  <c r="J6">
        <f>LN(Table113[[#This Row],[rho_0]])</f>
        <v>-0.23975903131995624</v>
      </c>
      <c r="K6">
        <f>LN(Table113[[#This Row],[T(K)]])</f>
        <v>7.6009024595420822</v>
      </c>
      <c r="L6">
        <f>1/Table113[[#This Row],[T(K)]]</f>
        <v>5.0000000000000001E-4</v>
      </c>
    </row>
    <row r="7" spans="1:12" hidden="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  <c r="J7">
        <f>LN(Table113[[#This Row],[rho_0]])</f>
        <v>-0.49024866942814183</v>
      </c>
      <c r="K7">
        <f>LN(Table113[[#This Row],[T(K)]])</f>
        <v>7.8240460108562919</v>
      </c>
      <c r="L7">
        <f>1/Table113[[#This Row],[T(K)]]</f>
        <v>4.0000000000000002E-4</v>
      </c>
    </row>
    <row r="8" spans="1:12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  <c r="J8">
        <f>LN(Table113[[#This Row],[rho_0]])</f>
        <v>0.36139192977426327</v>
      </c>
      <c r="K8">
        <f>LN(Table113[[#This Row],[T(K)]])</f>
        <v>6.2146080984221914</v>
      </c>
      <c r="L8">
        <f>1/Table113[[#This Row],[T(K)]]</f>
        <v>2E-3</v>
      </c>
    </row>
    <row r="9" spans="1:12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  <c r="J9">
        <f>LN(Table113[[#This Row],[rho_0]])</f>
        <v>0.18098385429010996</v>
      </c>
      <c r="K9">
        <f>LN(Table113[[#This Row],[T(K)]])</f>
        <v>6.9077552789821368</v>
      </c>
      <c r="L9">
        <f>1/Table113[[#This Row],[T(K)]]</f>
        <v>1E-3</v>
      </c>
    </row>
    <row r="10" spans="1:12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  <c r="J10">
        <f>LN(Table113[[#This Row],[rho_0]])</f>
        <v>1.6269542935666733E-2</v>
      </c>
      <c r="K10">
        <f>LN(Table113[[#This Row],[T(K)]])</f>
        <v>7.3132203870903014</v>
      </c>
      <c r="L10">
        <f>1/Table113[[#This Row],[T(K)]]</f>
        <v>6.6666666666666664E-4</v>
      </c>
    </row>
    <row r="11" spans="1:12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  <c r="J11">
        <f>LN(Table113[[#This Row],[rho_0]])</f>
        <v>-0.23207642761015759</v>
      </c>
      <c r="K11">
        <f>LN(Table113[[#This Row],[T(K)]])</f>
        <v>7.6009024595420822</v>
      </c>
      <c r="L11">
        <f>1/Table113[[#This Row],[T(K)]]</f>
        <v>5.0000000000000001E-4</v>
      </c>
    </row>
    <row r="12" spans="1:12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  <c r="J12">
        <f>LN(Table113[[#This Row],[rho_0]])</f>
        <v>-0.3517203991161249</v>
      </c>
      <c r="K12">
        <f>LN(Table113[[#This Row],[T(K)]])</f>
        <v>7.8240460108562919</v>
      </c>
      <c r="L12">
        <f>1/Table113[[#This Row],[T(K)]]</f>
        <v>4.0000000000000002E-4</v>
      </c>
    </row>
    <row r="13" spans="1:12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  <c r="J13">
        <f>LN(Table113[[#This Row],[rho_0]])</f>
        <v>0.29185778489507264</v>
      </c>
      <c r="K13">
        <f>LN(Table113[[#This Row],[T(K)]])</f>
        <v>6.2146080984221914</v>
      </c>
      <c r="L13">
        <f>1/Table113[[#This Row],[T(K)]]</f>
        <v>2E-3</v>
      </c>
    </row>
    <row r="14" spans="1:12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  <c r="J14">
        <f>LN(Table113[[#This Row],[rho_0]])</f>
        <v>7.1431934241762834E-2</v>
      </c>
      <c r="K14">
        <f>LN(Table113[[#This Row],[T(K)]])</f>
        <v>6.9077552789821368</v>
      </c>
      <c r="L14">
        <f>1/Table113[[#This Row],[T(K)]]</f>
        <v>1E-3</v>
      </c>
    </row>
    <row r="15" spans="1:12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  <c r="J15">
        <f>LN(Table113[[#This Row],[rho_0]])</f>
        <v>-0.2270269452500788</v>
      </c>
      <c r="K15">
        <f>LN(Table113[[#This Row],[T(K)]])</f>
        <v>7.3132203870903014</v>
      </c>
      <c r="L15">
        <f>1/Table113[[#This Row],[T(K)]]</f>
        <v>6.6666666666666664E-4</v>
      </c>
    </row>
    <row r="16" spans="1:12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  <c r="J16">
        <f>LN(Table113[[#This Row],[rho_0]])</f>
        <v>-0.65658155855130218</v>
      </c>
      <c r="K16">
        <f>LN(Table113[[#This Row],[T(K)]])</f>
        <v>7.6009024595420822</v>
      </c>
      <c r="L16">
        <f>1/Table113[[#This Row],[T(K)]]</f>
        <v>5.0000000000000001E-4</v>
      </c>
    </row>
    <row r="17" spans="1:12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  <c r="J17">
        <f>LN(Table113[[#This Row],[rho_0]])</f>
        <v>-0.76680699790885021</v>
      </c>
      <c r="K17">
        <f>LN(Table113[[#This Row],[T(K)]])</f>
        <v>7.8240460108562919</v>
      </c>
      <c r="L17">
        <f>1/Table113[[#This Row],[T(K)]]</f>
        <v>4.0000000000000002E-4</v>
      </c>
    </row>
    <row r="18" spans="1:12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  <c r="J18">
        <f>LN(Table113[[#This Row],[rho_0]])</f>
        <v>0.33631781996992549</v>
      </c>
      <c r="K18">
        <f>LN(Table113[[#This Row],[T(K)]])</f>
        <v>6.2146080984221914</v>
      </c>
      <c r="L18">
        <f>1/Table113[[#This Row],[T(K)]]</f>
        <v>2E-3</v>
      </c>
    </row>
    <row r="19" spans="1:12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  <c r="J19">
        <f>LN(Table113[[#This Row],[rho_0]])</f>
        <v>4.9464686665965568E-2</v>
      </c>
      <c r="K19">
        <f>LN(Table113[[#This Row],[T(K)]])</f>
        <v>6.9077552789821368</v>
      </c>
      <c r="L19">
        <f>1/Table113[[#This Row],[T(K)]]</f>
        <v>1E-3</v>
      </c>
    </row>
    <row r="20" spans="1:12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  <c r="J20">
        <f>LN(Table113[[#This Row],[rho_0]])</f>
        <v>-0.34394730453630434</v>
      </c>
      <c r="K20">
        <f>LN(Table113[[#This Row],[T(K)]])</f>
        <v>7.3132203870903014</v>
      </c>
      <c r="L20">
        <f>1/Table113[[#This Row],[T(K)]]</f>
        <v>6.6666666666666664E-4</v>
      </c>
    </row>
    <row r="21" spans="1:12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  <c r="J21">
        <f>LN(Table113[[#This Row],[rho_0]])</f>
        <v>-1.0539171094433712</v>
      </c>
      <c r="K21">
        <f>LN(Table113[[#This Row],[T(K)]])</f>
        <v>7.6009024595420822</v>
      </c>
      <c r="L21">
        <f>1/Table113[[#This Row],[T(K)]]</f>
        <v>5.0000000000000001E-4</v>
      </c>
    </row>
    <row r="22" spans="1:12" hidden="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  <c r="J22">
        <f>LN(Table113[[#This Row],[rho_0]])</f>
        <v>-1.0944819414193525</v>
      </c>
      <c r="K22">
        <f>LN(Table113[[#This Row],[T(K)]])</f>
        <v>7.8240460108562919</v>
      </c>
      <c r="L22">
        <f>1/Table113[[#This Row],[T(K)]]</f>
        <v>4.0000000000000002E-4</v>
      </c>
    </row>
    <row r="23" spans="1:12" hidden="1" x14ac:dyDescent="0.3">
      <c r="A23">
        <v>100</v>
      </c>
      <c r="B23">
        <v>5</v>
      </c>
      <c r="C23">
        <v>500</v>
      </c>
      <c r="E23">
        <v>32.475539339999997</v>
      </c>
      <c r="H23">
        <v>3.2692510372910299</v>
      </c>
      <c r="J23" t="e">
        <f>LN(Table113[[#This Row],[rho_0]])</f>
        <v>#NUM!</v>
      </c>
      <c r="K23">
        <f>LN(Table113[[#This Row],[T(K)]])</f>
        <v>6.2146080984221914</v>
      </c>
      <c r="L23">
        <f>1/Table113[[#This Row],[T(K)]]</f>
        <v>2E-3</v>
      </c>
    </row>
    <row r="24" spans="1:12" hidden="1" x14ac:dyDescent="0.3">
      <c r="A24">
        <v>100</v>
      </c>
      <c r="B24">
        <v>5</v>
      </c>
      <c r="C24">
        <v>2500</v>
      </c>
      <c r="E24">
        <v>18.448552741111101</v>
      </c>
      <c r="H24">
        <v>2.3282538582025598</v>
      </c>
      <c r="J24" t="e">
        <f>LN(Table113[[#This Row],[rho_0]])</f>
        <v>#NUM!</v>
      </c>
      <c r="K24">
        <f>LN(Table113[[#This Row],[T(K)]])</f>
        <v>7.8240460108562919</v>
      </c>
      <c r="L24">
        <f>1/Table113[[#This Row],[T(K)]]</f>
        <v>4.0000000000000002E-4</v>
      </c>
    </row>
    <row r="25" spans="1:12" hidden="1" x14ac:dyDescent="0.3">
      <c r="A25">
        <v>100</v>
      </c>
      <c r="B25">
        <v>6</v>
      </c>
      <c r="C25">
        <v>500</v>
      </c>
      <c r="E25">
        <v>27.079947847777699</v>
      </c>
      <c r="H25">
        <v>2.9615035911824501</v>
      </c>
      <c r="J25" t="e">
        <f>LN(Table113[[#This Row],[rho_0]])</f>
        <v>#NUM!</v>
      </c>
      <c r="K25">
        <f>LN(Table113[[#This Row],[T(K)]])</f>
        <v>6.2146080984221914</v>
      </c>
      <c r="L25">
        <f>1/Table113[[#This Row],[T(K)]]</f>
        <v>2E-3</v>
      </c>
    </row>
    <row r="26" spans="1:12" hidden="1" x14ac:dyDescent="0.3">
      <c r="A26">
        <v>100</v>
      </c>
      <c r="B26">
        <v>6</v>
      </c>
      <c r="C26">
        <v>2500</v>
      </c>
      <c r="E26">
        <v>16.522505253888799</v>
      </c>
      <c r="H26">
        <v>2.1977976354319599</v>
      </c>
      <c r="J26" t="e">
        <f>LN(Table113[[#This Row],[rho_0]])</f>
        <v>#NUM!</v>
      </c>
      <c r="K26">
        <f>LN(Table113[[#This Row],[T(K)]])</f>
        <v>7.8240460108562919</v>
      </c>
      <c r="L26">
        <f>1/Table113[[#This Row],[T(K)]]</f>
        <v>4.0000000000000002E-4</v>
      </c>
    </row>
    <row r="27" spans="1:12" hidden="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1.0312647741452401</v>
      </c>
      <c r="G27">
        <v>2.5886822361941402</v>
      </c>
      <c r="H27">
        <v>5.83584206677161</v>
      </c>
      <c r="I27">
        <v>1.7439489115946001</v>
      </c>
      <c r="J27">
        <f>LN(Table113[[#This Row],[rho_0]])</f>
        <v>0.95114895712011382</v>
      </c>
      <c r="K27">
        <f>LN(Table113[[#This Row],[T(K)]])</f>
        <v>6.2146080984221914</v>
      </c>
      <c r="L27">
        <f>1/Table113[[#This Row],[T(K)]]</f>
        <v>2E-3</v>
      </c>
    </row>
    <row r="28" spans="1:12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0.73926540807119001</v>
      </c>
      <c r="G28">
        <v>1.6681911472192399</v>
      </c>
      <c r="H28">
        <v>5.4113362160566698</v>
      </c>
      <c r="I28">
        <v>1.27635381978995</v>
      </c>
      <c r="J28">
        <f>LN(Table113[[#This Row],[rho_0]])</f>
        <v>0.51173989402508058</v>
      </c>
      <c r="K28">
        <f>LN(Table113[[#This Row],[T(K)]])</f>
        <v>6.9077552789821368</v>
      </c>
      <c r="L28">
        <f>1/Table113[[#This Row],[T(K)]]</f>
        <v>1E-3</v>
      </c>
    </row>
    <row r="29" spans="1:12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0.79821700722667299</v>
      </c>
      <c r="G29">
        <v>1.29195428868517</v>
      </c>
      <c r="H29">
        <v>5.0469736422668197</v>
      </c>
      <c r="I29">
        <v>1.1870163692771201</v>
      </c>
      <c r="J29">
        <f>LN(Table113[[#This Row],[rho_0]])</f>
        <v>0.25615602445987723</v>
      </c>
      <c r="K29">
        <f>LN(Table113[[#This Row],[T(K)]])</f>
        <v>7.3132203870903014</v>
      </c>
      <c r="L29">
        <f>1/Table113[[#This Row],[T(K)]]</f>
        <v>6.6666666666666664E-4</v>
      </c>
    </row>
    <row r="30" spans="1:12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0.83943070478818405</v>
      </c>
      <c r="G30">
        <v>1.05080714795866</v>
      </c>
      <c r="H30">
        <v>4.6836377508854703</v>
      </c>
      <c r="I30">
        <v>1.2559956537835</v>
      </c>
      <c r="J30">
        <f>LN(Table113[[#This Row],[rho_0]])</f>
        <v>4.955858120300919E-2</v>
      </c>
      <c r="K30">
        <f>LN(Table113[[#This Row],[T(K)]])</f>
        <v>7.6009024595420822</v>
      </c>
      <c r="L30">
        <f>1/Table113[[#This Row],[T(K)]]</f>
        <v>5.0000000000000001E-4</v>
      </c>
    </row>
    <row r="31" spans="1:12" hidden="1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1.01519197215941</v>
      </c>
      <c r="G31">
        <v>1.0006699945887401</v>
      </c>
      <c r="H31">
        <v>4.23501931654204</v>
      </c>
      <c r="I31">
        <v>1.35253992325525</v>
      </c>
      <c r="J31">
        <f>LN(Table113[[#This Row],[rho_0]])</f>
        <v>6.6977024256714831E-4</v>
      </c>
      <c r="K31">
        <f>LN(Table113[[#This Row],[T(K)]])</f>
        <v>7.8240460108562919</v>
      </c>
      <c r="L31">
        <f>1/Table113[[#This Row],[T(K)]]</f>
        <v>4.0000000000000002E-4</v>
      </c>
    </row>
    <row r="32" spans="1:12" hidden="1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1.7590441166728701</v>
      </c>
      <c r="G32">
        <v>2.1167485383282001</v>
      </c>
      <c r="H32">
        <v>4.5018395086386596</v>
      </c>
      <c r="I32">
        <v>1.99997147662459</v>
      </c>
      <c r="J32">
        <f>LN(Table113[[#This Row],[rho_0]])</f>
        <v>0.74988120301359096</v>
      </c>
      <c r="K32">
        <f>LN(Table113[[#This Row],[T(K)]])</f>
        <v>6.2146080984221914</v>
      </c>
      <c r="L32">
        <f>1/Table113[[#This Row],[T(K)]]</f>
        <v>2E-3</v>
      </c>
    </row>
    <row r="33" spans="1:12" hidden="1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1.71642862674407</v>
      </c>
      <c r="G33">
        <v>1.7719903046463199</v>
      </c>
      <c r="H33">
        <v>4.0859314651361798</v>
      </c>
      <c r="I33">
        <v>1.8463729498725401</v>
      </c>
      <c r="J33">
        <f>LN(Table113[[#This Row],[rho_0]])</f>
        <v>0.57210338074936562</v>
      </c>
      <c r="K33">
        <f>LN(Table113[[#This Row],[T(K)]])</f>
        <v>6.9077552789821368</v>
      </c>
      <c r="L33">
        <f>1/Table113[[#This Row],[T(K)]]</f>
        <v>1E-3</v>
      </c>
    </row>
    <row r="34" spans="1:12" hidden="1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1.34673078210956</v>
      </c>
      <c r="G34">
        <v>1.2277035528868701</v>
      </c>
      <c r="H34">
        <v>3.7475995846554802</v>
      </c>
      <c r="I34">
        <v>1.42916325231605</v>
      </c>
      <c r="J34">
        <f>LN(Table113[[#This Row],[rho_0]])</f>
        <v>0.20514539413780791</v>
      </c>
      <c r="K34">
        <f>LN(Table113[[#This Row],[T(K)]])</f>
        <v>7.3132203870903014</v>
      </c>
      <c r="L34">
        <f>1/Table113[[#This Row],[T(K)]]</f>
        <v>6.6666666666666664E-4</v>
      </c>
    </row>
    <row r="35" spans="1:12" hidden="1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1.8654282014749799</v>
      </c>
      <c r="G35">
        <v>0.97630376102077798</v>
      </c>
      <c r="H35">
        <v>3.4399342176330201</v>
      </c>
      <c r="I35">
        <v>1.7345285214649</v>
      </c>
      <c r="J35">
        <f>LN(Table113[[#This Row],[rho_0]])</f>
        <v>-2.3981510437150945E-2</v>
      </c>
      <c r="K35">
        <f>LN(Table113[[#This Row],[T(K)]])</f>
        <v>7.6009024595420822</v>
      </c>
      <c r="L35">
        <f>1/Table113[[#This Row],[T(K)]]</f>
        <v>5.0000000000000001E-4</v>
      </c>
    </row>
    <row r="36" spans="1:12" hidden="1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1.82191980185842</v>
      </c>
      <c r="G36">
        <v>0.73595834237968005</v>
      </c>
      <c r="H36">
        <v>3.1161673525534099</v>
      </c>
      <c r="I36">
        <v>1.7257716809789001</v>
      </c>
      <c r="J36">
        <f>LN(Table113[[#This Row],[rho_0]])</f>
        <v>-0.30658176188271147</v>
      </c>
      <c r="K36">
        <f>LN(Table113[[#This Row],[T(K)]])</f>
        <v>7.8240460108562919</v>
      </c>
      <c r="L36">
        <f>1/Table113[[#This Row],[T(K)]]</f>
        <v>4.0000000000000002E-4</v>
      </c>
    </row>
    <row r="37" spans="1:12" hidden="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2.1771258157546902</v>
      </c>
      <c r="G37">
        <v>1.98065622473133</v>
      </c>
      <c r="H37">
        <v>3.8643627782451899</v>
      </c>
      <c r="I37">
        <v>2.3749907745095098</v>
      </c>
      <c r="J37">
        <f>LN(Table113[[#This Row],[rho_0]])</f>
        <v>0.68342821642875451</v>
      </c>
      <c r="K37">
        <f>LN(Table113[[#This Row],[T(K)]])</f>
        <v>6.2146080984221914</v>
      </c>
      <c r="L37">
        <f>1/Table113[[#This Row],[T(K)]]</f>
        <v>2E-3</v>
      </c>
    </row>
    <row r="38" spans="1:12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2.0887724737230799</v>
      </c>
      <c r="G38">
        <v>1.5671124781375301</v>
      </c>
      <c r="H38">
        <v>3.5275192877459798</v>
      </c>
      <c r="I38">
        <v>2.0904653787392502</v>
      </c>
      <c r="J38">
        <f>LN(Table113[[#This Row],[rho_0]])</f>
        <v>0.44923474008155651</v>
      </c>
      <c r="K38">
        <f>LN(Table113[[#This Row],[T(K)]])</f>
        <v>6.9077552789821368</v>
      </c>
      <c r="L38">
        <f>1/Table113[[#This Row],[T(K)]]</f>
        <v>1E-3</v>
      </c>
    </row>
    <row r="39" spans="1:12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1.8031873212866101</v>
      </c>
      <c r="G39">
        <v>1.03946478552786</v>
      </c>
      <c r="H39">
        <v>3.2084982031034102</v>
      </c>
      <c r="I39">
        <v>1.6084584716921499</v>
      </c>
      <c r="J39">
        <f>LN(Table113[[#This Row],[rho_0]])</f>
        <v>3.8705951386038849E-2</v>
      </c>
      <c r="K39">
        <f>LN(Table113[[#This Row],[T(K)]])</f>
        <v>7.3132203870903014</v>
      </c>
      <c r="L39">
        <f>1/Table113[[#This Row],[T(K)]]</f>
        <v>6.6666666666666664E-4</v>
      </c>
    </row>
    <row r="40" spans="1:12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2.1857902579310799</v>
      </c>
      <c r="G40">
        <v>0.98087451540237203</v>
      </c>
      <c r="H40">
        <v>2.9467332525354601</v>
      </c>
      <c r="I40">
        <v>1.85597030853824</v>
      </c>
      <c r="J40">
        <f>LN(Table113[[#This Row],[rho_0]])</f>
        <v>-1.9310742580884555E-2</v>
      </c>
      <c r="K40">
        <f>LN(Table113[[#This Row],[T(K)]])</f>
        <v>7.6009024595420822</v>
      </c>
      <c r="L40">
        <f>1/Table113[[#This Row],[T(K)]]</f>
        <v>5.0000000000000001E-4</v>
      </c>
    </row>
    <row r="41" spans="1:12" hidden="1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2.4420614425269198</v>
      </c>
      <c r="G41">
        <v>0.69350996440117196</v>
      </c>
      <c r="H41">
        <v>2.7148923891940502</v>
      </c>
      <c r="I41">
        <v>2.1630238105382098</v>
      </c>
      <c r="J41">
        <f>LN(Table113[[#This Row],[rho_0]])</f>
        <v>-0.36598967105192703</v>
      </c>
      <c r="K41">
        <f>LN(Table113[[#This Row],[T(K)]])</f>
        <v>7.8240460108562919</v>
      </c>
      <c r="L41">
        <f>1/Table113[[#This Row],[T(K)]]</f>
        <v>4.0000000000000002E-4</v>
      </c>
    </row>
    <row r="42" spans="1:12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2.2307611496558502</v>
      </c>
      <c r="G42">
        <v>1.4522039845741801</v>
      </c>
      <c r="H42">
        <v>3.5143489769496701</v>
      </c>
      <c r="I42">
        <v>1.8703239363325299</v>
      </c>
      <c r="J42">
        <f>LN(Table113[[#This Row],[rho_0]])</f>
        <v>0.37308239177940228</v>
      </c>
      <c r="K42">
        <f>LN(Table113[[#This Row],[T(K)]])</f>
        <v>6.2146080984221914</v>
      </c>
      <c r="L42">
        <f>1/Table113[[#This Row],[T(K)]]</f>
        <v>2E-3</v>
      </c>
    </row>
    <row r="43" spans="1:12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2.3494714868673099</v>
      </c>
      <c r="G43">
        <v>1.3376697832860101</v>
      </c>
      <c r="H43">
        <v>3.24130686371111</v>
      </c>
      <c r="I43">
        <v>2.1644097021986601</v>
      </c>
      <c r="J43">
        <f>LN(Table113[[#This Row],[rho_0]])</f>
        <v>0.29092913250631314</v>
      </c>
      <c r="K43">
        <f>LN(Table113[[#This Row],[T(K)]])</f>
        <v>6.9077552789821368</v>
      </c>
      <c r="L43">
        <f>1/Table113[[#This Row],[T(K)]]</f>
        <v>1E-3</v>
      </c>
    </row>
    <row r="44" spans="1:12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2.31390130435652</v>
      </c>
      <c r="G44">
        <v>0.99311152509896905</v>
      </c>
      <c r="H44">
        <v>2.9749875643070598</v>
      </c>
      <c r="I44">
        <v>2.0130874146964302</v>
      </c>
      <c r="J44">
        <f>LN(Table113[[#This Row],[rho_0]])</f>
        <v>-6.9123099654893969E-3</v>
      </c>
      <c r="K44">
        <f>LN(Table113[[#This Row],[T(K)]])</f>
        <v>7.3132203870903014</v>
      </c>
      <c r="L44">
        <f>1/Table113[[#This Row],[T(K)]]</f>
        <v>6.6666666666666664E-4</v>
      </c>
    </row>
    <row r="45" spans="1:12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2.5066143811223598</v>
      </c>
      <c r="G45">
        <v>0.79638290010602197</v>
      </c>
      <c r="H45">
        <v>2.7267401132220899</v>
      </c>
      <c r="I45">
        <v>2.2240596970790301</v>
      </c>
      <c r="J45">
        <f>LN(Table113[[#This Row],[rho_0]])</f>
        <v>-0.22767517851178537</v>
      </c>
      <c r="K45">
        <f>LN(Table113[[#This Row],[T(K)]])</f>
        <v>7.6009024595420822</v>
      </c>
      <c r="L45">
        <f>1/Table113[[#This Row],[T(K)]]</f>
        <v>5.0000000000000001E-4</v>
      </c>
    </row>
    <row r="46" spans="1:12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2.6940043156601399</v>
      </c>
      <c r="G46">
        <v>0.62146177945828096</v>
      </c>
      <c r="H46">
        <v>2.5151068939545098</v>
      </c>
      <c r="I46">
        <v>2.4262134399034898</v>
      </c>
      <c r="J46">
        <f>LN(Table113[[#This Row],[rho_0]])</f>
        <v>-0.47568086717376279</v>
      </c>
      <c r="K46">
        <f>LN(Table113[[#This Row],[T(K)]])</f>
        <v>7.8240460108562919</v>
      </c>
      <c r="L46">
        <f>1/Table113[[#This Row],[T(K)]]</f>
        <v>4.0000000000000002E-4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0AC3-61AE-4A35-8361-A1967E07587E}">
  <dimension ref="A1:AH42"/>
  <sheetViews>
    <sheetView topLeftCell="O1" workbookViewId="0">
      <selection activeCell="AH2" sqref="AH2"/>
    </sheetView>
  </sheetViews>
  <sheetFormatPr defaultRowHeight="14.4" x14ac:dyDescent="0.3"/>
  <cols>
    <col min="1" max="1" width="20.44140625" customWidth="1"/>
    <col min="2" max="2" width="10.33203125" customWidth="1"/>
    <col min="11" max="11" width="12.109375" customWidth="1"/>
    <col min="12" max="13" width="9.21875" customWidth="1"/>
    <col min="14" max="14" width="12.109375" customWidth="1"/>
    <col min="28" max="28" width="10.88671875" customWidth="1"/>
  </cols>
  <sheetData>
    <row r="1" spans="1:34" x14ac:dyDescent="0.3">
      <c r="G1" s="1" t="s">
        <v>21</v>
      </c>
      <c r="O1" t="s">
        <v>11</v>
      </c>
      <c r="P1" t="s">
        <v>12</v>
      </c>
      <c r="Q1" t="s">
        <v>13</v>
      </c>
      <c r="X1" s="1" t="s">
        <v>23</v>
      </c>
      <c r="AF1" t="s">
        <v>11</v>
      </c>
      <c r="AG1" t="s">
        <v>12</v>
      </c>
      <c r="AH1" t="s">
        <v>13</v>
      </c>
    </row>
    <row r="2" spans="1:34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0</v>
      </c>
      <c r="J2" t="s">
        <v>8</v>
      </c>
      <c r="K2" t="s">
        <v>44</v>
      </c>
      <c r="L2" t="s">
        <v>45</v>
      </c>
      <c r="M2" t="s">
        <v>46</v>
      </c>
      <c r="N2" t="s">
        <v>47</v>
      </c>
      <c r="O2">
        <v>2.6821633893070023</v>
      </c>
      <c r="P2">
        <v>0.12792357089614362</v>
      </c>
      <c r="Q2">
        <v>5.3215663720974828E-4</v>
      </c>
      <c r="S2" s="2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  <c r="Y2" s="3" t="s">
        <v>1</v>
      </c>
      <c r="Z2" s="3" t="s">
        <v>0</v>
      </c>
      <c r="AA2" s="4" t="s">
        <v>8</v>
      </c>
      <c r="AB2" s="11" t="s">
        <v>44</v>
      </c>
      <c r="AC2" s="11" t="s">
        <v>45</v>
      </c>
      <c r="AD2" s="11" t="s">
        <v>46</v>
      </c>
      <c r="AE2" s="11" t="s">
        <v>47</v>
      </c>
      <c r="AF2">
        <v>3.5671654899359364</v>
      </c>
      <c r="AG2">
        <v>0.12494880012349081</v>
      </c>
      <c r="AH2">
        <v>5.1978734039980433E-4</v>
      </c>
    </row>
    <row r="3" spans="1:34" x14ac:dyDescent="0.3">
      <c r="B3">
        <v>100</v>
      </c>
      <c r="C3">
        <v>1</v>
      </c>
      <c r="D3">
        <v>500</v>
      </c>
      <c r="E3">
        <v>38.987904843554098</v>
      </c>
      <c r="F3">
        <v>88.051904233454493</v>
      </c>
      <c r="G3">
        <v>0.61602232172104499</v>
      </c>
      <c r="H3">
        <v>1.7805269034751501</v>
      </c>
      <c r="I3">
        <v>5.7174463924963899</v>
      </c>
      <c r="J3">
        <v>1.0588650288078501</v>
      </c>
      <c r="K3">
        <f>$O$2*EXP(-$P$2*Table114[[#This Row],[R(ao)]]-$Q$2*Table114[[#This Row],[T(K)]])</f>
        <v>1.8087243434890781</v>
      </c>
      <c r="L3">
        <f>(Table114[[#This Row],[rho_0 pred]]-Table114[[#This Row],[rho_0]])^2</f>
        <v>7.9509562333906721E-4</v>
      </c>
      <c r="M3">
        <f>SUM(Table114[(res)^2])</f>
        <v>0.18963092720537472</v>
      </c>
      <c r="N3">
        <f>RSQ(Table114[rho_0 pred],Table114[rho_0])</f>
        <v>0.94075350497191845</v>
      </c>
      <c r="S3" s="5">
        <v>110</v>
      </c>
      <c r="T3" s="6">
        <v>1</v>
      </c>
      <c r="U3" s="6">
        <v>500</v>
      </c>
      <c r="V3" s="6">
        <v>57.282114061772397</v>
      </c>
      <c r="W3" s="6">
        <v>86.600729920272698</v>
      </c>
      <c r="X3" s="6">
        <v>1.0312647741452401</v>
      </c>
      <c r="Y3" s="6">
        <v>2.5886822361941402</v>
      </c>
      <c r="Z3" s="6">
        <v>5.83584206677161</v>
      </c>
      <c r="AA3" s="7">
        <v>1.7439489115946001</v>
      </c>
      <c r="AB3">
        <f>$AF$2*EXP(-$AG$2*T3-$AH$2*U3)</f>
        <v>2.4276624258304427</v>
      </c>
      <c r="AC3">
        <f>(AB3-Y3)^2</f>
        <v>2.5927379329561104E-2</v>
      </c>
      <c r="AD3">
        <f>SUM(AC3:AC22)</f>
        <v>0.22445561093040867</v>
      </c>
      <c r="AE3">
        <f>RSQ(AB3:AB22,Y3:Y22)</f>
        <v>0.95681342583191797</v>
      </c>
    </row>
    <row r="4" spans="1:34" x14ac:dyDescent="0.3">
      <c r="B4">
        <v>100</v>
      </c>
      <c r="C4">
        <v>1</v>
      </c>
      <c r="D4">
        <v>1000</v>
      </c>
      <c r="E4">
        <v>36.549487136239101</v>
      </c>
      <c r="F4">
        <v>76.838578092363605</v>
      </c>
      <c r="G4">
        <v>0.90900473903045798</v>
      </c>
      <c r="H4">
        <v>1.52448359526946</v>
      </c>
      <c r="I4">
        <v>5.4619033090646703</v>
      </c>
      <c r="J4">
        <v>1.24498258477945</v>
      </c>
      <c r="K4">
        <f>$O$2*EXP(-$P$2*Table114[[#This Row],[R(ao)]]-$Q$2*Table114[[#This Row],[T(K)]])</f>
        <v>1.3861685406760424</v>
      </c>
      <c r="L4">
        <f>(Table114[[#This Row],[rho_0 pred]]-Table114[[#This Row],[rho_0]])^2</f>
        <v>1.9131054327180073E-2</v>
      </c>
      <c r="S4" s="8">
        <v>110</v>
      </c>
      <c r="T4" s="9">
        <v>1</v>
      </c>
      <c r="U4" s="9">
        <v>1000</v>
      </c>
      <c r="V4" s="9">
        <v>37.486742154701602</v>
      </c>
      <c r="W4" s="9">
        <v>77.167960525181797</v>
      </c>
      <c r="X4" s="9">
        <v>0.73926540807119001</v>
      </c>
      <c r="Y4" s="9">
        <v>1.6681911472192399</v>
      </c>
      <c r="Z4" s="9">
        <v>5.4113362160566698</v>
      </c>
      <c r="AA4" s="10">
        <v>1.27635381978995</v>
      </c>
      <c r="AB4">
        <f t="shared" ref="AB4:AB22" si="0">$AF$2*EXP(-$AG$2*T4-$AH$2*U4)</f>
        <v>1.8720520075656728</v>
      </c>
      <c r="AC4">
        <f t="shared" ref="AC4:AC22" si="1">(AB4-Y4)^2</f>
        <v>4.1559250381187823E-2</v>
      </c>
    </row>
    <row r="5" spans="1:34" x14ac:dyDescent="0.3">
      <c r="B5">
        <v>100</v>
      </c>
      <c r="C5">
        <v>1</v>
      </c>
      <c r="D5">
        <v>1500</v>
      </c>
      <c r="E5">
        <v>26.994950335905699</v>
      </c>
      <c r="F5">
        <v>68.538763993909001</v>
      </c>
      <c r="G5">
        <v>0.77971835079028595</v>
      </c>
      <c r="H5">
        <v>1.05270746011517</v>
      </c>
      <c r="I5">
        <v>4.9417855011150396</v>
      </c>
      <c r="J5">
        <v>1.17828101475251</v>
      </c>
      <c r="K5">
        <f>$O$2*EXP(-$P$2*Table114[[#This Row],[R(ao)]]-$Q$2*Table114[[#This Row],[T(K)]])</f>
        <v>1.0623306033761866</v>
      </c>
      <c r="L5">
        <f>(Table114[[#This Row],[rho_0 pred]]-Table114[[#This Row],[rho_0]])^2</f>
        <v>9.2604886222048095E-5</v>
      </c>
      <c r="S5" s="5">
        <v>110</v>
      </c>
      <c r="T5" s="6">
        <v>1</v>
      </c>
      <c r="U5" s="6">
        <v>1500</v>
      </c>
      <c r="V5" s="6">
        <v>29.761861465604099</v>
      </c>
      <c r="W5" s="6">
        <v>69.371188460090906</v>
      </c>
      <c r="X5" s="6">
        <v>0.79821700722667299</v>
      </c>
      <c r="Y5" s="6">
        <v>1.29195428868517</v>
      </c>
      <c r="Z5" s="6">
        <v>5.0469736422668197</v>
      </c>
      <c r="AA5" s="7">
        <v>1.1870163692771201</v>
      </c>
      <c r="AB5">
        <f t="shared" si="0"/>
        <v>1.4436021589088266</v>
      </c>
      <c r="AC5">
        <f t="shared" si="1"/>
        <v>2.2997076543370982E-2</v>
      </c>
    </row>
    <row r="6" spans="1:34" x14ac:dyDescent="0.3">
      <c r="B6">
        <v>100</v>
      </c>
      <c r="C6">
        <v>1</v>
      </c>
      <c r="D6">
        <v>2000</v>
      </c>
      <c r="E6">
        <v>19.553108798739299</v>
      </c>
      <c r="F6">
        <v>63.490942324909099</v>
      </c>
      <c r="G6">
        <v>0.90509577673152797</v>
      </c>
      <c r="H6">
        <v>0.78681743658388403</v>
      </c>
      <c r="I6">
        <v>4.6280308277581002</v>
      </c>
      <c r="J6">
        <v>1.44797915088444</v>
      </c>
      <c r="K6">
        <f>$O$2*EXP(-$P$2*Table114[[#This Row],[R(ao)]]-$Q$2*Table114[[#This Row],[T(K)]])</f>
        <v>0.81414797533870875</v>
      </c>
      <c r="L6">
        <f>(Table114[[#This Row],[rho_0 pred]]-Table114[[#This Row],[rho_0]])^2</f>
        <v>7.4695834862897588E-4</v>
      </c>
      <c r="S6" s="8">
        <v>110</v>
      </c>
      <c r="T6" s="9">
        <v>1</v>
      </c>
      <c r="U6" s="9">
        <v>2000</v>
      </c>
      <c r="V6" s="9">
        <v>25.361730066887599</v>
      </c>
      <c r="W6" s="9">
        <v>63.423271751727199</v>
      </c>
      <c r="X6" s="9">
        <v>0.83943070478818405</v>
      </c>
      <c r="Y6" s="9">
        <v>1.05080714795866</v>
      </c>
      <c r="Z6" s="9">
        <v>4.6836377508854703</v>
      </c>
      <c r="AA6" s="10">
        <v>1.2559956537835</v>
      </c>
      <c r="AB6">
        <f t="shared" si="0"/>
        <v>1.1132100950102037</v>
      </c>
      <c r="AC6">
        <f t="shared" si="1"/>
        <v>3.8941278007177667E-3</v>
      </c>
    </row>
    <row r="7" spans="1:34" x14ac:dyDescent="0.3">
      <c r="B7">
        <v>100</v>
      </c>
      <c r="C7">
        <v>1</v>
      </c>
      <c r="D7">
        <v>2500</v>
      </c>
      <c r="E7">
        <v>13.1516507988825</v>
      </c>
      <c r="F7">
        <v>56.859420649</v>
      </c>
      <c r="G7">
        <v>1.60925803027996</v>
      </c>
      <c r="H7">
        <v>0.61247407166907097</v>
      </c>
      <c r="I7">
        <v>4.2249616822571303</v>
      </c>
      <c r="J7">
        <v>1.86439953983776</v>
      </c>
      <c r="K7">
        <f>$O$2*EXP(-$P$2*Table114[[#This Row],[R(ao)]]-$Q$2*Table114[[#This Row],[T(K)]])</f>
        <v>0.62394599538181494</v>
      </c>
      <c r="L7">
        <f>(Table114[[#This Row],[rho_0 pred]]-Table114[[#This Row],[rho_0]])^2</f>
        <v>1.3160503367101739E-4</v>
      </c>
      <c r="S7" s="5">
        <v>110</v>
      </c>
      <c r="T7" s="6">
        <v>1</v>
      </c>
      <c r="U7" s="6">
        <v>2500</v>
      </c>
      <c r="V7" s="6">
        <v>21.835551091972899</v>
      </c>
      <c r="W7" s="6">
        <v>57.584859685181797</v>
      </c>
      <c r="X7" s="6">
        <v>1.01519197215941</v>
      </c>
      <c r="Y7" s="6">
        <v>1.0006699945887401</v>
      </c>
      <c r="Z7" s="6">
        <v>4.23501931654204</v>
      </c>
      <c r="AA7" s="7">
        <v>1.35253992325525</v>
      </c>
      <c r="AB7">
        <f t="shared" si="0"/>
        <v>0.85843368131932329</v>
      </c>
      <c r="AC7">
        <f t="shared" si="1"/>
        <v>2.0231168812475664E-2</v>
      </c>
    </row>
    <row r="8" spans="1:34" x14ac:dyDescent="0.3">
      <c r="A8" t="s">
        <v>60</v>
      </c>
      <c r="B8">
        <v>100</v>
      </c>
      <c r="C8">
        <v>2</v>
      </c>
      <c r="D8">
        <v>500</v>
      </c>
      <c r="E8">
        <v>13.3547971639351</v>
      </c>
      <c r="F8">
        <v>56.212994217575698</v>
      </c>
      <c r="G8">
        <v>1.3230710714705101</v>
      </c>
      <c r="H8">
        <v>1.4353258976085499</v>
      </c>
      <c r="I8">
        <v>4.4933293849343903</v>
      </c>
      <c r="J8">
        <v>1.4206104886524999</v>
      </c>
      <c r="K8">
        <f>$O$2*EXP(-$P$2*Table114[[#This Row],[R(ao)]]-$Q$2*Table114[[#This Row],[T(K)]])</f>
        <v>1.5915338604184708</v>
      </c>
      <c r="L8">
        <f>(Table114[[#This Row],[rho_0 pred]]-Table114[[#This Row],[rho_0]])^2</f>
        <v>2.4400927645225626E-2</v>
      </c>
      <c r="S8" s="8">
        <v>110</v>
      </c>
      <c r="T8" s="9">
        <v>2</v>
      </c>
      <c r="U8" s="9">
        <v>500</v>
      </c>
      <c r="V8" s="9">
        <v>25.206654469418599</v>
      </c>
      <c r="W8" s="9">
        <v>56.245464272727197</v>
      </c>
      <c r="X8" s="9">
        <v>1.7590441166728701</v>
      </c>
      <c r="Y8" s="9">
        <v>2.1167485383282001</v>
      </c>
      <c r="Z8" s="9">
        <v>4.5018395086386596</v>
      </c>
      <c r="AA8" s="10">
        <v>1.99997147662459</v>
      </c>
      <c r="AB8">
        <f t="shared" si="0"/>
        <v>2.1425142649739817</v>
      </c>
      <c r="AC8">
        <f t="shared" si="1"/>
        <v>6.638726695851391E-4</v>
      </c>
    </row>
    <row r="9" spans="1:34" x14ac:dyDescent="0.3">
      <c r="A9" t="s">
        <v>48</v>
      </c>
      <c r="B9">
        <v>100</v>
      </c>
      <c r="C9">
        <v>2</v>
      </c>
      <c r="D9">
        <v>1000</v>
      </c>
      <c r="E9">
        <v>12.1156014384801</v>
      </c>
      <c r="F9">
        <v>48.526996635303</v>
      </c>
      <c r="G9">
        <v>1.59016333434984</v>
      </c>
      <c r="H9">
        <v>1.1983958301855899</v>
      </c>
      <c r="I9">
        <v>4.1407165728614199</v>
      </c>
      <c r="J9">
        <v>1.57593520260021</v>
      </c>
      <c r="K9">
        <f>$O$2*EXP(-$P$2*Table114[[#This Row],[R(ao)]]-$Q$2*Table114[[#This Row],[T(K)]])</f>
        <v>1.2197182929915609</v>
      </c>
      <c r="L9">
        <f>(Table114[[#This Row],[rho_0 pred]]-Table114[[#This Row],[rho_0]])^2</f>
        <v>4.5464742011201427E-4</v>
      </c>
      <c r="S9" s="5">
        <v>110</v>
      </c>
      <c r="T9" s="6">
        <v>2</v>
      </c>
      <c r="U9" s="6">
        <v>1000</v>
      </c>
      <c r="V9" s="6">
        <v>19.8142490225679</v>
      </c>
      <c r="W9" s="6">
        <v>48.242304509696901</v>
      </c>
      <c r="X9" s="6">
        <v>1.71642862674407</v>
      </c>
      <c r="Y9" s="6">
        <v>1.7719903046463199</v>
      </c>
      <c r="Z9" s="6">
        <v>4.0859314651361798</v>
      </c>
      <c r="AA9" s="7">
        <v>1.8463729498725401</v>
      </c>
      <c r="AB9">
        <f t="shared" si="0"/>
        <v>1.6521646866164297</v>
      </c>
      <c r="AC9">
        <f t="shared" si="1"/>
        <v>1.4358178736245153E-2</v>
      </c>
    </row>
    <row r="10" spans="1:34" x14ac:dyDescent="0.3">
      <c r="A10" t="s">
        <v>49</v>
      </c>
      <c r="B10">
        <v>100</v>
      </c>
      <c r="C10">
        <v>2</v>
      </c>
      <c r="D10">
        <v>1500</v>
      </c>
      <c r="E10">
        <v>11.435813865154101</v>
      </c>
      <c r="F10">
        <v>41.5902465345454</v>
      </c>
      <c r="G10">
        <v>1.7959888232993599</v>
      </c>
      <c r="H10">
        <v>1.01640261263089</v>
      </c>
      <c r="I10">
        <v>3.73823132574043</v>
      </c>
      <c r="J10">
        <v>1.7062675113349399</v>
      </c>
      <c r="K10">
        <f>$O$2*EXP(-$P$2*Table114[[#This Row],[R(ao)]]-$Q$2*Table114[[#This Row],[T(K)]])</f>
        <v>0.93476661179365339</v>
      </c>
      <c r="L10">
        <f>(Table114[[#This Row],[rho_0 pred]]-Table114[[#This Row],[rho_0]])^2</f>
        <v>6.6644366326973035E-3</v>
      </c>
      <c r="S10" s="8">
        <v>110</v>
      </c>
      <c r="T10" s="9">
        <v>2</v>
      </c>
      <c r="U10" s="9">
        <v>1500</v>
      </c>
      <c r="V10" s="9">
        <v>14.237183619633299</v>
      </c>
      <c r="W10" s="9">
        <v>41.639288495606003</v>
      </c>
      <c r="X10" s="9">
        <v>1.34673078210956</v>
      </c>
      <c r="Y10" s="9">
        <v>1.2277035528868701</v>
      </c>
      <c r="Z10" s="9">
        <v>3.7475995846554802</v>
      </c>
      <c r="AA10" s="10">
        <v>1.42916325231605</v>
      </c>
      <c r="AB10">
        <f t="shared" si="0"/>
        <v>1.274039662805005</v>
      </c>
      <c r="AC10">
        <f t="shared" si="1"/>
        <v>2.1470350823454862E-3</v>
      </c>
    </row>
    <row r="11" spans="1:34" x14ac:dyDescent="0.3">
      <c r="B11">
        <v>100</v>
      </c>
      <c r="C11">
        <v>2</v>
      </c>
      <c r="D11">
        <v>2000</v>
      </c>
      <c r="E11">
        <v>9.5302387812026605</v>
      </c>
      <c r="F11">
        <v>36.802862126818098</v>
      </c>
      <c r="G11">
        <v>1.8207042084874001</v>
      </c>
      <c r="H11">
        <v>0.79288552264530698</v>
      </c>
      <c r="I11">
        <v>3.4606612192424602</v>
      </c>
      <c r="J11">
        <v>1.8679472767974801</v>
      </c>
      <c r="K11">
        <f>$O$2*EXP(-$P$2*Table114[[#This Row],[R(ao)]]-$Q$2*Table114[[#This Row],[T(K)]])</f>
        <v>0.71638559784249489</v>
      </c>
      <c r="L11">
        <f>(Table114[[#This Row],[rho_0 pred]]-Table114[[#This Row],[rho_0]])^2</f>
        <v>5.8522384948359049E-3</v>
      </c>
      <c r="S11" s="5">
        <v>110</v>
      </c>
      <c r="T11" s="6">
        <v>2</v>
      </c>
      <c r="U11" s="6">
        <v>2000</v>
      </c>
      <c r="V11" s="6">
        <v>13.908604489889999</v>
      </c>
      <c r="W11" s="6">
        <v>36.8278655477272</v>
      </c>
      <c r="X11" s="6">
        <v>1.8654282014749799</v>
      </c>
      <c r="Y11" s="6">
        <v>0.97630376102077798</v>
      </c>
      <c r="Z11" s="6">
        <v>3.4399342176330201</v>
      </c>
      <c r="AA11" s="7">
        <v>1.7345285214649</v>
      </c>
      <c r="AB11">
        <f t="shared" si="0"/>
        <v>0.98245476104715446</v>
      </c>
      <c r="AC11">
        <f t="shared" si="1"/>
        <v>3.7834801324483382E-5</v>
      </c>
    </row>
    <row r="12" spans="1:34" x14ac:dyDescent="0.3">
      <c r="B12">
        <v>100</v>
      </c>
      <c r="C12">
        <v>2</v>
      </c>
      <c r="D12">
        <v>2500</v>
      </c>
      <c r="E12">
        <v>10.013526888477299</v>
      </c>
      <c r="F12">
        <v>33.105415840303003</v>
      </c>
      <c r="G12">
        <v>2.6691951839081001</v>
      </c>
      <c r="H12">
        <v>0.70347678721266305</v>
      </c>
      <c r="I12">
        <v>3.1608122907983001</v>
      </c>
      <c r="J12">
        <v>2.4366614934508699</v>
      </c>
      <c r="K12">
        <f>$O$2*EXP(-$P$2*Table114[[#This Row],[R(ao)]]-$Q$2*Table114[[#This Row],[T(K)]])</f>
        <v>0.5490229521691965</v>
      </c>
      <c r="L12">
        <f>(Table114[[#This Row],[rho_0 pred]]-Table114[[#This Row],[rho_0]])^2</f>
        <v>2.3855987159634374E-2</v>
      </c>
      <c r="S12" s="8">
        <v>110</v>
      </c>
      <c r="T12" s="9">
        <v>2</v>
      </c>
      <c r="U12" s="9">
        <v>2500</v>
      </c>
      <c r="V12" s="9">
        <v>11.400694755451401</v>
      </c>
      <c r="W12" s="9">
        <v>32.920906616969603</v>
      </c>
      <c r="X12" s="9">
        <v>1.82191980185842</v>
      </c>
      <c r="Y12" s="9">
        <v>0.73595834237968005</v>
      </c>
      <c r="Z12" s="9">
        <v>3.1161673525534099</v>
      </c>
      <c r="AA12" s="10">
        <v>1.7257716809789001</v>
      </c>
      <c r="AB12">
        <f t="shared" si="0"/>
        <v>0.75760385306932965</v>
      </c>
      <c r="AC12">
        <f t="shared" si="1"/>
        <v>4.6852813301573483E-4</v>
      </c>
    </row>
    <row r="13" spans="1:34" x14ac:dyDescent="0.3">
      <c r="B13">
        <v>100</v>
      </c>
      <c r="C13">
        <v>3</v>
      </c>
      <c r="D13">
        <v>500</v>
      </c>
      <c r="E13">
        <v>7.7582738103185598</v>
      </c>
      <c r="F13">
        <v>43.6846300404545</v>
      </c>
      <c r="G13">
        <v>1.69209394815262</v>
      </c>
      <c r="H13">
        <v>1.33891259050426</v>
      </c>
      <c r="I13">
        <v>3.8549523475830001</v>
      </c>
      <c r="J13">
        <v>1.5800188454213999</v>
      </c>
      <c r="K13">
        <f>$O$2*EXP(-$P$2*Table114[[#This Row],[R(ao)]]-$Q$2*Table114[[#This Row],[T(K)]])</f>
        <v>1.4004234741333406</v>
      </c>
      <c r="L13">
        <f>(Table114[[#This Row],[rho_0 pred]]-Table114[[#This Row],[rho_0]])^2</f>
        <v>3.7835888048302867E-3</v>
      </c>
      <c r="S13" s="5">
        <v>110</v>
      </c>
      <c r="T13" s="6">
        <v>3</v>
      </c>
      <c r="U13" s="6">
        <v>500</v>
      </c>
      <c r="V13" s="6">
        <v>15.680837448358799</v>
      </c>
      <c r="W13" s="6">
        <v>43.764438158939399</v>
      </c>
      <c r="X13" s="6">
        <v>2.1771258157546902</v>
      </c>
      <c r="Y13" s="6">
        <v>1.98065622473133</v>
      </c>
      <c r="Z13" s="6">
        <v>3.8643627782451899</v>
      </c>
      <c r="AA13" s="7">
        <v>2.3749907745095098</v>
      </c>
      <c r="AB13">
        <f t="shared" si="0"/>
        <v>1.8908590118524207</v>
      </c>
      <c r="AC13">
        <f t="shared" si="1"/>
        <v>8.0635394408201527E-3</v>
      </c>
    </row>
    <row r="14" spans="1:34" x14ac:dyDescent="0.3">
      <c r="B14">
        <v>100</v>
      </c>
      <c r="C14">
        <v>3</v>
      </c>
      <c r="D14">
        <v>1000</v>
      </c>
      <c r="E14">
        <v>6.57343200408088</v>
      </c>
      <c r="F14">
        <v>37.648316448333297</v>
      </c>
      <c r="G14">
        <v>1.9620784200538901</v>
      </c>
      <c r="H14">
        <v>1.0740450425230601</v>
      </c>
      <c r="I14">
        <v>3.5285528061407798</v>
      </c>
      <c r="J14">
        <v>1.75228054012568</v>
      </c>
      <c r="K14">
        <f>$O$2*EXP(-$P$2*Table114[[#This Row],[R(ao)]]-$Q$2*Table114[[#This Row],[T(K)]])</f>
        <v>1.0732552864983367</v>
      </c>
      <c r="L14">
        <f>(Table114[[#This Row],[rho_0 pred]]-Table114[[#This Row],[rho_0]])^2</f>
        <v>6.2371457858693973E-7</v>
      </c>
      <c r="S14" s="8">
        <v>110</v>
      </c>
      <c r="T14" s="9">
        <v>3</v>
      </c>
      <c r="U14" s="9">
        <v>1000</v>
      </c>
      <c r="V14" s="9">
        <v>11.5141612395254</v>
      </c>
      <c r="W14" s="9">
        <v>37.7315105795454</v>
      </c>
      <c r="X14" s="9">
        <v>2.0887724737230799</v>
      </c>
      <c r="Y14" s="9">
        <v>1.5671124781375301</v>
      </c>
      <c r="Z14" s="9">
        <v>3.5275192877459798</v>
      </c>
      <c r="AA14" s="10">
        <v>2.0904653787392502</v>
      </c>
      <c r="AB14">
        <f t="shared" si="0"/>
        <v>1.4581048713768743</v>
      </c>
      <c r="AC14">
        <f t="shared" si="1"/>
        <v>1.1882658331685772E-2</v>
      </c>
    </row>
    <row r="15" spans="1:34" x14ac:dyDescent="0.3">
      <c r="B15">
        <v>100</v>
      </c>
      <c r="C15">
        <v>3</v>
      </c>
      <c r="D15">
        <v>1500</v>
      </c>
      <c r="E15">
        <v>4.9960232850488699</v>
      </c>
      <c r="F15">
        <v>32.414257819090899</v>
      </c>
      <c r="G15">
        <v>2.1209708774329799</v>
      </c>
      <c r="H15">
        <v>0.79689930934966602</v>
      </c>
      <c r="I15">
        <v>3.1969493628966599</v>
      </c>
      <c r="J15">
        <v>1.8557261190132299</v>
      </c>
      <c r="K15">
        <f>$O$2*EXP(-$P$2*Table114[[#This Row],[R(ao)]]-$Q$2*Table114[[#This Row],[T(K)]])</f>
        <v>0.82252042419488269</v>
      </c>
      <c r="L15">
        <f>(Table114[[#This Row],[rho_0 pred]]-Table114[[#This Row],[rho_0]])^2</f>
        <v>6.5644152591178223E-4</v>
      </c>
      <c r="S15" s="5">
        <v>110</v>
      </c>
      <c r="T15" s="6">
        <v>3</v>
      </c>
      <c r="U15" s="6">
        <v>1500</v>
      </c>
      <c r="V15" s="6">
        <v>7.0103726034851501</v>
      </c>
      <c r="W15" s="6">
        <v>32.583728399848397</v>
      </c>
      <c r="X15" s="6">
        <v>1.8031873212866101</v>
      </c>
      <c r="Y15" s="6">
        <v>1.03946478552786</v>
      </c>
      <c r="Z15" s="6">
        <v>3.2084982031034102</v>
      </c>
      <c r="AA15" s="7">
        <v>1.6084584716921499</v>
      </c>
      <c r="AB15">
        <f t="shared" si="0"/>
        <v>1.124393623536279</v>
      </c>
      <c r="AC15">
        <f t="shared" si="1"/>
        <v>7.2129075254602744E-3</v>
      </c>
    </row>
    <row r="16" spans="1:34" x14ac:dyDescent="0.3">
      <c r="B16">
        <v>100</v>
      </c>
      <c r="C16">
        <v>3</v>
      </c>
      <c r="D16">
        <v>2000</v>
      </c>
      <c r="E16">
        <v>2.9305364867537098</v>
      </c>
      <c r="F16">
        <v>28.558953559393899</v>
      </c>
      <c r="G16">
        <v>2.17873207546595</v>
      </c>
      <c r="H16">
        <v>0.51862118385605305</v>
      </c>
      <c r="I16">
        <v>2.9504476336276202</v>
      </c>
      <c r="J16">
        <v>1.9680218520978201</v>
      </c>
      <c r="K16">
        <f>$O$2*EXP(-$P$2*Table114[[#This Row],[R(ao)]]-$Q$2*Table114[[#This Row],[T(K)]])</f>
        <v>0.63036246522954187</v>
      </c>
      <c r="L16">
        <f>(Table114[[#This Row],[rho_0 pred]]-Table114[[#This Row],[rho_0]])^2</f>
        <v>1.2486113962989201E-2</v>
      </c>
      <c r="S16" s="8">
        <v>110</v>
      </c>
      <c r="T16" s="9">
        <v>3</v>
      </c>
      <c r="U16" s="9">
        <v>2000</v>
      </c>
      <c r="V16" s="9">
        <v>8.0664703720160293</v>
      </c>
      <c r="W16" s="9">
        <v>28.682397553787801</v>
      </c>
      <c r="X16" s="9">
        <v>2.1857902579310799</v>
      </c>
      <c r="Y16" s="9">
        <v>0.98087451540237203</v>
      </c>
      <c r="Z16" s="9">
        <v>2.9467332525354601</v>
      </c>
      <c r="AA16" s="10">
        <v>1.85597030853824</v>
      </c>
      <c r="AB16">
        <f t="shared" si="0"/>
        <v>0.8670576756630779</v>
      </c>
      <c r="AC16">
        <f t="shared" si="1"/>
        <v>1.2954273008240163E-2</v>
      </c>
    </row>
    <row r="17" spans="2:29" x14ac:dyDescent="0.3">
      <c r="B17">
        <v>100</v>
      </c>
      <c r="C17">
        <v>3</v>
      </c>
      <c r="D17">
        <v>2500</v>
      </c>
      <c r="E17">
        <v>2.7709229587059001</v>
      </c>
      <c r="F17">
        <v>25.136572647727199</v>
      </c>
      <c r="G17">
        <v>2.5626585277727001</v>
      </c>
      <c r="H17">
        <v>0.46449383279055001</v>
      </c>
      <c r="I17">
        <v>2.69146716438381</v>
      </c>
      <c r="J17">
        <v>2.3207968657201001</v>
      </c>
      <c r="K17">
        <f>$O$2*EXP(-$P$2*Table114[[#This Row],[R(ao)]]-$Q$2*Table114[[#This Row],[T(K)]])</f>
        <v>0.48309662092490274</v>
      </c>
      <c r="L17">
        <f>(Table114[[#This Row],[rho_0 pred]]-Table114[[#This Row],[rho_0]])^2</f>
        <v>3.4606372637161479E-4</v>
      </c>
      <c r="S17" s="5">
        <v>110</v>
      </c>
      <c r="T17" s="6">
        <v>3</v>
      </c>
      <c r="U17" s="6">
        <v>2500</v>
      </c>
      <c r="V17" s="6">
        <v>6.3015760126496199</v>
      </c>
      <c r="W17" s="6">
        <v>25.507203677575699</v>
      </c>
      <c r="X17" s="6">
        <v>2.4420614425269198</v>
      </c>
      <c r="Y17" s="6">
        <v>0.69350996440117196</v>
      </c>
      <c r="Z17" s="6">
        <v>2.7148923891940502</v>
      </c>
      <c r="AA17" s="7">
        <v>2.1630238105382098</v>
      </c>
      <c r="AB17">
        <f t="shared" si="0"/>
        <v>0.66861728596596071</v>
      </c>
      <c r="AC17">
        <f t="shared" si="1"/>
        <v>6.1964543967883159E-4</v>
      </c>
    </row>
    <row r="18" spans="2:29" x14ac:dyDescent="0.3">
      <c r="B18">
        <v>100</v>
      </c>
      <c r="C18">
        <v>4</v>
      </c>
      <c r="D18">
        <v>500</v>
      </c>
      <c r="E18">
        <v>6.4722997312794099</v>
      </c>
      <c r="F18">
        <v>37.209898678787802</v>
      </c>
      <c r="G18">
        <v>2.1496440043624498</v>
      </c>
      <c r="H18">
        <v>1.39978383337849</v>
      </c>
      <c r="I18">
        <v>3.5183836489188001</v>
      </c>
      <c r="J18">
        <v>1.9070302809725299</v>
      </c>
      <c r="K18">
        <f>$O$2*EXP(-$P$2*Table114[[#This Row],[R(ao)]]-$Q$2*Table114[[#This Row],[T(K)]])</f>
        <v>1.2322615029931125</v>
      </c>
      <c r="L18">
        <f>(Table114[[#This Row],[rho_0 pred]]-Table114[[#This Row],[rho_0]])^2</f>
        <v>2.8063731177747558E-2</v>
      </c>
      <c r="S18" s="8">
        <v>110</v>
      </c>
      <c r="T18" s="9">
        <v>4</v>
      </c>
      <c r="U18" s="9">
        <v>500</v>
      </c>
      <c r="V18" s="9">
        <v>8.6403234385068099</v>
      </c>
      <c r="W18" s="9">
        <v>37.295747593939303</v>
      </c>
      <c r="X18" s="9">
        <v>2.2307611496558502</v>
      </c>
      <c r="Y18" s="9">
        <v>1.4522039845741801</v>
      </c>
      <c r="Z18" s="9">
        <v>3.5143489769496701</v>
      </c>
      <c r="AA18" s="10">
        <v>1.8703239363325299</v>
      </c>
      <c r="AB18">
        <f t="shared" si="0"/>
        <v>1.6687626594387837</v>
      </c>
      <c r="AC18">
        <f t="shared" si="1"/>
        <v>4.6897659659113078E-2</v>
      </c>
    </row>
    <row r="19" spans="2:29" x14ac:dyDescent="0.3">
      <c r="B19">
        <v>100</v>
      </c>
      <c r="C19">
        <v>4</v>
      </c>
      <c r="D19">
        <v>1000</v>
      </c>
      <c r="E19">
        <v>4.8172790003394699</v>
      </c>
      <c r="F19">
        <v>31.911139860151501</v>
      </c>
      <c r="G19">
        <v>2.3364256688114402</v>
      </c>
      <c r="H19">
        <v>1.05070848753989</v>
      </c>
      <c r="I19">
        <v>3.2523060525854102</v>
      </c>
      <c r="J19">
        <v>2.0689651452311</v>
      </c>
      <c r="K19">
        <f>$O$2*EXP(-$P$2*Table114[[#This Row],[R(ao)]]-$Q$2*Table114[[#This Row],[T(K)]])</f>
        <v>0.9443794658285054</v>
      </c>
      <c r="L19">
        <f>(Table114[[#This Row],[rho_0 pred]]-Table114[[#This Row],[rho_0]])^2</f>
        <v>1.1305860858100095E-2</v>
      </c>
      <c r="S19" s="5">
        <v>110</v>
      </c>
      <c r="T19" s="6">
        <v>4</v>
      </c>
      <c r="U19" s="6">
        <v>1000</v>
      </c>
      <c r="V19" s="6">
        <v>7.4863922622541601</v>
      </c>
      <c r="W19" s="6">
        <v>32.045970122575703</v>
      </c>
      <c r="X19" s="6">
        <v>2.3494714868673099</v>
      </c>
      <c r="Y19" s="6">
        <v>1.3376697832860101</v>
      </c>
      <c r="Z19" s="6">
        <v>3.24130686371111</v>
      </c>
      <c r="AA19" s="7">
        <v>2.1644097021986601</v>
      </c>
      <c r="AB19">
        <f t="shared" si="0"/>
        <v>1.2868389169405876</v>
      </c>
      <c r="AC19">
        <f t="shared" si="1"/>
        <v>2.5837769734261998E-3</v>
      </c>
    </row>
    <row r="20" spans="2:29" x14ac:dyDescent="0.3">
      <c r="B20">
        <v>100</v>
      </c>
      <c r="C20">
        <v>4</v>
      </c>
      <c r="D20">
        <v>1500</v>
      </c>
      <c r="E20">
        <v>3.3023887897462001</v>
      </c>
      <c r="F20">
        <v>27.4015136460606</v>
      </c>
      <c r="G20">
        <v>2.4922487904066601</v>
      </c>
      <c r="H20">
        <v>0.7089662863724</v>
      </c>
      <c r="I20">
        <v>2.9789941421977599</v>
      </c>
      <c r="J20">
        <v>2.1636276488749502</v>
      </c>
      <c r="K20">
        <f>$O$2*EXP(-$P$2*Table114[[#This Row],[R(ao)]]-$Q$2*Table114[[#This Row],[T(K)]])</f>
        <v>0.72375268829892037</v>
      </c>
      <c r="L20">
        <f>(Table114[[#This Row],[rho_0 pred]]-Table114[[#This Row],[rho_0]])^2</f>
        <v>2.1863768193260515E-4</v>
      </c>
      <c r="S20" s="8">
        <v>110</v>
      </c>
      <c r="T20" s="9">
        <v>4</v>
      </c>
      <c r="U20" s="9">
        <v>1500</v>
      </c>
      <c r="V20" s="9">
        <v>5.3881873237563402</v>
      </c>
      <c r="W20" s="9">
        <v>27.6151055918181</v>
      </c>
      <c r="X20" s="9">
        <v>2.31390130435652</v>
      </c>
      <c r="Y20" s="9">
        <v>0.99311152509896905</v>
      </c>
      <c r="Z20" s="9">
        <v>2.9749875643070598</v>
      </c>
      <c r="AA20" s="10">
        <v>2.0130874146964302</v>
      </c>
      <c r="AB20">
        <f t="shared" si="0"/>
        <v>0.9923246956578794</v>
      </c>
      <c r="AC20">
        <f t="shared" si="1"/>
        <v>6.1910056936545679E-7</v>
      </c>
    </row>
    <row r="21" spans="2:29" x14ac:dyDescent="0.3">
      <c r="B21">
        <v>100</v>
      </c>
      <c r="C21">
        <v>4</v>
      </c>
      <c r="D21">
        <v>2000</v>
      </c>
      <c r="E21">
        <v>1.3450059512694701</v>
      </c>
      <c r="F21">
        <v>24.008469821060601</v>
      </c>
      <c r="G21">
        <v>2.6235122738626102</v>
      </c>
      <c r="H21">
        <v>0.348569685825595</v>
      </c>
      <c r="I21">
        <v>2.71829570073464</v>
      </c>
      <c r="J21">
        <v>2.24910715449955</v>
      </c>
      <c r="K21">
        <f>$O$2*EXP(-$P$2*Table114[[#This Row],[R(ao)]]-$Q$2*Table114[[#This Row],[T(K)]])</f>
        <v>0.55466893634792003</v>
      </c>
      <c r="L21">
        <f>(Table114[[#This Row],[rho_0 pred]]-Table114[[#This Row],[rho_0]])^2</f>
        <v>4.2476901065864096E-2</v>
      </c>
      <c r="S21" s="5">
        <v>110</v>
      </c>
      <c r="T21" s="6">
        <v>4</v>
      </c>
      <c r="U21" s="6">
        <v>2000</v>
      </c>
      <c r="V21" s="6">
        <v>4.4819066287711804</v>
      </c>
      <c r="W21" s="6">
        <v>24.284387221666599</v>
      </c>
      <c r="X21" s="6">
        <v>2.5066143811223598</v>
      </c>
      <c r="Y21" s="6">
        <v>0.79638290010602197</v>
      </c>
      <c r="Z21" s="6">
        <v>2.7267401132220899</v>
      </c>
      <c r="AA21" s="7">
        <v>2.2240596970790301</v>
      </c>
      <c r="AB21">
        <f t="shared" si="0"/>
        <v>0.76521489103982876</v>
      </c>
      <c r="AC21">
        <f t="shared" si="1"/>
        <v>9.7144478915030241E-4</v>
      </c>
    </row>
    <row r="22" spans="2:29" x14ac:dyDescent="0.3">
      <c r="B22">
        <v>100</v>
      </c>
      <c r="C22">
        <v>4</v>
      </c>
      <c r="D22">
        <v>2500</v>
      </c>
      <c r="E22">
        <v>1.3022767583499999</v>
      </c>
      <c r="F22">
        <v>21.139661948030302</v>
      </c>
      <c r="G22">
        <v>2.9820756376031898</v>
      </c>
      <c r="H22">
        <v>0.33471296296296199</v>
      </c>
      <c r="I22">
        <v>2.5102488722876002</v>
      </c>
      <c r="J22">
        <v>2.6883749253830702</v>
      </c>
      <c r="K22">
        <f>$O$2*EXP(-$P$2*Table114[[#This Row],[R(ao)]]-$Q$2*Table114[[#This Row],[T(K)]])</f>
        <v>0.42508668212679029</v>
      </c>
      <c r="L22">
        <f>(Table114[[#This Row],[rho_0 pred]]-Table114[[#This Row],[rho_0]])^2</f>
        <v>8.1674091155025073E-3</v>
      </c>
      <c r="S22" s="8">
        <v>110</v>
      </c>
      <c r="T22" s="9">
        <v>4</v>
      </c>
      <c r="U22" s="9">
        <v>2500</v>
      </c>
      <c r="V22" s="9">
        <v>3.84190099003421</v>
      </c>
      <c r="W22" s="9">
        <v>21.5010230271212</v>
      </c>
      <c r="X22" s="9">
        <v>2.6940043156601399</v>
      </c>
      <c r="Y22" s="9">
        <v>0.62146177945828096</v>
      </c>
      <c r="Z22" s="9">
        <v>2.5151068939545098</v>
      </c>
      <c r="AA22" s="10">
        <v>2.4262134399034898</v>
      </c>
      <c r="AB22">
        <f t="shared" si="0"/>
        <v>0.59008289527743107</v>
      </c>
      <c r="AC22">
        <f t="shared" si="1"/>
        <v>9.8463437243519127E-4</v>
      </c>
    </row>
    <row r="23" spans="2:29" x14ac:dyDescent="0.3">
      <c r="B23" s="12"/>
      <c r="C23" s="12"/>
      <c r="D23" s="12"/>
      <c r="E23" s="12"/>
      <c r="F23" s="12"/>
      <c r="G23" s="12"/>
      <c r="H23" s="12"/>
      <c r="I23" s="12"/>
      <c r="J23" s="12"/>
    </row>
    <row r="24" spans="2:29" x14ac:dyDescent="0.3">
      <c r="B24" s="12"/>
      <c r="C24" s="12"/>
      <c r="D24" s="12"/>
      <c r="E24" s="12"/>
      <c r="F24" s="12"/>
      <c r="G24" s="12"/>
      <c r="H24" s="12"/>
      <c r="I24" s="12"/>
      <c r="J24" s="12"/>
    </row>
    <row r="25" spans="2:29" x14ac:dyDescent="0.3">
      <c r="B25" s="12"/>
      <c r="C25" s="12"/>
      <c r="D25" s="12"/>
      <c r="E25" s="12"/>
      <c r="F25" s="12"/>
      <c r="G25" s="12"/>
      <c r="H25" s="12"/>
      <c r="I25" s="12"/>
      <c r="J25" s="12"/>
    </row>
    <row r="26" spans="2:29" x14ac:dyDescent="0.3">
      <c r="B26" s="12"/>
      <c r="C26" s="12"/>
      <c r="D26" s="12"/>
      <c r="E26" s="12"/>
      <c r="F26" s="12"/>
      <c r="G26" s="12"/>
      <c r="H26" s="12"/>
      <c r="I26" s="12"/>
      <c r="J26" s="12"/>
    </row>
    <row r="27" spans="2:29" x14ac:dyDescent="0.3">
      <c r="B27" s="12"/>
      <c r="C27" s="12"/>
      <c r="D27" s="12"/>
      <c r="E27" s="12"/>
      <c r="F27" s="12"/>
      <c r="G27" s="12"/>
      <c r="H27" s="12"/>
      <c r="I27" s="12"/>
      <c r="J27" s="12"/>
    </row>
    <row r="28" spans="2:29" x14ac:dyDescent="0.3">
      <c r="B28" s="12"/>
      <c r="C28" s="12"/>
      <c r="D28" s="12"/>
      <c r="E28" s="12"/>
      <c r="F28" s="12"/>
      <c r="G28" s="12"/>
      <c r="H28" s="12"/>
      <c r="I28" s="12"/>
      <c r="J28" s="12"/>
    </row>
    <row r="29" spans="2:29" x14ac:dyDescent="0.3">
      <c r="B29" s="12"/>
      <c r="C29" s="12"/>
      <c r="D29" s="12"/>
      <c r="E29" s="12"/>
      <c r="F29" s="12"/>
      <c r="G29" s="12"/>
      <c r="H29" s="12"/>
      <c r="I29" s="12"/>
      <c r="J29" s="12"/>
    </row>
    <row r="30" spans="2:29" x14ac:dyDescent="0.3">
      <c r="B30" s="12"/>
      <c r="C30" s="12"/>
      <c r="D30" s="12"/>
      <c r="E30" s="12"/>
      <c r="F30" s="12"/>
      <c r="G30" s="12"/>
      <c r="H30" s="12"/>
      <c r="I30" s="12"/>
      <c r="J30" s="12"/>
    </row>
    <row r="31" spans="2:29" x14ac:dyDescent="0.3">
      <c r="B31" s="12"/>
      <c r="C31" s="12"/>
      <c r="D31" s="12"/>
      <c r="E31" s="12"/>
      <c r="F31" s="12"/>
      <c r="G31" s="12"/>
      <c r="H31" s="12"/>
      <c r="I31" s="12"/>
      <c r="J31" s="12"/>
    </row>
    <row r="32" spans="2:29" x14ac:dyDescent="0.3">
      <c r="B32" s="12"/>
      <c r="C32" s="12"/>
      <c r="D32" s="12"/>
      <c r="E32" s="12"/>
      <c r="F32" s="12"/>
      <c r="G32" s="12"/>
      <c r="H32" s="12"/>
      <c r="I32" s="12"/>
      <c r="J32" s="12"/>
    </row>
    <row r="33" spans="2:10" x14ac:dyDescent="0.3">
      <c r="B33" s="12"/>
      <c r="C33" s="12"/>
      <c r="D33" s="12"/>
      <c r="E33" s="12"/>
      <c r="F33" s="12"/>
      <c r="G33" s="12"/>
      <c r="H33" s="12"/>
      <c r="I33" s="12"/>
      <c r="J33" s="12"/>
    </row>
    <row r="34" spans="2:10" x14ac:dyDescent="0.3">
      <c r="B34" s="12"/>
      <c r="C34" s="12"/>
      <c r="D34" s="12"/>
      <c r="E34" s="12"/>
      <c r="F34" s="12"/>
      <c r="G34" s="12"/>
      <c r="H34" s="12"/>
      <c r="I34" s="12"/>
      <c r="J34" s="12"/>
    </row>
    <row r="35" spans="2:10" x14ac:dyDescent="0.3">
      <c r="B35" s="12"/>
      <c r="C35" s="12"/>
      <c r="D35" s="12"/>
      <c r="E35" s="12"/>
      <c r="F35" s="12"/>
      <c r="G35" s="12"/>
      <c r="H35" s="12"/>
      <c r="I35" s="12"/>
      <c r="J35" s="12"/>
    </row>
    <row r="36" spans="2:10" x14ac:dyDescent="0.3">
      <c r="B36" s="12"/>
      <c r="C36" s="12"/>
      <c r="D36" s="12"/>
      <c r="E36" s="12"/>
      <c r="F36" s="12"/>
      <c r="G36" s="12"/>
      <c r="H36" s="12"/>
      <c r="I36" s="12"/>
      <c r="J36" s="12"/>
    </row>
    <row r="37" spans="2:10" x14ac:dyDescent="0.3">
      <c r="B37" s="12"/>
      <c r="C37" s="12"/>
      <c r="D37" s="12"/>
      <c r="E37" s="12"/>
      <c r="F37" s="12"/>
      <c r="G37" s="12"/>
      <c r="H37" s="12"/>
      <c r="I37" s="12"/>
      <c r="J37" s="12"/>
    </row>
    <row r="38" spans="2:10" x14ac:dyDescent="0.3">
      <c r="B38" s="12"/>
      <c r="C38" s="12"/>
      <c r="D38" s="12"/>
      <c r="E38" s="12"/>
      <c r="F38" s="12"/>
      <c r="G38" s="12"/>
      <c r="H38" s="12"/>
      <c r="I38" s="12"/>
      <c r="J38" s="12"/>
    </row>
    <row r="39" spans="2:10" x14ac:dyDescent="0.3">
      <c r="B39" s="12"/>
      <c r="C39" s="12"/>
      <c r="D39" s="12"/>
      <c r="E39" s="12"/>
      <c r="F39" s="12"/>
      <c r="G39" s="12"/>
      <c r="H39" s="12"/>
      <c r="I39" s="12"/>
      <c r="J39" s="12"/>
    </row>
    <row r="40" spans="2:10" x14ac:dyDescent="0.3">
      <c r="B40" s="12"/>
      <c r="C40" s="12"/>
      <c r="D40" s="12"/>
      <c r="E40" s="12"/>
      <c r="F40" s="12"/>
      <c r="G40" s="12"/>
      <c r="H40" s="12"/>
      <c r="I40" s="12"/>
      <c r="J40" s="12"/>
    </row>
    <row r="41" spans="2:10" x14ac:dyDescent="0.3">
      <c r="B41" s="12"/>
      <c r="C41" s="12"/>
      <c r="D41" s="12"/>
      <c r="E41" s="12"/>
      <c r="F41" s="12"/>
      <c r="G41" s="12"/>
      <c r="H41" s="12"/>
      <c r="I41" s="12"/>
      <c r="J41" s="12"/>
    </row>
    <row r="42" spans="2:10" x14ac:dyDescent="0.3">
      <c r="B42" s="12"/>
      <c r="C42" s="12"/>
      <c r="D42" s="12"/>
      <c r="E42" s="12"/>
      <c r="F42" s="12"/>
      <c r="G42" s="12"/>
      <c r="H42" s="12"/>
      <c r="I42" s="12"/>
      <c r="J42" s="12"/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A1D6-FEB2-4885-8D88-6C28F87FCEE9}">
  <dimension ref="A1:L46"/>
  <sheetViews>
    <sheetView workbookViewId="0">
      <selection activeCell="AC5" sqref="AC5"/>
    </sheetView>
  </sheetViews>
  <sheetFormatPr defaultRowHeight="14.4" x14ac:dyDescent="0.3"/>
  <cols>
    <col min="10" max="10" width="9.44140625" customWidth="1"/>
  </cols>
  <sheetData>
    <row r="1" spans="1:12" ht="241.8" customHeight="1" x14ac:dyDescent="0.3"/>
    <row r="2" spans="1:12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  <c r="J2" t="s">
        <v>50</v>
      </c>
      <c r="K2" t="s">
        <v>9</v>
      </c>
      <c r="L2" t="s">
        <v>42</v>
      </c>
    </row>
    <row r="3" spans="1:12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  <c r="J3">
        <f>LN(Table115[[#This Row],[rho_b]])</f>
        <v>1.7435222708317339</v>
      </c>
      <c r="K3">
        <f>LN(Table115[[#This Row],[R(ao)]])</f>
        <v>0</v>
      </c>
      <c r="L3">
        <f>1/Table115[[#This Row],[R(ao)]]</f>
        <v>1</v>
      </c>
    </row>
    <row r="4" spans="1:12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  <c r="J4">
        <f>LN(Table115[[#This Row],[rho_b]])</f>
        <v>1.6977973204167323</v>
      </c>
      <c r="K4">
        <f>LN(Table115[[#This Row],[R(ao)]])</f>
        <v>0</v>
      </c>
      <c r="L4">
        <f>1/Table115[[#This Row],[R(ao)]]</f>
        <v>1</v>
      </c>
    </row>
    <row r="5" spans="1:12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  <c r="J5">
        <f>LN(Table115[[#This Row],[rho_b]])</f>
        <v>1.5977267033697227</v>
      </c>
      <c r="K5">
        <f>LN(Table115[[#This Row],[R(ao)]])</f>
        <v>0</v>
      </c>
      <c r="L5">
        <f>1/Table115[[#This Row],[R(ao)]]</f>
        <v>1</v>
      </c>
    </row>
    <row r="6" spans="1:12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  <c r="J6">
        <f>LN(Table115[[#This Row],[rho_b]])</f>
        <v>1.532131470449716</v>
      </c>
      <c r="K6">
        <f>LN(Table115[[#This Row],[R(ao)]])</f>
        <v>0</v>
      </c>
      <c r="L6">
        <f>1/Table115[[#This Row],[R(ao)]]</f>
        <v>1</v>
      </c>
    </row>
    <row r="7" spans="1:12" hidden="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  <c r="J7">
        <f>LN(Table115[[#This Row],[rho_b]])</f>
        <v>1.4410101914797577</v>
      </c>
      <c r="K7">
        <f>LN(Table115[[#This Row],[R(ao)]])</f>
        <v>0</v>
      </c>
      <c r="L7">
        <f>1/Table115[[#This Row],[R(ao)]]</f>
        <v>1</v>
      </c>
    </row>
    <row r="8" spans="1:12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  <c r="J8">
        <f>LN(Table115[[#This Row],[rho_b]])</f>
        <v>1.5025939380918649</v>
      </c>
      <c r="K8">
        <f>LN(Table115[[#This Row],[R(ao)]])</f>
        <v>0.69314718055994529</v>
      </c>
      <c r="L8">
        <f>1/Table115[[#This Row],[R(ao)]]</f>
        <v>0.5</v>
      </c>
    </row>
    <row r="9" spans="1:12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  <c r="J9">
        <f>LN(Table115[[#This Row],[rho_b]])</f>
        <v>1.4208688580919295</v>
      </c>
      <c r="K9">
        <f>LN(Table115[[#This Row],[R(ao)]])</f>
        <v>0.69314718055994529</v>
      </c>
      <c r="L9">
        <f>1/Table115[[#This Row],[R(ao)]]</f>
        <v>0.5</v>
      </c>
    </row>
    <row r="10" spans="1:12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  <c r="J10">
        <f>LN(Table115[[#This Row],[rho_b]])</f>
        <v>1.3186125920143612</v>
      </c>
      <c r="K10">
        <f>LN(Table115[[#This Row],[R(ao)]])</f>
        <v>0.69314718055994529</v>
      </c>
      <c r="L10">
        <f>1/Table115[[#This Row],[R(ao)]]</f>
        <v>0.5</v>
      </c>
    </row>
    <row r="11" spans="1:12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  <c r="J11">
        <f>LN(Table115[[#This Row],[rho_b]])</f>
        <v>1.2414596746389233</v>
      </c>
      <c r="K11">
        <f>LN(Table115[[#This Row],[R(ao)]])</f>
        <v>0.69314718055994529</v>
      </c>
      <c r="L11">
        <f>1/Table115[[#This Row],[R(ao)]]</f>
        <v>0.5</v>
      </c>
    </row>
    <row r="12" spans="1:12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  <c r="J12">
        <f>LN(Table115[[#This Row],[rho_b]])</f>
        <v>1.1508290486161841</v>
      </c>
      <c r="K12">
        <f>LN(Table115[[#This Row],[R(ao)]])</f>
        <v>0.69314718055994529</v>
      </c>
      <c r="L12">
        <f>1/Table115[[#This Row],[R(ao)]]</f>
        <v>0.5</v>
      </c>
    </row>
    <row r="13" spans="1:12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  <c r="J13">
        <f>LN(Table115[[#This Row],[rho_b]])</f>
        <v>1.3493586457412272</v>
      </c>
      <c r="K13">
        <f>LN(Table115[[#This Row],[R(ao)]])</f>
        <v>1.0986122886681098</v>
      </c>
      <c r="L13">
        <f>1/Table115[[#This Row],[R(ao)]]</f>
        <v>0.33333333333333331</v>
      </c>
    </row>
    <row r="14" spans="1:12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  <c r="J14">
        <f>LN(Table115[[#This Row],[rho_b]])</f>
        <v>1.2608878169527669</v>
      </c>
      <c r="K14">
        <f>LN(Table115[[#This Row],[R(ao)]])</f>
        <v>1.0986122886681098</v>
      </c>
      <c r="L14">
        <f>1/Table115[[#This Row],[R(ao)]]</f>
        <v>0.33333333333333331</v>
      </c>
    </row>
    <row r="15" spans="1:12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  <c r="J15">
        <f>LN(Table115[[#This Row],[rho_b]])</f>
        <v>1.1621970310084635</v>
      </c>
      <c r="K15">
        <f>LN(Table115[[#This Row],[R(ao)]])</f>
        <v>1.0986122886681098</v>
      </c>
      <c r="L15">
        <f>1/Table115[[#This Row],[R(ao)]]</f>
        <v>0.33333333333333331</v>
      </c>
    </row>
    <row r="16" spans="1:12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  <c r="J16">
        <f>LN(Table115[[#This Row],[rho_b]])</f>
        <v>1.0819568990530994</v>
      </c>
      <c r="K16">
        <f>LN(Table115[[#This Row],[R(ao)]])</f>
        <v>1.0986122886681098</v>
      </c>
      <c r="L16">
        <f>1/Table115[[#This Row],[R(ao)]]</f>
        <v>0.33333333333333331</v>
      </c>
    </row>
    <row r="17" spans="1:12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  <c r="J17">
        <f>LN(Table115[[#This Row],[rho_b]])</f>
        <v>0.99008645919852023</v>
      </c>
      <c r="K17">
        <f>LN(Table115[[#This Row],[R(ao)]])</f>
        <v>1.0986122886681098</v>
      </c>
      <c r="L17">
        <f>1/Table115[[#This Row],[R(ao)]]</f>
        <v>0.33333333333333331</v>
      </c>
    </row>
    <row r="18" spans="1:12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  <c r="J18">
        <f>LN(Table115[[#This Row],[rho_b]])</f>
        <v>1.2580016935016265</v>
      </c>
      <c r="K18">
        <f>LN(Table115[[#This Row],[R(ao)]])</f>
        <v>1.3862943611198906</v>
      </c>
      <c r="L18">
        <f>1/Table115[[#This Row],[R(ao)]]</f>
        <v>0.25</v>
      </c>
    </row>
    <row r="19" spans="1:12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  <c r="J19">
        <f>LN(Table115[[#This Row],[rho_b]])</f>
        <v>1.1793642993684319</v>
      </c>
      <c r="K19">
        <f>LN(Table115[[#This Row],[R(ao)]])</f>
        <v>1.3862943611198906</v>
      </c>
      <c r="L19">
        <f>1/Table115[[#This Row],[R(ao)]]</f>
        <v>0.25</v>
      </c>
    </row>
    <row r="20" spans="1:12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  <c r="J20">
        <f>LN(Table115[[#This Row],[rho_b]])</f>
        <v>1.0915857073639081</v>
      </c>
      <c r="K20">
        <f>LN(Table115[[#This Row],[R(ao)]])</f>
        <v>1.3862943611198906</v>
      </c>
      <c r="L20">
        <f>1/Table115[[#This Row],[R(ao)]]</f>
        <v>0.25</v>
      </c>
    </row>
    <row r="21" spans="1:12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  <c r="J21">
        <f>LN(Table115[[#This Row],[rho_b]])</f>
        <v>1.0000051033119717</v>
      </c>
      <c r="K21">
        <f>LN(Table115[[#This Row],[R(ao)]])</f>
        <v>1.3862943611198906</v>
      </c>
      <c r="L21">
        <f>1/Table115[[#This Row],[R(ao)]]</f>
        <v>0.25</v>
      </c>
    </row>
    <row r="22" spans="1:12" hidden="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  <c r="J22">
        <f>LN(Table115[[#This Row],[rho_b]])</f>
        <v>0.9203819005342444</v>
      </c>
      <c r="K22">
        <f>LN(Table115[[#This Row],[R(ao)]])</f>
        <v>1.3862943611198906</v>
      </c>
      <c r="L22">
        <f>1/Table115[[#This Row],[R(ao)]]</f>
        <v>0.25</v>
      </c>
    </row>
    <row r="23" spans="1:12" hidden="1" x14ac:dyDescent="0.3">
      <c r="A23">
        <v>100</v>
      </c>
      <c r="B23">
        <v>5</v>
      </c>
      <c r="C23">
        <v>500</v>
      </c>
      <c r="E23">
        <v>32.475539339999997</v>
      </c>
      <c r="H23">
        <v>3.2692510372910299</v>
      </c>
      <c r="J23">
        <f>LN(Table115[[#This Row],[rho_b]])</f>
        <v>1.1845609180915788</v>
      </c>
      <c r="K23">
        <f>LN(Table115[[#This Row],[R(ao)]])</f>
        <v>1.6094379124341003</v>
      </c>
      <c r="L23">
        <f>1/Table115[[#This Row],[R(ao)]]</f>
        <v>0.2</v>
      </c>
    </row>
    <row r="24" spans="1:12" hidden="1" x14ac:dyDescent="0.3">
      <c r="A24">
        <v>100</v>
      </c>
      <c r="B24">
        <v>5</v>
      </c>
      <c r="C24">
        <v>2500</v>
      </c>
      <c r="E24">
        <v>18.448552741111101</v>
      </c>
      <c r="H24">
        <v>2.3282538582025598</v>
      </c>
      <c r="J24">
        <f>LN(Table115[[#This Row],[rho_b]])</f>
        <v>0.84511856954380626</v>
      </c>
      <c r="K24">
        <f>LN(Table115[[#This Row],[R(ao)]])</f>
        <v>1.6094379124341003</v>
      </c>
      <c r="L24">
        <f>1/Table115[[#This Row],[R(ao)]]</f>
        <v>0.2</v>
      </c>
    </row>
    <row r="25" spans="1:12" hidden="1" x14ac:dyDescent="0.3">
      <c r="A25">
        <v>100</v>
      </c>
      <c r="B25">
        <v>6</v>
      </c>
      <c r="C25">
        <v>500</v>
      </c>
      <c r="E25">
        <v>27.079947847777699</v>
      </c>
      <c r="H25">
        <v>2.9615035911824501</v>
      </c>
      <c r="J25">
        <f>LN(Table115[[#This Row],[rho_b]])</f>
        <v>1.085697109356957</v>
      </c>
      <c r="K25">
        <f>LN(Table115[[#This Row],[R(ao)]])</f>
        <v>1.791759469228055</v>
      </c>
      <c r="L25">
        <f>1/Table115[[#This Row],[R(ao)]]</f>
        <v>0.16666666666666666</v>
      </c>
    </row>
    <row r="26" spans="1:12" hidden="1" x14ac:dyDescent="0.3">
      <c r="A26">
        <v>100</v>
      </c>
      <c r="B26">
        <v>6</v>
      </c>
      <c r="C26">
        <v>2500</v>
      </c>
      <c r="E26">
        <v>16.522505253888799</v>
      </c>
      <c r="H26">
        <v>2.1977976354319599</v>
      </c>
      <c r="J26">
        <f>LN(Table115[[#This Row],[rho_b]])</f>
        <v>0.78745578415057382</v>
      </c>
      <c r="K26">
        <f>LN(Table115[[#This Row],[R(ao)]])</f>
        <v>1.791759469228055</v>
      </c>
      <c r="L26">
        <f>1/Table115[[#This Row],[R(ao)]]</f>
        <v>0.16666666666666666</v>
      </c>
    </row>
    <row r="27" spans="1:12" hidden="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1.0312647741452401</v>
      </c>
      <c r="G27">
        <v>2.5886822361941402</v>
      </c>
      <c r="H27">
        <v>5.83584206677161</v>
      </c>
      <c r="I27">
        <v>1.7439489115946001</v>
      </c>
      <c r="J27">
        <f>LN(Table115[[#This Row],[rho_b]])</f>
        <v>1.7640185683977883</v>
      </c>
      <c r="K27">
        <f>LN(Table115[[#This Row],[R(ao)]])</f>
        <v>0</v>
      </c>
      <c r="L27">
        <f>1/Table115[[#This Row],[R(ao)]]</f>
        <v>1</v>
      </c>
    </row>
    <row r="28" spans="1:12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0.73926540807119001</v>
      </c>
      <c r="G28">
        <v>1.6681911472192399</v>
      </c>
      <c r="H28">
        <v>5.4113362160566698</v>
      </c>
      <c r="I28">
        <v>1.27635381978995</v>
      </c>
      <c r="J28">
        <f>LN(Table115[[#This Row],[rho_b]])</f>
        <v>1.6884960523903338</v>
      </c>
      <c r="K28">
        <f>LN(Table115[[#This Row],[R(ao)]])</f>
        <v>0</v>
      </c>
      <c r="L28">
        <f>1/Table115[[#This Row],[R(ao)]]</f>
        <v>1</v>
      </c>
    </row>
    <row r="29" spans="1:12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0.79821700722667299</v>
      </c>
      <c r="G29">
        <v>1.29195428868517</v>
      </c>
      <c r="H29">
        <v>5.0469736422668197</v>
      </c>
      <c r="I29">
        <v>1.1870163692771201</v>
      </c>
      <c r="J29">
        <f>LN(Table115[[#This Row],[rho_b]])</f>
        <v>1.6187887848889344</v>
      </c>
      <c r="K29">
        <f>LN(Table115[[#This Row],[R(ao)]])</f>
        <v>0</v>
      </c>
      <c r="L29">
        <f>1/Table115[[#This Row],[R(ao)]]</f>
        <v>1</v>
      </c>
    </row>
    <row r="30" spans="1:12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0.83943070478818405</v>
      </c>
      <c r="G30">
        <v>1.05080714795866</v>
      </c>
      <c r="H30">
        <v>4.6836377508854703</v>
      </c>
      <c r="I30">
        <v>1.2559956537835</v>
      </c>
      <c r="J30">
        <f>LN(Table115[[#This Row],[rho_b]])</f>
        <v>1.5440751051882928</v>
      </c>
      <c r="K30">
        <f>LN(Table115[[#This Row],[R(ao)]])</f>
        <v>0</v>
      </c>
      <c r="L30">
        <f>1/Table115[[#This Row],[R(ao)]]</f>
        <v>1</v>
      </c>
    </row>
    <row r="31" spans="1:12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1.01519197215941</v>
      </c>
      <c r="G31">
        <v>1.0006699945887401</v>
      </c>
      <c r="H31">
        <v>4.23501931654204</v>
      </c>
      <c r="I31">
        <v>1.35253992325525</v>
      </c>
      <c r="J31">
        <f>LN(Table115[[#This Row],[rho_b]])</f>
        <v>1.4433878892605672</v>
      </c>
      <c r="K31">
        <f>LN(Table115[[#This Row],[R(ao)]])</f>
        <v>0</v>
      </c>
      <c r="L31">
        <f>1/Table115[[#This Row],[R(ao)]]</f>
        <v>1</v>
      </c>
    </row>
    <row r="32" spans="1:12" hidden="1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1.7590441166728701</v>
      </c>
      <c r="G32">
        <v>2.1167485383282001</v>
      </c>
      <c r="H32">
        <v>4.5018395086386596</v>
      </c>
      <c r="I32">
        <v>1.99997147662459</v>
      </c>
      <c r="J32">
        <f>LN(Table115[[#This Row],[rho_b]])</f>
        <v>1.5044860929460957</v>
      </c>
      <c r="K32">
        <f>LN(Table115[[#This Row],[R(ao)]])</f>
        <v>0.69314718055994529</v>
      </c>
      <c r="L32">
        <f>1/Table115[[#This Row],[R(ao)]]</f>
        <v>0.5</v>
      </c>
    </row>
    <row r="33" spans="1:12" hidden="1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1.71642862674407</v>
      </c>
      <c r="G33">
        <v>1.7719903046463199</v>
      </c>
      <c r="H33">
        <v>4.0859314651361798</v>
      </c>
      <c r="I33">
        <v>1.8463729498725401</v>
      </c>
      <c r="J33">
        <f>LN(Table115[[#This Row],[rho_b]])</f>
        <v>1.4075497231603356</v>
      </c>
      <c r="K33">
        <f>LN(Table115[[#This Row],[R(ao)]])</f>
        <v>0.69314718055994529</v>
      </c>
      <c r="L33">
        <f>1/Table115[[#This Row],[R(ao)]]</f>
        <v>0.5</v>
      </c>
    </row>
    <row r="34" spans="1:12" hidden="1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1.34673078210956</v>
      </c>
      <c r="G34">
        <v>1.2277035528868701</v>
      </c>
      <c r="H34">
        <v>3.7475995846554802</v>
      </c>
      <c r="I34">
        <v>1.42916325231605</v>
      </c>
      <c r="J34">
        <f>LN(Table115[[#This Row],[rho_b]])</f>
        <v>1.3211155242654204</v>
      </c>
      <c r="K34">
        <f>LN(Table115[[#This Row],[R(ao)]])</f>
        <v>0.69314718055994529</v>
      </c>
      <c r="L34">
        <f>1/Table115[[#This Row],[R(ao)]]</f>
        <v>0.5</v>
      </c>
    </row>
    <row r="35" spans="1:12" hidden="1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1.8654282014749799</v>
      </c>
      <c r="G35">
        <v>0.97630376102077798</v>
      </c>
      <c r="H35">
        <v>3.4399342176330201</v>
      </c>
      <c r="I35">
        <v>1.7345285214649</v>
      </c>
      <c r="J35">
        <f>LN(Table115[[#This Row],[rho_b]])</f>
        <v>1.2354523484213655</v>
      </c>
      <c r="K35">
        <f>LN(Table115[[#This Row],[R(ao)]])</f>
        <v>0.69314718055994529</v>
      </c>
      <c r="L35">
        <f>1/Table115[[#This Row],[R(ao)]]</f>
        <v>0.5</v>
      </c>
    </row>
    <row r="36" spans="1:12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1.82191980185842</v>
      </c>
      <c r="G36">
        <v>0.73595834237968005</v>
      </c>
      <c r="H36">
        <v>3.1161673525534099</v>
      </c>
      <c r="I36">
        <v>1.7257716809789001</v>
      </c>
      <c r="J36">
        <f>LN(Table115[[#This Row],[rho_b]])</f>
        <v>1.1366038340609819</v>
      </c>
      <c r="K36">
        <f>LN(Table115[[#This Row],[R(ao)]])</f>
        <v>0.69314718055994529</v>
      </c>
      <c r="L36">
        <f>1/Table115[[#This Row],[R(ao)]]</f>
        <v>0.5</v>
      </c>
    </row>
    <row r="37" spans="1:12" hidden="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2.1771258157546902</v>
      </c>
      <c r="G37">
        <v>1.98065622473133</v>
      </c>
      <c r="H37">
        <v>3.8643627782451899</v>
      </c>
      <c r="I37">
        <v>2.3749907745095098</v>
      </c>
      <c r="J37">
        <f>LN(Table115[[#This Row],[rho_b]])</f>
        <v>1.351796798652608</v>
      </c>
      <c r="K37">
        <f>LN(Table115[[#This Row],[R(ao)]])</f>
        <v>1.0986122886681098</v>
      </c>
      <c r="L37">
        <f>1/Table115[[#This Row],[R(ao)]]</f>
        <v>0.33333333333333331</v>
      </c>
    </row>
    <row r="38" spans="1:12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2.0887724737230799</v>
      </c>
      <c r="G38">
        <v>1.5671124781375301</v>
      </c>
      <c r="H38">
        <v>3.5275192877459798</v>
      </c>
      <c r="I38">
        <v>2.0904653787392502</v>
      </c>
      <c r="J38">
        <f>LN(Table115[[#This Row],[rho_b]])</f>
        <v>1.2605948725529821</v>
      </c>
      <c r="K38">
        <f>LN(Table115[[#This Row],[R(ao)]])</f>
        <v>1.0986122886681098</v>
      </c>
      <c r="L38">
        <f>1/Table115[[#This Row],[R(ao)]]</f>
        <v>0.33333333333333331</v>
      </c>
    </row>
    <row r="39" spans="1:12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1.8031873212866101</v>
      </c>
      <c r="G39">
        <v>1.03946478552786</v>
      </c>
      <c r="H39">
        <v>3.2084982031034102</v>
      </c>
      <c r="I39">
        <v>1.6084584716921499</v>
      </c>
      <c r="J39">
        <f>LN(Table115[[#This Row],[rho_b]])</f>
        <v>1.1658029781657049</v>
      </c>
      <c r="K39">
        <f>LN(Table115[[#This Row],[R(ao)]])</f>
        <v>1.0986122886681098</v>
      </c>
      <c r="L39">
        <f>1/Table115[[#This Row],[R(ao)]]</f>
        <v>0.33333333333333331</v>
      </c>
    </row>
    <row r="40" spans="1:12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2.1857902579310799</v>
      </c>
      <c r="G40">
        <v>0.98087451540237203</v>
      </c>
      <c r="H40">
        <v>2.9467332525354601</v>
      </c>
      <c r="I40">
        <v>1.85597030853824</v>
      </c>
      <c r="J40">
        <f>LN(Table115[[#This Row],[rho_b]])</f>
        <v>1.0806971847404301</v>
      </c>
      <c r="K40">
        <f>LN(Table115[[#This Row],[R(ao)]])</f>
        <v>1.0986122886681098</v>
      </c>
      <c r="L40">
        <f>1/Table115[[#This Row],[R(ao)]]</f>
        <v>0.33333333333333331</v>
      </c>
    </row>
    <row r="41" spans="1:12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2.4420614425269198</v>
      </c>
      <c r="G41">
        <v>0.69350996440117196</v>
      </c>
      <c r="H41">
        <v>2.7148923891940502</v>
      </c>
      <c r="I41">
        <v>2.1630238105382098</v>
      </c>
      <c r="J41">
        <f>LN(Table115[[#This Row],[rho_b]])</f>
        <v>0.99875231694441857</v>
      </c>
      <c r="K41">
        <f>LN(Table115[[#This Row],[R(ao)]])</f>
        <v>1.0986122886681098</v>
      </c>
      <c r="L41">
        <f>1/Table115[[#This Row],[R(ao)]]</f>
        <v>0.33333333333333331</v>
      </c>
    </row>
    <row r="42" spans="1:12" hidden="1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2.2307611496558502</v>
      </c>
      <c r="G42">
        <v>1.4522039845741801</v>
      </c>
      <c r="H42">
        <v>3.5143489769496701</v>
      </c>
      <c r="I42">
        <v>1.8703239363325299</v>
      </c>
      <c r="J42">
        <f>LN(Table115[[#This Row],[rho_b]])</f>
        <v>1.2568542952920219</v>
      </c>
      <c r="K42">
        <f>LN(Table115[[#This Row],[R(ao)]])</f>
        <v>1.3862943611198906</v>
      </c>
      <c r="L42">
        <f>1/Table115[[#This Row],[R(ao)]]</f>
        <v>0.25</v>
      </c>
    </row>
    <row r="43" spans="1:12" hidden="1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2.3494714868673099</v>
      </c>
      <c r="G43">
        <v>1.3376697832860101</v>
      </c>
      <c r="H43">
        <v>3.24130686371111</v>
      </c>
      <c r="I43">
        <v>2.1644097021986601</v>
      </c>
      <c r="J43">
        <f>LN(Table115[[#This Row],[rho_b]])</f>
        <v>1.1759766014765416</v>
      </c>
      <c r="K43">
        <f>LN(Table115[[#This Row],[R(ao)]])</f>
        <v>1.3862943611198906</v>
      </c>
      <c r="L43">
        <f>1/Table115[[#This Row],[R(ao)]]</f>
        <v>0.25</v>
      </c>
    </row>
    <row r="44" spans="1:12" hidden="1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2.31390130435652</v>
      </c>
      <c r="G44">
        <v>0.99311152509896905</v>
      </c>
      <c r="H44">
        <v>2.9749875643070598</v>
      </c>
      <c r="I44">
        <v>2.0130874146964302</v>
      </c>
      <c r="J44">
        <f>LN(Table115[[#This Row],[rho_b]])</f>
        <v>1.0902398589240028</v>
      </c>
      <c r="K44">
        <f>LN(Table115[[#This Row],[R(ao)]])</f>
        <v>1.3862943611198906</v>
      </c>
      <c r="L44">
        <f>1/Table115[[#This Row],[R(ao)]]</f>
        <v>0.25</v>
      </c>
    </row>
    <row r="45" spans="1:12" hidden="1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2.5066143811223598</v>
      </c>
      <c r="G45">
        <v>0.79638290010602197</v>
      </c>
      <c r="H45">
        <v>2.7267401132220899</v>
      </c>
      <c r="I45">
        <v>2.2240596970790301</v>
      </c>
      <c r="J45">
        <f>LN(Table115[[#This Row],[rho_b]])</f>
        <v>1.0031067979732875</v>
      </c>
      <c r="K45">
        <f>LN(Table115[[#This Row],[R(ao)]])</f>
        <v>1.3862943611198906</v>
      </c>
      <c r="L45">
        <f>1/Table115[[#This Row],[R(ao)]]</f>
        <v>0.25</v>
      </c>
    </row>
    <row r="46" spans="1:12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2.6940043156601399</v>
      </c>
      <c r="G46">
        <v>0.62146177945828096</v>
      </c>
      <c r="H46">
        <v>2.5151068939545098</v>
      </c>
      <c r="I46">
        <v>2.4262134399034898</v>
      </c>
      <c r="J46">
        <f>LN(Table115[[#This Row],[rho_b]])</f>
        <v>0.92231530521489957</v>
      </c>
      <c r="K46">
        <f>LN(Table115[[#This Row],[R(ao)]])</f>
        <v>1.3862943611198906</v>
      </c>
      <c r="L46">
        <f>1/Table115[[#This Row],[R(ao)]]</f>
        <v>0.25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CD43-ED75-415A-8738-2EB3DF00B467}">
  <dimension ref="A1:L46"/>
  <sheetViews>
    <sheetView workbookViewId="0">
      <selection activeCell="Q44" sqref="Q44"/>
    </sheetView>
  </sheetViews>
  <sheetFormatPr defaultRowHeight="14.4" x14ac:dyDescent="0.3"/>
  <cols>
    <col min="10" max="10" width="9.77734375" customWidth="1"/>
  </cols>
  <sheetData>
    <row r="1" spans="1:12" ht="266.39999999999998" customHeight="1" x14ac:dyDescent="0.3"/>
    <row r="2" spans="1:12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  <c r="J2" t="s">
        <v>50</v>
      </c>
      <c r="K2" t="s">
        <v>18</v>
      </c>
      <c r="L2" t="s">
        <v>19</v>
      </c>
    </row>
    <row r="3" spans="1:12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  <c r="J3">
        <f>LN(Table116[[#This Row],[rho_b]])</f>
        <v>1.7435222708317339</v>
      </c>
      <c r="K3">
        <f>LN(Table116[[#This Row],[T(K)]])</f>
        <v>6.2146080984221914</v>
      </c>
      <c r="L3">
        <f>1/Table116[[#This Row],[T(K)]]</f>
        <v>2E-3</v>
      </c>
    </row>
    <row r="4" spans="1:12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  <c r="J4">
        <f>LN(Table116[[#This Row],[rho_b]])</f>
        <v>1.6977973204167323</v>
      </c>
      <c r="K4">
        <f>LN(Table116[[#This Row],[T(K)]])</f>
        <v>6.9077552789821368</v>
      </c>
      <c r="L4">
        <f>1/Table116[[#This Row],[T(K)]]</f>
        <v>1E-3</v>
      </c>
    </row>
    <row r="5" spans="1:12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  <c r="J5">
        <f>LN(Table116[[#This Row],[rho_b]])</f>
        <v>1.5977267033697227</v>
      </c>
      <c r="K5">
        <f>LN(Table116[[#This Row],[T(K)]])</f>
        <v>7.3132203870903014</v>
      </c>
      <c r="L5">
        <f>1/Table116[[#This Row],[T(K)]]</f>
        <v>6.6666666666666664E-4</v>
      </c>
    </row>
    <row r="6" spans="1:12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  <c r="J6">
        <f>LN(Table116[[#This Row],[rho_b]])</f>
        <v>1.532131470449716</v>
      </c>
      <c r="K6">
        <f>LN(Table116[[#This Row],[T(K)]])</f>
        <v>7.6009024595420822</v>
      </c>
      <c r="L6">
        <f>1/Table116[[#This Row],[T(K)]]</f>
        <v>5.0000000000000001E-4</v>
      </c>
    </row>
    <row r="7" spans="1:12" hidden="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  <c r="J7">
        <f>LN(Table116[[#This Row],[rho_b]])</f>
        <v>1.4410101914797577</v>
      </c>
      <c r="K7">
        <f>LN(Table116[[#This Row],[T(K)]])</f>
        <v>7.8240460108562919</v>
      </c>
      <c r="L7">
        <f>1/Table116[[#This Row],[T(K)]]</f>
        <v>4.0000000000000002E-4</v>
      </c>
    </row>
    <row r="8" spans="1:12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  <c r="J8">
        <f>LN(Table116[[#This Row],[rho_b]])</f>
        <v>1.5025939380918649</v>
      </c>
      <c r="K8">
        <f>LN(Table116[[#This Row],[T(K)]])</f>
        <v>6.2146080984221914</v>
      </c>
      <c r="L8">
        <f>1/Table116[[#This Row],[T(K)]]</f>
        <v>2E-3</v>
      </c>
    </row>
    <row r="9" spans="1:12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  <c r="J9">
        <f>LN(Table116[[#This Row],[rho_b]])</f>
        <v>1.4208688580919295</v>
      </c>
      <c r="K9">
        <f>LN(Table116[[#This Row],[T(K)]])</f>
        <v>6.9077552789821368</v>
      </c>
      <c r="L9">
        <f>1/Table116[[#This Row],[T(K)]]</f>
        <v>1E-3</v>
      </c>
    </row>
    <row r="10" spans="1:12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  <c r="J10">
        <f>LN(Table116[[#This Row],[rho_b]])</f>
        <v>1.3186125920143612</v>
      </c>
      <c r="K10">
        <f>LN(Table116[[#This Row],[T(K)]])</f>
        <v>7.3132203870903014</v>
      </c>
      <c r="L10">
        <f>1/Table116[[#This Row],[T(K)]]</f>
        <v>6.6666666666666664E-4</v>
      </c>
    </row>
    <row r="11" spans="1:12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  <c r="J11">
        <f>LN(Table116[[#This Row],[rho_b]])</f>
        <v>1.2414596746389233</v>
      </c>
      <c r="K11">
        <f>LN(Table116[[#This Row],[T(K)]])</f>
        <v>7.6009024595420822</v>
      </c>
      <c r="L11">
        <f>1/Table116[[#This Row],[T(K)]]</f>
        <v>5.0000000000000001E-4</v>
      </c>
    </row>
    <row r="12" spans="1:12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  <c r="J12">
        <f>LN(Table116[[#This Row],[rho_b]])</f>
        <v>1.1508290486161841</v>
      </c>
      <c r="K12">
        <f>LN(Table116[[#This Row],[T(K)]])</f>
        <v>7.8240460108562919</v>
      </c>
      <c r="L12">
        <f>1/Table116[[#This Row],[T(K)]]</f>
        <v>4.0000000000000002E-4</v>
      </c>
    </row>
    <row r="13" spans="1:12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  <c r="J13">
        <f>LN(Table116[[#This Row],[rho_b]])</f>
        <v>1.3493586457412272</v>
      </c>
      <c r="K13">
        <f>LN(Table116[[#This Row],[T(K)]])</f>
        <v>6.2146080984221914</v>
      </c>
      <c r="L13">
        <f>1/Table116[[#This Row],[T(K)]]</f>
        <v>2E-3</v>
      </c>
    </row>
    <row r="14" spans="1:12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  <c r="J14">
        <f>LN(Table116[[#This Row],[rho_b]])</f>
        <v>1.2608878169527669</v>
      </c>
      <c r="K14">
        <f>LN(Table116[[#This Row],[T(K)]])</f>
        <v>6.9077552789821368</v>
      </c>
      <c r="L14">
        <f>1/Table116[[#This Row],[T(K)]]</f>
        <v>1E-3</v>
      </c>
    </row>
    <row r="15" spans="1:12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  <c r="J15">
        <f>LN(Table116[[#This Row],[rho_b]])</f>
        <v>1.1621970310084635</v>
      </c>
      <c r="K15">
        <f>LN(Table116[[#This Row],[T(K)]])</f>
        <v>7.3132203870903014</v>
      </c>
      <c r="L15">
        <f>1/Table116[[#This Row],[T(K)]]</f>
        <v>6.6666666666666664E-4</v>
      </c>
    </row>
    <row r="16" spans="1:12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  <c r="J16">
        <f>LN(Table116[[#This Row],[rho_b]])</f>
        <v>1.0819568990530994</v>
      </c>
      <c r="K16">
        <f>LN(Table116[[#This Row],[T(K)]])</f>
        <v>7.6009024595420822</v>
      </c>
      <c r="L16">
        <f>1/Table116[[#This Row],[T(K)]]</f>
        <v>5.0000000000000001E-4</v>
      </c>
    </row>
    <row r="17" spans="1:12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  <c r="J17">
        <f>LN(Table116[[#This Row],[rho_b]])</f>
        <v>0.99008645919852023</v>
      </c>
      <c r="K17">
        <f>LN(Table116[[#This Row],[T(K)]])</f>
        <v>7.8240460108562919</v>
      </c>
      <c r="L17">
        <f>1/Table116[[#This Row],[T(K)]]</f>
        <v>4.0000000000000002E-4</v>
      </c>
    </row>
    <row r="18" spans="1:12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  <c r="J18">
        <f>LN(Table116[[#This Row],[rho_b]])</f>
        <v>1.2580016935016265</v>
      </c>
      <c r="K18">
        <f>LN(Table116[[#This Row],[T(K)]])</f>
        <v>6.2146080984221914</v>
      </c>
      <c r="L18">
        <f>1/Table116[[#This Row],[T(K)]]</f>
        <v>2E-3</v>
      </c>
    </row>
    <row r="19" spans="1:12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  <c r="J19">
        <f>LN(Table116[[#This Row],[rho_b]])</f>
        <v>1.1793642993684319</v>
      </c>
      <c r="K19">
        <f>LN(Table116[[#This Row],[T(K)]])</f>
        <v>6.9077552789821368</v>
      </c>
      <c r="L19">
        <f>1/Table116[[#This Row],[T(K)]]</f>
        <v>1E-3</v>
      </c>
    </row>
    <row r="20" spans="1:12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  <c r="J20">
        <f>LN(Table116[[#This Row],[rho_b]])</f>
        <v>1.0915857073639081</v>
      </c>
      <c r="K20">
        <f>LN(Table116[[#This Row],[T(K)]])</f>
        <v>7.3132203870903014</v>
      </c>
      <c r="L20">
        <f>1/Table116[[#This Row],[T(K)]]</f>
        <v>6.6666666666666664E-4</v>
      </c>
    </row>
    <row r="21" spans="1:12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  <c r="J21">
        <f>LN(Table116[[#This Row],[rho_b]])</f>
        <v>1.0000051033119717</v>
      </c>
      <c r="K21">
        <f>LN(Table116[[#This Row],[T(K)]])</f>
        <v>7.6009024595420822</v>
      </c>
      <c r="L21">
        <f>1/Table116[[#This Row],[T(K)]]</f>
        <v>5.0000000000000001E-4</v>
      </c>
    </row>
    <row r="22" spans="1:12" hidden="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  <c r="J22">
        <f>LN(Table116[[#This Row],[rho_b]])</f>
        <v>0.9203819005342444</v>
      </c>
      <c r="K22">
        <f>LN(Table116[[#This Row],[T(K)]])</f>
        <v>7.8240460108562919</v>
      </c>
      <c r="L22">
        <f>1/Table116[[#This Row],[T(K)]]</f>
        <v>4.0000000000000002E-4</v>
      </c>
    </row>
    <row r="23" spans="1:12" hidden="1" x14ac:dyDescent="0.3">
      <c r="A23">
        <v>100</v>
      </c>
      <c r="B23">
        <v>5</v>
      </c>
      <c r="C23">
        <v>500</v>
      </c>
      <c r="E23">
        <v>32.475539339999997</v>
      </c>
      <c r="H23">
        <v>3.2692510372910299</v>
      </c>
      <c r="J23">
        <f>LN(Table116[[#This Row],[rho_b]])</f>
        <v>1.1845609180915788</v>
      </c>
      <c r="K23">
        <f>LN(Table116[[#This Row],[T(K)]])</f>
        <v>6.2146080984221914</v>
      </c>
      <c r="L23">
        <f>1/Table116[[#This Row],[T(K)]]</f>
        <v>2E-3</v>
      </c>
    </row>
    <row r="24" spans="1:12" hidden="1" x14ac:dyDescent="0.3">
      <c r="A24">
        <v>100</v>
      </c>
      <c r="B24">
        <v>5</v>
      </c>
      <c r="C24">
        <v>2500</v>
      </c>
      <c r="E24">
        <v>18.448552741111101</v>
      </c>
      <c r="H24">
        <v>2.3282538582025598</v>
      </c>
      <c r="J24">
        <f>LN(Table116[[#This Row],[rho_b]])</f>
        <v>0.84511856954380626</v>
      </c>
      <c r="K24">
        <f>LN(Table116[[#This Row],[T(K)]])</f>
        <v>7.8240460108562919</v>
      </c>
      <c r="L24">
        <f>1/Table116[[#This Row],[T(K)]]</f>
        <v>4.0000000000000002E-4</v>
      </c>
    </row>
    <row r="25" spans="1:12" hidden="1" x14ac:dyDescent="0.3">
      <c r="A25">
        <v>100</v>
      </c>
      <c r="B25">
        <v>6</v>
      </c>
      <c r="C25">
        <v>500</v>
      </c>
      <c r="E25">
        <v>27.079947847777699</v>
      </c>
      <c r="H25">
        <v>2.9615035911824501</v>
      </c>
      <c r="J25">
        <f>LN(Table116[[#This Row],[rho_b]])</f>
        <v>1.085697109356957</v>
      </c>
      <c r="K25">
        <f>LN(Table116[[#This Row],[T(K)]])</f>
        <v>6.2146080984221914</v>
      </c>
      <c r="L25">
        <f>1/Table116[[#This Row],[T(K)]]</f>
        <v>2E-3</v>
      </c>
    </row>
    <row r="26" spans="1:12" hidden="1" x14ac:dyDescent="0.3">
      <c r="A26">
        <v>100</v>
      </c>
      <c r="B26">
        <v>6</v>
      </c>
      <c r="C26">
        <v>2500</v>
      </c>
      <c r="E26">
        <v>16.522505253888799</v>
      </c>
      <c r="H26">
        <v>2.1977976354319599</v>
      </c>
      <c r="J26">
        <f>LN(Table116[[#This Row],[rho_b]])</f>
        <v>0.78745578415057382</v>
      </c>
      <c r="K26">
        <f>LN(Table116[[#This Row],[T(K)]])</f>
        <v>7.8240460108562919</v>
      </c>
      <c r="L26">
        <f>1/Table116[[#This Row],[T(K)]]</f>
        <v>4.0000000000000002E-4</v>
      </c>
    </row>
    <row r="27" spans="1:12" hidden="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1.0312647741452401</v>
      </c>
      <c r="G27">
        <v>2.5886822361941402</v>
      </c>
      <c r="H27">
        <v>5.83584206677161</v>
      </c>
      <c r="I27">
        <v>1.7439489115946001</v>
      </c>
      <c r="J27">
        <f>LN(Table116[[#This Row],[rho_b]])</f>
        <v>1.7640185683977883</v>
      </c>
      <c r="K27">
        <f>LN(Table116[[#This Row],[T(K)]])</f>
        <v>6.2146080984221914</v>
      </c>
      <c r="L27">
        <f>1/Table116[[#This Row],[T(K)]]</f>
        <v>2E-3</v>
      </c>
    </row>
    <row r="28" spans="1:12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0.73926540807119001</v>
      </c>
      <c r="G28">
        <v>1.6681911472192399</v>
      </c>
      <c r="H28">
        <v>5.4113362160566698</v>
      </c>
      <c r="I28">
        <v>1.27635381978995</v>
      </c>
      <c r="J28">
        <f>LN(Table116[[#This Row],[rho_b]])</f>
        <v>1.6884960523903338</v>
      </c>
      <c r="K28">
        <f>LN(Table116[[#This Row],[T(K)]])</f>
        <v>6.9077552789821368</v>
      </c>
      <c r="L28">
        <f>1/Table116[[#This Row],[T(K)]]</f>
        <v>1E-3</v>
      </c>
    </row>
    <row r="29" spans="1:12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0.79821700722667299</v>
      </c>
      <c r="G29">
        <v>1.29195428868517</v>
      </c>
      <c r="H29">
        <v>5.0469736422668197</v>
      </c>
      <c r="I29">
        <v>1.1870163692771201</v>
      </c>
      <c r="J29">
        <f>LN(Table116[[#This Row],[rho_b]])</f>
        <v>1.6187887848889344</v>
      </c>
      <c r="K29">
        <f>LN(Table116[[#This Row],[T(K)]])</f>
        <v>7.3132203870903014</v>
      </c>
      <c r="L29">
        <f>1/Table116[[#This Row],[T(K)]]</f>
        <v>6.6666666666666664E-4</v>
      </c>
    </row>
    <row r="30" spans="1:12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0.83943070478818405</v>
      </c>
      <c r="G30">
        <v>1.05080714795866</v>
      </c>
      <c r="H30">
        <v>4.6836377508854703</v>
      </c>
      <c r="I30">
        <v>1.2559956537835</v>
      </c>
      <c r="J30">
        <f>LN(Table116[[#This Row],[rho_b]])</f>
        <v>1.5440751051882928</v>
      </c>
      <c r="K30">
        <f>LN(Table116[[#This Row],[T(K)]])</f>
        <v>7.6009024595420822</v>
      </c>
      <c r="L30">
        <f>1/Table116[[#This Row],[T(K)]]</f>
        <v>5.0000000000000001E-4</v>
      </c>
    </row>
    <row r="31" spans="1:12" hidden="1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1.01519197215941</v>
      </c>
      <c r="G31">
        <v>1.0006699945887401</v>
      </c>
      <c r="H31">
        <v>4.23501931654204</v>
      </c>
      <c r="I31">
        <v>1.35253992325525</v>
      </c>
      <c r="J31">
        <f>LN(Table116[[#This Row],[rho_b]])</f>
        <v>1.4433878892605672</v>
      </c>
      <c r="K31">
        <f>LN(Table116[[#This Row],[T(K)]])</f>
        <v>7.8240460108562919</v>
      </c>
      <c r="L31">
        <f>1/Table116[[#This Row],[T(K)]]</f>
        <v>4.0000000000000002E-4</v>
      </c>
    </row>
    <row r="32" spans="1:12" hidden="1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1.7590441166728701</v>
      </c>
      <c r="G32">
        <v>2.1167485383282001</v>
      </c>
      <c r="H32">
        <v>4.5018395086386596</v>
      </c>
      <c r="I32">
        <v>1.99997147662459</v>
      </c>
      <c r="J32">
        <f>LN(Table116[[#This Row],[rho_b]])</f>
        <v>1.5044860929460957</v>
      </c>
      <c r="K32">
        <f>LN(Table116[[#This Row],[T(K)]])</f>
        <v>6.2146080984221914</v>
      </c>
      <c r="L32">
        <f>1/Table116[[#This Row],[T(K)]]</f>
        <v>2E-3</v>
      </c>
    </row>
    <row r="33" spans="1:12" hidden="1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1.71642862674407</v>
      </c>
      <c r="G33">
        <v>1.7719903046463199</v>
      </c>
      <c r="H33">
        <v>4.0859314651361798</v>
      </c>
      <c r="I33">
        <v>1.8463729498725401</v>
      </c>
      <c r="J33">
        <f>LN(Table116[[#This Row],[rho_b]])</f>
        <v>1.4075497231603356</v>
      </c>
      <c r="K33">
        <f>LN(Table116[[#This Row],[T(K)]])</f>
        <v>6.9077552789821368</v>
      </c>
      <c r="L33">
        <f>1/Table116[[#This Row],[T(K)]]</f>
        <v>1E-3</v>
      </c>
    </row>
    <row r="34" spans="1:12" hidden="1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1.34673078210956</v>
      </c>
      <c r="G34">
        <v>1.2277035528868701</v>
      </c>
      <c r="H34">
        <v>3.7475995846554802</v>
      </c>
      <c r="I34">
        <v>1.42916325231605</v>
      </c>
      <c r="J34">
        <f>LN(Table116[[#This Row],[rho_b]])</f>
        <v>1.3211155242654204</v>
      </c>
      <c r="K34">
        <f>LN(Table116[[#This Row],[T(K)]])</f>
        <v>7.3132203870903014</v>
      </c>
      <c r="L34">
        <f>1/Table116[[#This Row],[T(K)]]</f>
        <v>6.6666666666666664E-4</v>
      </c>
    </row>
    <row r="35" spans="1:12" hidden="1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1.8654282014749799</v>
      </c>
      <c r="G35">
        <v>0.97630376102077798</v>
      </c>
      <c r="H35">
        <v>3.4399342176330201</v>
      </c>
      <c r="I35">
        <v>1.7345285214649</v>
      </c>
      <c r="J35">
        <f>LN(Table116[[#This Row],[rho_b]])</f>
        <v>1.2354523484213655</v>
      </c>
      <c r="K35">
        <f>LN(Table116[[#This Row],[T(K)]])</f>
        <v>7.6009024595420822</v>
      </c>
      <c r="L35">
        <f>1/Table116[[#This Row],[T(K)]]</f>
        <v>5.0000000000000001E-4</v>
      </c>
    </row>
    <row r="36" spans="1:12" hidden="1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1.82191980185842</v>
      </c>
      <c r="G36">
        <v>0.73595834237968005</v>
      </c>
      <c r="H36">
        <v>3.1161673525534099</v>
      </c>
      <c r="I36">
        <v>1.7257716809789001</v>
      </c>
      <c r="J36">
        <f>LN(Table116[[#This Row],[rho_b]])</f>
        <v>1.1366038340609819</v>
      </c>
      <c r="K36">
        <f>LN(Table116[[#This Row],[T(K)]])</f>
        <v>7.8240460108562919</v>
      </c>
      <c r="L36">
        <f>1/Table116[[#This Row],[T(K)]]</f>
        <v>4.0000000000000002E-4</v>
      </c>
    </row>
    <row r="37" spans="1:12" hidden="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2.1771258157546902</v>
      </c>
      <c r="G37">
        <v>1.98065622473133</v>
      </c>
      <c r="H37">
        <v>3.8643627782451899</v>
      </c>
      <c r="I37">
        <v>2.3749907745095098</v>
      </c>
      <c r="J37">
        <f>LN(Table116[[#This Row],[rho_b]])</f>
        <v>1.351796798652608</v>
      </c>
      <c r="K37">
        <f>LN(Table116[[#This Row],[T(K)]])</f>
        <v>6.2146080984221914</v>
      </c>
      <c r="L37">
        <f>1/Table116[[#This Row],[T(K)]]</f>
        <v>2E-3</v>
      </c>
    </row>
    <row r="38" spans="1:12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2.0887724737230799</v>
      </c>
      <c r="G38">
        <v>1.5671124781375301</v>
      </c>
      <c r="H38">
        <v>3.5275192877459798</v>
      </c>
      <c r="I38">
        <v>2.0904653787392502</v>
      </c>
      <c r="J38">
        <f>LN(Table116[[#This Row],[rho_b]])</f>
        <v>1.2605948725529821</v>
      </c>
      <c r="K38">
        <f>LN(Table116[[#This Row],[T(K)]])</f>
        <v>6.9077552789821368</v>
      </c>
      <c r="L38">
        <f>1/Table116[[#This Row],[T(K)]]</f>
        <v>1E-3</v>
      </c>
    </row>
    <row r="39" spans="1:12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1.8031873212866101</v>
      </c>
      <c r="G39">
        <v>1.03946478552786</v>
      </c>
      <c r="H39">
        <v>3.2084982031034102</v>
      </c>
      <c r="I39">
        <v>1.6084584716921499</v>
      </c>
      <c r="J39">
        <f>LN(Table116[[#This Row],[rho_b]])</f>
        <v>1.1658029781657049</v>
      </c>
      <c r="K39">
        <f>LN(Table116[[#This Row],[T(K)]])</f>
        <v>7.3132203870903014</v>
      </c>
      <c r="L39">
        <f>1/Table116[[#This Row],[T(K)]]</f>
        <v>6.6666666666666664E-4</v>
      </c>
    </row>
    <row r="40" spans="1:12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2.1857902579310799</v>
      </c>
      <c r="G40">
        <v>0.98087451540237203</v>
      </c>
      <c r="H40">
        <v>2.9467332525354601</v>
      </c>
      <c r="I40">
        <v>1.85597030853824</v>
      </c>
      <c r="J40">
        <f>LN(Table116[[#This Row],[rho_b]])</f>
        <v>1.0806971847404301</v>
      </c>
      <c r="K40">
        <f>LN(Table116[[#This Row],[T(K)]])</f>
        <v>7.6009024595420822</v>
      </c>
      <c r="L40">
        <f>1/Table116[[#This Row],[T(K)]]</f>
        <v>5.0000000000000001E-4</v>
      </c>
    </row>
    <row r="41" spans="1:12" hidden="1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2.4420614425269198</v>
      </c>
      <c r="G41">
        <v>0.69350996440117196</v>
      </c>
      <c r="H41">
        <v>2.7148923891940502</v>
      </c>
      <c r="I41">
        <v>2.1630238105382098</v>
      </c>
      <c r="J41">
        <f>LN(Table116[[#This Row],[rho_b]])</f>
        <v>0.99875231694441857</v>
      </c>
      <c r="K41">
        <f>LN(Table116[[#This Row],[T(K)]])</f>
        <v>7.8240460108562919</v>
      </c>
      <c r="L41">
        <f>1/Table116[[#This Row],[T(K)]]</f>
        <v>4.0000000000000002E-4</v>
      </c>
    </row>
    <row r="42" spans="1:12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2.2307611496558502</v>
      </c>
      <c r="G42">
        <v>1.4522039845741801</v>
      </c>
      <c r="H42">
        <v>3.5143489769496701</v>
      </c>
      <c r="I42">
        <v>1.8703239363325299</v>
      </c>
      <c r="J42">
        <f>LN(Table116[[#This Row],[rho_b]])</f>
        <v>1.2568542952920219</v>
      </c>
      <c r="K42">
        <f>LN(Table116[[#This Row],[T(K)]])</f>
        <v>6.2146080984221914</v>
      </c>
      <c r="L42">
        <f>1/Table116[[#This Row],[T(K)]]</f>
        <v>2E-3</v>
      </c>
    </row>
    <row r="43" spans="1:12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2.3494714868673099</v>
      </c>
      <c r="G43">
        <v>1.3376697832860101</v>
      </c>
      <c r="H43">
        <v>3.24130686371111</v>
      </c>
      <c r="I43">
        <v>2.1644097021986601</v>
      </c>
      <c r="J43">
        <f>LN(Table116[[#This Row],[rho_b]])</f>
        <v>1.1759766014765416</v>
      </c>
      <c r="K43">
        <f>LN(Table116[[#This Row],[T(K)]])</f>
        <v>6.9077552789821368</v>
      </c>
      <c r="L43">
        <f>1/Table116[[#This Row],[T(K)]]</f>
        <v>1E-3</v>
      </c>
    </row>
    <row r="44" spans="1:12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2.31390130435652</v>
      </c>
      <c r="G44">
        <v>0.99311152509896905</v>
      </c>
      <c r="H44">
        <v>2.9749875643070598</v>
      </c>
      <c r="I44">
        <v>2.0130874146964302</v>
      </c>
      <c r="J44">
        <f>LN(Table116[[#This Row],[rho_b]])</f>
        <v>1.0902398589240028</v>
      </c>
      <c r="K44">
        <f>LN(Table116[[#This Row],[T(K)]])</f>
        <v>7.3132203870903014</v>
      </c>
      <c r="L44">
        <f>1/Table116[[#This Row],[T(K)]]</f>
        <v>6.6666666666666664E-4</v>
      </c>
    </row>
    <row r="45" spans="1:12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2.5066143811223598</v>
      </c>
      <c r="G45">
        <v>0.79638290010602197</v>
      </c>
      <c r="H45">
        <v>2.7267401132220899</v>
      </c>
      <c r="I45">
        <v>2.2240596970790301</v>
      </c>
      <c r="J45">
        <f>LN(Table116[[#This Row],[rho_b]])</f>
        <v>1.0031067979732875</v>
      </c>
      <c r="K45">
        <f>LN(Table116[[#This Row],[T(K)]])</f>
        <v>7.6009024595420822</v>
      </c>
      <c r="L45">
        <f>1/Table116[[#This Row],[T(K)]]</f>
        <v>5.0000000000000001E-4</v>
      </c>
    </row>
    <row r="46" spans="1:12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2.6940043156601399</v>
      </c>
      <c r="G46">
        <v>0.62146177945828096</v>
      </c>
      <c r="H46">
        <v>2.5151068939545098</v>
      </c>
      <c r="I46">
        <v>2.4262134399034898</v>
      </c>
      <c r="J46">
        <f>LN(Table116[[#This Row],[rho_b]])</f>
        <v>0.92231530521489957</v>
      </c>
      <c r="K46">
        <f>LN(Table116[[#This Row],[T(K)]])</f>
        <v>7.8240460108562919</v>
      </c>
      <c r="L46">
        <f>1/Table116[[#This Row],[T(K)]]</f>
        <v>4.0000000000000002E-4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43E9-1574-49CA-84CF-63B184C6ABD0}">
  <dimension ref="A1:I45"/>
  <sheetViews>
    <sheetView workbookViewId="0">
      <selection sqref="A1:I45"/>
    </sheetView>
  </sheetViews>
  <sheetFormatPr defaultRowHeight="14.4" x14ac:dyDescent="0.3"/>
  <cols>
    <col min="1" max="1" width="11.33203125" customWidth="1"/>
    <col min="2" max="2" width="7.44140625" customWidth="1"/>
    <col min="3" max="4" width="6.33203125" customWidth="1"/>
    <col min="5" max="5" width="5.109375" customWidth="1"/>
    <col min="6" max="6" width="6.6640625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0</v>
      </c>
      <c r="I1" t="s">
        <v>8</v>
      </c>
    </row>
    <row r="2" spans="1:9" x14ac:dyDescent="0.3">
      <c r="A2">
        <v>100</v>
      </c>
      <c r="B2">
        <v>1</v>
      </c>
      <c r="C2">
        <v>500</v>
      </c>
      <c r="D2">
        <v>38.987904843554098</v>
      </c>
      <c r="E2">
        <v>88.051904233454493</v>
      </c>
      <c r="F2">
        <v>-3.0639592862165301</v>
      </c>
      <c r="G2">
        <v>1.7805269034751501</v>
      </c>
      <c r="H2">
        <v>5.7174463924963899</v>
      </c>
      <c r="I2">
        <v>-0.680837895797611</v>
      </c>
    </row>
    <row r="3" spans="1:9" x14ac:dyDescent="0.3">
      <c r="A3">
        <v>100</v>
      </c>
      <c r="B3">
        <v>1</v>
      </c>
      <c r="C3">
        <v>1000</v>
      </c>
      <c r="D3">
        <v>36.549487136239101</v>
      </c>
      <c r="E3">
        <v>76.838578092363605</v>
      </c>
      <c r="F3">
        <v>-1.2545682869318899</v>
      </c>
      <c r="G3">
        <v>1.52448359526946</v>
      </c>
      <c r="H3">
        <v>5.4619033090646703</v>
      </c>
      <c r="I3">
        <v>-0.29950782071523602</v>
      </c>
    </row>
    <row r="4" spans="1:9" x14ac:dyDescent="0.3">
      <c r="A4">
        <v>100</v>
      </c>
      <c r="B4">
        <v>1</v>
      </c>
      <c r="C4">
        <v>1500</v>
      </c>
      <c r="D4">
        <v>26.994950335905699</v>
      </c>
      <c r="E4">
        <v>68.538763993909001</v>
      </c>
      <c r="F4">
        <v>-1.82940567991059</v>
      </c>
      <c r="G4">
        <v>1.05270746011517</v>
      </c>
      <c r="H4">
        <v>4.9417855011150396</v>
      </c>
      <c r="I4">
        <v>-0.51433639341625403</v>
      </c>
    </row>
    <row r="5" spans="1:9" x14ac:dyDescent="0.3">
      <c r="A5">
        <v>100</v>
      </c>
      <c r="B5">
        <v>1</v>
      </c>
      <c r="C5">
        <v>2000</v>
      </c>
      <c r="D5">
        <v>19.553108798739299</v>
      </c>
      <c r="E5">
        <v>63.490942324909099</v>
      </c>
      <c r="F5">
        <v>-1.27494383024921</v>
      </c>
      <c r="G5">
        <v>0.78681743658388403</v>
      </c>
      <c r="H5">
        <v>4.6280308277581002</v>
      </c>
      <c r="I5">
        <v>-0.19413447211668999</v>
      </c>
    </row>
    <row r="6" spans="1:9" x14ac:dyDescent="0.3">
      <c r="A6">
        <v>100</v>
      </c>
      <c r="B6">
        <v>1</v>
      </c>
      <c r="C6">
        <v>2500</v>
      </c>
      <c r="D6">
        <v>13.1516507988825</v>
      </c>
      <c r="E6">
        <v>56.859420649</v>
      </c>
      <c r="F6">
        <v>0.39412502121464699</v>
      </c>
      <c r="G6">
        <v>0.61247407166907097</v>
      </c>
      <c r="H6">
        <v>4.2249616822571303</v>
      </c>
      <c r="I6">
        <v>0.399389458115669</v>
      </c>
    </row>
    <row r="7" spans="1:9" x14ac:dyDescent="0.3">
      <c r="A7">
        <v>100</v>
      </c>
      <c r="B7">
        <v>2</v>
      </c>
      <c r="C7">
        <v>500</v>
      </c>
      <c r="D7">
        <v>13.3547971639351</v>
      </c>
      <c r="E7">
        <v>56.212994217575698</v>
      </c>
      <c r="F7">
        <v>-0.34311488076490498</v>
      </c>
      <c r="G7">
        <v>1.4353258976085499</v>
      </c>
      <c r="H7">
        <v>4.4933293849343903</v>
      </c>
      <c r="I7">
        <v>0.12147561994367501</v>
      </c>
    </row>
    <row r="8" spans="1:9" x14ac:dyDescent="0.3">
      <c r="A8">
        <v>100</v>
      </c>
      <c r="B8">
        <v>2</v>
      </c>
      <c r="C8">
        <v>1000</v>
      </c>
      <c r="D8">
        <v>12.1156014384801</v>
      </c>
      <c r="E8">
        <v>48.526996635303</v>
      </c>
      <c r="F8">
        <v>0.13178078432088799</v>
      </c>
      <c r="G8">
        <v>1.1983958301855899</v>
      </c>
      <c r="H8">
        <v>4.1407165728614199</v>
      </c>
      <c r="I8">
        <v>0.28724074745922901</v>
      </c>
    </row>
    <row r="9" spans="1:9" x14ac:dyDescent="0.3">
      <c r="A9">
        <v>100</v>
      </c>
      <c r="B9">
        <v>2</v>
      </c>
      <c r="C9">
        <v>1500</v>
      </c>
      <c r="D9">
        <v>11.435813865154101</v>
      </c>
      <c r="E9">
        <v>41.5902465345454</v>
      </c>
      <c r="F9">
        <v>0.65486360537229804</v>
      </c>
      <c r="G9">
        <v>1.01640261263089</v>
      </c>
      <c r="H9">
        <v>3.73823132574043</v>
      </c>
      <c r="I9">
        <v>0.54234788885749896</v>
      </c>
    </row>
    <row r="10" spans="1:9" x14ac:dyDescent="0.3">
      <c r="A10">
        <v>100</v>
      </c>
      <c r="B10">
        <v>2</v>
      </c>
      <c r="C10">
        <v>2000</v>
      </c>
      <c r="D10">
        <v>9.5302387812026605</v>
      </c>
      <c r="E10">
        <v>36.802862126818098</v>
      </c>
      <c r="F10">
        <v>0.63562656121260697</v>
      </c>
      <c r="G10">
        <v>0.79288552264530698</v>
      </c>
      <c r="H10">
        <v>3.4606612192424602</v>
      </c>
      <c r="I10">
        <v>0.59714930028636704</v>
      </c>
    </row>
    <row r="11" spans="1:9" x14ac:dyDescent="0.3">
      <c r="A11">
        <v>100</v>
      </c>
      <c r="B11">
        <v>2</v>
      </c>
      <c r="C11">
        <v>2500</v>
      </c>
      <c r="D11">
        <v>10.013526888477299</v>
      </c>
      <c r="E11">
        <v>33.105415840303003</v>
      </c>
      <c r="F11">
        <v>2.2264616189631199</v>
      </c>
      <c r="G11">
        <v>0.70347678721266305</v>
      </c>
      <c r="H11">
        <v>3.1608122907983001</v>
      </c>
      <c r="I11">
        <v>1.34561466175779</v>
      </c>
    </row>
    <row r="12" spans="1:9" x14ac:dyDescent="0.3">
      <c r="A12">
        <v>100</v>
      </c>
      <c r="B12">
        <v>3</v>
      </c>
      <c r="C12">
        <v>500</v>
      </c>
      <c r="D12">
        <v>7.7582738103185598</v>
      </c>
      <c r="E12">
        <v>43.6846300404545</v>
      </c>
      <c r="F12">
        <v>8.9066753198056903E-2</v>
      </c>
      <c r="G12">
        <v>1.33891259050426</v>
      </c>
      <c r="H12">
        <v>3.8549523475830001</v>
      </c>
      <c r="I12">
        <v>0.43790946815583598</v>
      </c>
    </row>
    <row r="13" spans="1:9" x14ac:dyDescent="0.3">
      <c r="A13">
        <v>100</v>
      </c>
      <c r="B13">
        <v>3</v>
      </c>
      <c r="C13">
        <v>1000</v>
      </c>
      <c r="D13">
        <v>6.57343200408088</v>
      </c>
      <c r="E13">
        <v>37.648316448333297</v>
      </c>
      <c r="F13">
        <v>0.47250736208501098</v>
      </c>
      <c r="G13">
        <v>1.0740450425230601</v>
      </c>
      <c r="H13">
        <v>3.5285528061407798</v>
      </c>
      <c r="I13">
        <v>0.70863290279662605</v>
      </c>
    </row>
    <row r="14" spans="1:9" x14ac:dyDescent="0.3">
      <c r="A14">
        <v>100</v>
      </c>
      <c r="B14">
        <v>3</v>
      </c>
      <c r="C14">
        <v>1500</v>
      </c>
      <c r="D14">
        <v>4.9960232850488699</v>
      </c>
      <c r="E14">
        <v>32.414257819090899</v>
      </c>
      <c r="F14">
        <v>0.59269611213590001</v>
      </c>
      <c r="G14">
        <v>0.79689930934966602</v>
      </c>
      <c r="H14">
        <v>3.1969493628966599</v>
      </c>
      <c r="I14">
        <v>0.70939601504666305</v>
      </c>
    </row>
    <row r="15" spans="1:9" x14ac:dyDescent="0.3">
      <c r="A15">
        <v>100</v>
      </c>
      <c r="B15">
        <v>3</v>
      </c>
      <c r="C15">
        <v>2000</v>
      </c>
      <c r="D15">
        <v>2.9305364867537098</v>
      </c>
      <c r="E15">
        <v>28.558953559393899</v>
      </c>
      <c r="F15">
        <v>0.41317138465693898</v>
      </c>
      <c r="G15">
        <v>0.51862118385605305</v>
      </c>
      <c r="H15">
        <v>2.9504476336276202</v>
      </c>
      <c r="I15">
        <v>0.55126358847103696</v>
      </c>
    </row>
    <row r="16" spans="1:9" x14ac:dyDescent="0.3">
      <c r="A16">
        <v>100</v>
      </c>
      <c r="B16">
        <v>3</v>
      </c>
      <c r="C16">
        <v>2500</v>
      </c>
      <c r="D16">
        <v>2.7709229587059001</v>
      </c>
      <c r="E16">
        <v>25.136572647727199</v>
      </c>
      <c r="F16">
        <v>0.98854137273126197</v>
      </c>
      <c r="G16">
        <v>0.46449383279055001</v>
      </c>
      <c r="H16">
        <v>2.69146716438381</v>
      </c>
      <c r="I16">
        <v>1.1883973490067199</v>
      </c>
    </row>
    <row r="17" spans="1:9" x14ac:dyDescent="0.3">
      <c r="A17">
        <v>100</v>
      </c>
      <c r="B17">
        <v>4</v>
      </c>
      <c r="C17">
        <v>500</v>
      </c>
      <c r="D17">
        <v>6.4722997312794099</v>
      </c>
      <c r="E17">
        <v>37.209898678787802</v>
      </c>
      <c r="F17">
        <v>0.62832076279901705</v>
      </c>
      <c r="G17">
        <v>1.39978383337849</v>
      </c>
      <c r="H17">
        <v>3.5183836489188001</v>
      </c>
      <c r="I17">
        <v>1.4587862262967599</v>
      </c>
    </row>
    <row r="18" spans="1:9" x14ac:dyDescent="0.3">
      <c r="A18">
        <v>100</v>
      </c>
      <c r="B18">
        <v>4</v>
      </c>
      <c r="C18">
        <v>1000</v>
      </c>
      <c r="D18">
        <v>4.8172790003394699</v>
      </c>
      <c r="E18">
        <v>31.911139860151501</v>
      </c>
      <c r="F18">
        <v>0.77744158232054095</v>
      </c>
      <c r="G18">
        <v>1.05070848753989</v>
      </c>
      <c r="H18">
        <v>3.2523060525854102</v>
      </c>
      <c r="I18">
        <v>1.42961886514237</v>
      </c>
    </row>
    <row r="19" spans="1:9" x14ac:dyDescent="0.3">
      <c r="A19">
        <v>100</v>
      </c>
      <c r="B19">
        <v>4</v>
      </c>
      <c r="C19">
        <v>1500</v>
      </c>
      <c r="D19">
        <v>3.3023887897462001</v>
      </c>
      <c r="E19">
        <v>27.4015136460606</v>
      </c>
      <c r="F19">
        <v>0.75251864652243206</v>
      </c>
      <c r="G19">
        <v>0.7089662863724</v>
      </c>
      <c r="H19">
        <v>2.9789941421977599</v>
      </c>
      <c r="I19">
        <v>1.0618214182144601</v>
      </c>
    </row>
    <row r="20" spans="1:9" x14ac:dyDescent="0.3">
      <c r="A20">
        <v>100</v>
      </c>
      <c r="B20">
        <v>4</v>
      </c>
      <c r="C20">
        <v>2000</v>
      </c>
      <c r="D20">
        <v>1.3450059512694701</v>
      </c>
      <c r="E20">
        <v>24.008469821060601</v>
      </c>
      <c r="F20">
        <v>0.46747260152818099</v>
      </c>
      <c r="G20">
        <v>0.348569685825595</v>
      </c>
      <c r="H20">
        <v>2.71829570073464</v>
      </c>
      <c r="I20">
        <v>0.59867738539457604</v>
      </c>
    </row>
    <row r="21" spans="1:9" x14ac:dyDescent="0.3">
      <c r="A21">
        <v>100</v>
      </c>
      <c r="B21">
        <v>4</v>
      </c>
      <c r="C21">
        <v>2500</v>
      </c>
      <c r="D21">
        <v>1.3022767583499999</v>
      </c>
      <c r="E21">
        <v>21.139661948030302</v>
      </c>
      <c r="F21">
        <v>0.92097714757956695</v>
      </c>
      <c r="G21">
        <v>0.33471296296296199</v>
      </c>
      <c r="H21">
        <v>2.5102488722876002</v>
      </c>
      <c r="I21">
        <v>1.2920208940698199</v>
      </c>
    </row>
    <row r="22" spans="1:9" x14ac:dyDescent="0.3">
      <c r="A22">
        <v>100</v>
      </c>
      <c r="B22">
        <v>5</v>
      </c>
      <c r="C22">
        <v>500</v>
      </c>
      <c r="D22">
        <v>32.282554088333299</v>
      </c>
      <c r="E22">
        <v>32.475539339999997</v>
      </c>
      <c r="F22">
        <v>-6217.86362275396</v>
      </c>
      <c r="G22">
        <v>3.25500985382673</v>
      </c>
      <c r="H22">
        <v>3.2692510372910299</v>
      </c>
      <c r="I22">
        <v>-8313.1128450660599</v>
      </c>
    </row>
    <row r="23" spans="1:9" x14ac:dyDescent="0.3">
      <c r="A23">
        <v>100</v>
      </c>
      <c r="B23">
        <v>5</v>
      </c>
      <c r="C23">
        <v>2500</v>
      </c>
      <c r="D23">
        <v>18.4262436166666</v>
      </c>
      <c r="E23">
        <v>18.448552741111101</v>
      </c>
      <c r="F23">
        <v>-2989.18050221775</v>
      </c>
      <c r="G23">
        <v>2.32756415216899</v>
      </c>
      <c r="H23">
        <v>2.3282538582025598</v>
      </c>
      <c r="I23">
        <v>1</v>
      </c>
    </row>
    <row r="24" spans="1:9" x14ac:dyDescent="0.3">
      <c r="A24">
        <v>100</v>
      </c>
      <c r="B24">
        <v>6</v>
      </c>
      <c r="C24">
        <v>500</v>
      </c>
      <c r="D24">
        <v>26.9970652083333</v>
      </c>
      <c r="E24">
        <v>27.079947847777699</v>
      </c>
      <c r="F24">
        <v>-12099.813127534901</v>
      </c>
      <c r="G24">
        <v>2.9591403261824198</v>
      </c>
      <c r="H24">
        <v>2.9615035911824501</v>
      </c>
      <c r="I24">
        <v>-46565.284884338602</v>
      </c>
    </row>
    <row r="25" spans="1:9" x14ac:dyDescent="0.3">
      <c r="A25">
        <v>100</v>
      </c>
      <c r="B25">
        <v>6</v>
      </c>
      <c r="C25">
        <v>2500</v>
      </c>
      <c r="D25">
        <v>16.340238518333301</v>
      </c>
      <c r="E25">
        <v>16.522505253888799</v>
      </c>
      <c r="F25">
        <v>-3361.7813995416</v>
      </c>
      <c r="G25">
        <v>2.17630016194809</v>
      </c>
      <c r="H25">
        <v>2.1977976354319599</v>
      </c>
      <c r="I25">
        <v>-3795.5092202988499</v>
      </c>
    </row>
    <row r="26" spans="1:9" x14ac:dyDescent="0.3">
      <c r="A26">
        <v>110</v>
      </c>
      <c r="B26">
        <v>1</v>
      </c>
      <c r="C26">
        <v>500</v>
      </c>
      <c r="D26">
        <v>57.282114061772397</v>
      </c>
      <c r="E26">
        <v>86.600729920272698</v>
      </c>
      <c r="F26">
        <v>-0.72748571713329102</v>
      </c>
      <c r="G26">
        <v>2.5886822361941402</v>
      </c>
      <c r="H26">
        <v>5.83584206677161</v>
      </c>
      <c r="I26">
        <v>1.3967274664017599</v>
      </c>
    </row>
    <row r="27" spans="1:9" x14ac:dyDescent="0.3">
      <c r="A27">
        <v>110</v>
      </c>
      <c r="B27">
        <v>1</v>
      </c>
      <c r="C27">
        <v>1000</v>
      </c>
      <c r="D27">
        <v>37.486742154701602</v>
      </c>
      <c r="E27">
        <v>77.167960525181797</v>
      </c>
      <c r="F27">
        <v>-2.5446273929788901</v>
      </c>
      <c r="G27">
        <v>1.6681911472192399</v>
      </c>
      <c r="H27">
        <v>5.4113362160566698</v>
      </c>
      <c r="I27">
        <v>-0.43010495005923099</v>
      </c>
    </row>
    <row r="28" spans="1:9" x14ac:dyDescent="0.3">
      <c r="A28">
        <v>110</v>
      </c>
      <c r="B28">
        <v>1</v>
      </c>
      <c r="C28">
        <v>1500</v>
      </c>
      <c r="D28">
        <v>29.761861465604099</v>
      </c>
      <c r="E28">
        <v>69.371188460090906</v>
      </c>
      <c r="F28">
        <v>-1.91161102566042</v>
      </c>
      <c r="G28">
        <v>1.29195428868517</v>
      </c>
      <c r="H28">
        <v>5.0469736422668197</v>
      </c>
      <c r="I28">
        <v>-0.60906018720856603</v>
      </c>
    </row>
    <row r="29" spans="1:9" x14ac:dyDescent="0.3">
      <c r="A29">
        <v>110</v>
      </c>
      <c r="B29">
        <v>1</v>
      </c>
      <c r="C29">
        <v>2000</v>
      </c>
      <c r="D29">
        <v>25.361730066887599</v>
      </c>
      <c r="E29">
        <v>63.423271751727199</v>
      </c>
      <c r="F29">
        <v>-1.5793682050025899</v>
      </c>
      <c r="G29">
        <v>1.05080714795866</v>
      </c>
      <c r="H29">
        <v>4.6836377508854703</v>
      </c>
      <c r="I29">
        <v>-0.46265631747909203</v>
      </c>
    </row>
    <row r="30" spans="1:9" x14ac:dyDescent="0.3">
      <c r="A30">
        <v>110</v>
      </c>
      <c r="B30">
        <v>1</v>
      </c>
      <c r="C30">
        <v>2500</v>
      </c>
      <c r="D30">
        <v>21.835551091972899</v>
      </c>
      <c r="E30">
        <v>57.584859685181797</v>
      </c>
      <c r="F30">
        <v>-1.1632897907881099</v>
      </c>
      <c r="G30">
        <v>1.0006699945887401</v>
      </c>
      <c r="H30">
        <v>4.23501931654204</v>
      </c>
      <c r="I30">
        <v>-4.8331846037699099E-2</v>
      </c>
    </row>
    <row r="31" spans="1:9" x14ac:dyDescent="0.3">
      <c r="A31">
        <v>110</v>
      </c>
      <c r="B31">
        <v>2</v>
      </c>
      <c r="C31">
        <v>500</v>
      </c>
      <c r="D31">
        <v>25.206654469418599</v>
      </c>
      <c r="E31">
        <v>56.245464272727197</v>
      </c>
      <c r="F31">
        <v>1.5213786653682499</v>
      </c>
      <c r="G31">
        <v>2.1167485383282001</v>
      </c>
      <c r="H31">
        <v>4.5018395086386596</v>
      </c>
      <c r="I31">
        <v>2.4909738118676099</v>
      </c>
    </row>
    <row r="32" spans="1:9" x14ac:dyDescent="0.3">
      <c r="A32">
        <v>110</v>
      </c>
      <c r="B32">
        <v>2</v>
      </c>
      <c r="C32">
        <v>1000</v>
      </c>
      <c r="D32">
        <v>19.8142490225679</v>
      </c>
      <c r="E32">
        <v>48.242304509696901</v>
      </c>
      <c r="F32">
        <v>1.1660801143805899</v>
      </c>
      <c r="G32">
        <v>1.7719903046463199</v>
      </c>
      <c r="H32">
        <v>4.0859314651361798</v>
      </c>
      <c r="I32">
        <v>1.74057666016901</v>
      </c>
    </row>
    <row r="33" spans="1:9" x14ac:dyDescent="0.3">
      <c r="A33">
        <v>110</v>
      </c>
      <c r="B33">
        <v>2</v>
      </c>
      <c r="C33">
        <v>1500</v>
      </c>
      <c r="D33">
        <v>14.237183619633299</v>
      </c>
      <c r="E33">
        <v>41.639288495606003</v>
      </c>
      <c r="F33">
        <v>-0.33054830693300202</v>
      </c>
      <c r="G33">
        <v>1.2277035528868701</v>
      </c>
      <c r="H33">
        <v>3.7475995846554802</v>
      </c>
      <c r="I33">
        <v>-0.25521371776884999</v>
      </c>
    </row>
    <row r="34" spans="1:9" x14ac:dyDescent="0.3">
      <c r="A34">
        <v>110</v>
      </c>
      <c r="B34">
        <v>2</v>
      </c>
      <c r="C34">
        <v>2000</v>
      </c>
      <c r="D34">
        <v>13.908604489889999</v>
      </c>
      <c r="E34">
        <v>36.8278655477272</v>
      </c>
      <c r="F34">
        <v>1.44714727128862</v>
      </c>
      <c r="G34">
        <v>0.97630376102077798</v>
      </c>
      <c r="H34">
        <v>3.4399342176330201</v>
      </c>
      <c r="I34">
        <v>0.52206524155188805</v>
      </c>
    </row>
    <row r="35" spans="1:9" x14ac:dyDescent="0.3">
      <c r="A35">
        <v>110</v>
      </c>
      <c r="B35">
        <v>2</v>
      </c>
      <c r="C35">
        <v>2500</v>
      </c>
      <c r="D35">
        <v>11.400694755451401</v>
      </c>
      <c r="E35">
        <v>32.920906616969603</v>
      </c>
      <c r="F35">
        <v>1.14950451787921</v>
      </c>
      <c r="G35">
        <v>0.73595834237968005</v>
      </c>
      <c r="H35">
        <v>3.1161673525534099</v>
      </c>
      <c r="I35">
        <v>0.39894682894482503</v>
      </c>
    </row>
    <row r="36" spans="1:9" x14ac:dyDescent="0.3">
      <c r="A36">
        <v>110</v>
      </c>
      <c r="B36">
        <v>3</v>
      </c>
      <c r="C36">
        <v>500</v>
      </c>
      <c r="D36">
        <v>15.680837448358799</v>
      </c>
      <c r="E36">
        <v>43.764438158939399</v>
      </c>
      <c r="F36">
        <v>1.8771526257105899</v>
      </c>
      <c r="G36">
        <v>1.98065622473133</v>
      </c>
      <c r="H36">
        <v>3.8643627782451899</v>
      </c>
      <c r="I36">
        <v>4.01437772311629</v>
      </c>
    </row>
    <row r="37" spans="1:9" x14ac:dyDescent="0.3">
      <c r="A37">
        <v>110</v>
      </c>
      <c r="B37">
        <v>3</v>
      </c>
      <c r="C37">
        <v>1000</v>
      </c>
      <c r="D37">
        <v>11.5141612395254</v>
      </c>
      <c r="E37">
        <v>37.7315105795454</v>
      </c>
      <c r="F37">
        <v>1.3735819730480101</v>
      </c>
      <c r="G37">
        <v>1.5671124781375301</v>
      </c>
      <c r="H37">
        <v>3.5275192877459798</v>
      </c>
      <c r="I37">
        <v>2.4455288299246498</v>
      </c>
    </row>
    <row r="38" spans="1:9" x14ac:dyDescent="0.3">
      <c r="A38">
        <v>110</v>
      </c>
      <c r="B38">
        <v>3</v>
      </c>
      <c r="C38">
        <v>1500</v>
      </c>
      <c r="D38">
        <v>7.0103726034851501</v>
      </c>
      <c r="E38">
        <v>32.583728399848397</v>
      </c>
      <c r="F38">
        <v>0.276129393150781</v>
      </c>
      <c r="G38">
        <v>1.03946478552786</v>
      </c>
      <c r="H38">
        <v>3.2084982031034102</v>
      </c>
      <c r="I38">
        <v>5.0009616928881701E-2</v>
      </c>
    </row>
    <row r="39" spans="1:9" x14ac:dyDescent="0.3">
      <c r="A39">
        <v>110</v>
      </c>
      <c r="B39">
        <v>3</v>
      </c>
      <c r="C39">
        <v>2000</v>
      </c>
      <c r="D39">
        <v>8.0664703720160293</v>
      </c>
      <c r="E39">
        <v>28.682397553787801</v>
      </c>
      <c r="F39">
        <v>1.44682695082506</v>
      </c>
      <c r="G39">
        <v>0.98087451540237203</v>
      </c>
      <c r="H39">
        <v>2.9467332525354601</v>
      </c>
      <c r="I39">
        <v>0.96893037875749299</v>
      </c>
    </row>
    <row r="40" spans="1:9" x14ac:dyDescent="0.3">
      <c r="A40">
        <v>110</v>
      </c>
      <c r="B40">
        <v>3</v>
      </c>
      <c r="C40">
        <v>2500</v>
      </c>
      <c r="D40">
        <v>6.3015760126496199</v>
      </c>
      <c r="E40">
        <v>25.507203677575699</v>
      </c>
      <c r="F40">
        <v>1.56195858507774</v>
      </c>
      <c r="G40">
        <v>0.69350996440117196</v>
      </c>
      <c r="H40">
        <v>2.7148923891940502</v>
      </c>
      <c r="I40">
        <v>1.18398439500529</v>
      </c>
    </row>
    <row r="41" spans="1:9" x14ac:dyDescent="0.3">
      <c r="A41">
        <v>110</v>
      </c>
      <c r="B41">
        <v>4</v>
      </c>
      <c r="C41">
        <v>500</v>
      </c>
      <c r="D41">
        <v>8.6403234385068099</v>
      </c>
      <c r="E41">
        <v>37.295747593939303</v>
      </c>
      <c r="F41">
        <v>1.0641017856180299</v>
      </c>
      <c r="G41">
        <v>1.4522039845741801</v>
      </c>
      <c r="H41">
        <v>3.5143489769496701</v>
      </c>
      <c r="I41">
        <v>1.2096630869232801</v>
      </c>
    </row>
    <row r="42" spans="1:9" x14ac:dyDescent="0.3">
      <c r="A42">
        <v>110</v>
      </c>
      <c r="B42">
        <v>4</v>
      </c>
      <c r="C42">
        <v>1000</v>
      </c>
      <c r="D42">
        <v>7.4863922622541601</v>
      </c>
      <c r="E42">
        <v>32.045970122575703</v>
      </c>
      <c r="F42">
        <v>1.2817382419598999</v>
      </c>
      <c r="G42">
        <v>1.3376697832860101</v>
      </c>
      <c r="H42">
        <v>3.24130686371111</v>
      </c>
      <c r="I42">
        <v>2.23693449782043</v>
      </c>
    </row>
    <row r="43" spans="1:9" x14ac:dyDescent="0.3">
      <c r="A43">
        <v>110</v>
      </c>
      <c r="B43">
        <v>4</v>
      </c>
      <c r="C43">
        <v>1500</v>
      </c>
      <c r="D43">
        <v>5.3881873237563402</v>
      </c>
      <c r="E43">
        <v>27.6151055918181</v>
      </c>
      <c r="F43">
        <v>0.99368630135239699</v>
      </c>
      <c r="G43">
        <v>0.99311152509896905</v>
      </c>
      <c r="H43">
        <v>2.9749875643070598</v>
      </c>
      <c r="I43">
        <v>1.1320072792853499</v>
      </c>
    </row>
    <row r="44" spans="1:9" x14ac:dyDescent="0.3">
      <c r="A44">
        <v>110</v>
      </c>
      <c r="B44">
        <v>4</v>
      </c>
      <c r="C44">
        <v>2000</v>
      </c>
      <c r="D44">
        <v>4.4819066287711804</v>
      </c>
      <c r="E44">
        <v>24.284387221666599</v>
      </c>
      <c r="F44">
        <v>1.1747385534316099</v>
      </c>
      <c r="G44">
        <v>0.79638290010602197</v>
      </c>
      <c r="H44">
        <v>2.7267401132220899</v>
      </c>
      <c r="I44">
        <v>1.44685149101321</v>
      </c>
    </row>
    <row r="45" spans="1:9" x14ac:dyDescent="0.3">
      <c r="A45">
        <v>110</v>
      </c>
      <c r="B45">
        <v>4</v>
      </c>
      <c r="C45">
        <v>2500</v>
      </c>
      <c r="D45">
        <v>3.84190099003421</v>
      </c>
      <c r="E45">
        <v>21.5010230271212</v>
      </c>
      <c r="F45">
        <v>1.38815527916363</v>
      </c>
      <c r="G45">
        <v>0.62146177945828096</v>
      </c>
      <c r="H45">
        <v>2.5151068939545098</v>
      </c>
      <c r="I45">
        <v>1.5374597313007701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9BCE-C70F-449D-9664-C7DA3229BB07}">
  <dimension ref="A1:AH26"/>
  <sheetViews>
    <sheetView workbookViewId="0">
      <selection activeCell="A19" sqref="A19"/>
    </sheetView>
  </sheetViews>
  <sheetFormatPr defaultRowHeight="14.4" x14ac:dyDescent="0.3"/>
  <cols>
    <col min="1" max="1" width="29.33203125" customWidth="1"/>
    <col min="11" max="11" width="12.33203125" customWidth="1"/>
    <col min="28" max="28" width="10" customWidth="1"/>
  </cols>
  <sheetData>
    <row r="1" spans="1:34" x14ac:dyDescent="0.3">
      <c r="G1" s="1" t="s">
        <v>21</v>
      </c>
      <c r="O1" t="s">
        <v>11</v>
      </c>
      <c r="P1" t="s">
        <v>12</v>
      </c>
      <c r="Q1" t="s">
        <v>13</v>
      </c>
      <c r="X1" s="1" t="s">
        <v>23</v>
      </c>
      <c r="AF1" t="s">
        <v>11</v>
      </c>
      <c r="AG1" t="s">
        <v>12</v>
      </c>
      <c r="AH1" t="s">
        <v>13</v>
      </c>
    </row>
    <row r="2" spans="1:34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0</v>
      </c>
      <c r="J2" t="s">
        <v>8</v>
      </c>
      <c r="K2" t="s">
        <v>51</v>
      </c>
      <c r="L2" t="s">
        <v>45</v>
      </c>
      <c r="M2" t="s">
        <v>46</v>
      </c>
      <c r="N2" t="s">
        <v>47</v>
      </c>
      <c r="O2">
        <v>6.3241072473067961</v>
      </c>
      <c r="P2">
        <v>0.37307159989033423</v>
      </c>
      <c r="Q2">
        <v>1.6554042926795169E-4</v>
      </c>
      <c r="S2" s="2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  <c r="Y2" s="3" t="s">
        <v>1</v>
      </c>
      <c r="Z2" s="3" t="s">
        <v>0</v>
      </c>
      <c r="AA2" s="4" t="s">
        <v>8</v>
      </c>
      <c r="AB2" s="11" t="s">
        <v>51</v>
      </c>
      <c r="AC2" s="11" t="s">
        <v>45</v>
      </c>
      <c r="AD2" s="11" t="s">
        <v>46</v>
      </c>
      <c r="AE2" s="11" t="s">
        <v>47</v>
      </c>
      <c r="AF2">
        <v>6.4031365831745957</v>
      </c>
      <c r="AG2">
        <v>0.38589097199229355</v>
      </c>
      <c r="AH2">
        <v>1.6781084846489826E-4</v>
      </c>
    </row>
    <row r="3" spans="1:34" x14ac:dyDescent="0.3">
      <c r="B3">
        <v>100</v>
      </c>
      <c r="C3">
        <v>1</v>
      </c>
      <c r="D3">
        <v>500</v>
      </c>
      <c r="E3">
        <v>38.987904843554098</v>
      </c>
      <c r="F3">
        <v>88.051904233454493</v>
      </c>
      <c r="G3">
        <v>0.61602232172104499</v>
      </c>
      <c r="H3">
        <v>1.7805269034751501</v>
      </c>
      <c r="I3">
        <v>5.7174463924963899</v>
      </c>
      <c r="J3">
        <v>1.0588650288078501</v>
      </c>
      <c r="K3">
        <f>$O$2*Table117[[#This Row],[R(ao)]]^(-$P$2)*EXP(-$Q$2*Table117[[#This Row],[T(K)]])</f>
        <v>5.821736956473444</v>
      </c>
      <c r="L3">
        <f>(Table117[[#This Row],[rho_b pred]]-Table117[[#This Row],[rho_b]])^2</f>
        <v>1.0876521734652027E-2</v>
      </c>
      <c r="M3">
        <f>SUM(Table117[(res)^2])</f>
        <v>7.8447603976853686E-2</v>
      </c>
      <c r="N3">
        <f>RSQ(Table117[rho_b pred],Table117[rho_b])</f>
        <v>0.9961866652416268</v>
      </c>
      <c r="S3" s="5">
        <v>110</v>
      </c>
      <c r="T3" s="6">
        <v>1</v>
      </c>
      <c r="U3" s="6">
        <v>500</v>
      </c>
      <c r="V3" s="6">
        <v>57.282114061772397</v>
      </c>
      <c r="W3" s="6">
        <v>86.600729920272698</v>
      </c>
      <c r="X3" s="6">
        <v>1.0312647741452401</v>
      </c>
      <c r="Y3" s="6">
        <v>2.5886822361941402</v>
      </c>
      <c r="Z3" s="6">
        <v>5.83584206677161</v>
      </c>
      <c r="AA3" s="7">
        <v>1.7439489115946001</v>
      </c>
      <c r="AB3">
        <f>$AF$2*T3^(-$AG$2)*EXP(-$AH$2*U3)</f>
        <v>5.8878007285588438</v>
      </c>
      <c r="AC3">
        <f>(AB3-Z3)^2</f>
        <v>2.6997025347201553E-3</v>
      </c>
      <c r="AD3">
        <f>SUM(AC3:AC22)</f>
        <v>6.5803761203802588E-2</v>
      </c>
      <c r="AE3">
        <f>RSQ(AB3:AB22,Z3:Z22)</f>
        <v>0.99604315641383578</v>
      </c>
    </row>
    <row r="4" spans="1:34" x14ac:dyDescent="0.3">
      <c r="B4">
        <v>100</v>
      </c>
      <c r="C4">
        <v>1</v>
      </c>
      <c r="D4">
        <v>1000</v>
      </c>
      <c r="E4">
        <v>36.549487136239101</v>
      </c>
      <c r="F4">
        <v>76.838578092363605</v>
      </c>
      <c r="G4">
        <v>0.90900473903045798</v>
      </c>
      <c r="H4">
        <v>1.52448359526946</v>
      </c>
      <c r="I4">
        <v>5.4619033090646703</v>
      </c>
      <c r="J4">
        <v>1.24498258477945</v>
      </c>
      <c r="K4">
        <f>$O$2*Table117[[#This Row],[R(ao)]]^(-$P$2)*EXP(-$Q$2*Table117[[#This Row],[T(K)]])</f>
        <v>5.359273627878828</v>
      </c>
      <c r="L4">
        <f>(Table117[[#This Row],[rho_b pred]]-Table117[[#This Row],[rho_b]])^2</f>
        <v>1.0532851460307625E-2</v>
      </c>
      <c r="S4" s="8">
        <v>110</v>
      </c>
      <c r="T4" s="9">
        <v>1</v>
      </c>
      <c r="U4" s="9">
        <v>1000</v>
      </c>
      <c r="V4" s="9">
        <v>37.486742154701602</v>
      </c>
      <c r="W4" s="9">
        <v>77.167960525181797</v>
      </c>
      <c r="X4" s="9">
        <v>0.73926540807119001</v>
      </c>
      <c r="Y4" s="9">
        <v>1.6681911472192399</v>
      </c>
      <c r="Z4" s="9">
        <v>5.4113362160566698</v>
      </c>
      <c r="AA4" s="10">
        <v>1.27635381978995</v>
      </c>
      <c r="AB4">
        <f t="shared" ref="AB4:AB22" si="0">$AF$2*T4^(-$AG$2)*EXP(-$AH$2*U4)</f>
        <v>5.4139400228178456</v>
      </c>
      <c r="AC4">
        <f t="shared" ref="AC4:AC22" si="1">(AB4-Z4)^2</f>
        <v>6.7798096495446816E-6</v>
      </c>
    </row>
    <row r="5" spans="1:34" x14ac:dyDescent="0.3">
      <c r="B5">
        <v>100</v>
      </c>
      <c r="C5">
        <v>1</v>
      </c>
      <c r="D5">
        <v>1500</v>
      </c>
      <c r="E5">
        <v>26.994950335905699</v>
      </c>
      <c r="F5">
        <v>68.538763993909001</v>
      </c>
      <c r="G5">
        <v>0.77971835079028595</v>
      </c>
      <c r="H5">
        <v>1.05270746011517</v>
      </c>
      <c r="I5">
        <v>4.9417855011150396</v>
      </c>
      <c r="J5">
        <v>1.17828101475251</v>
      </c>
      <c r="K5">
        <f>$O$2*Table117[[#This Row],[R(ao)]]^(-$P$2)*EXP(-$Q$2*Table117[[#This Row],[T(K)]])</f>
        <v>4.9335471583855144</v>
      </c>
      <c r="L5">
        <f>(Table117[[#This Row],[rho_b pred]]-Table117[[#This Row],[rho_b]])^2</f>
        <v>6.7870290929120258E-5</v>
      </c>
      <c r="S5" s="5">
        <v>110</v>
      </c>
      <c r="T5" s="6">
        <v>1</v>
      </c>
      <c r="U5" s="6">
        <v>1500</v>
      </c>
      <c r="V5" s="6">
        <v>29.761861465604099</v>
      </c>
      <c r="W5" s="6">
        <v>69.371188460090906</v>
      </c>
      <c r="X5" s="6">
        <v>0.79821700722667299</v>
      </c>
      <c r="Y5" s="6">
        <v>1.29195428868517</v>
      </c>
      <c r="Z5" s="6">
        <v>5.0469736422668197</v>
      </c>
      <c r="AA5" s="7">
        <v>1.1870163692771201</v>
      </c>
      <c r="AB5">
        <f t="shared" si="0"/>
        <v>4.9782164719836359</v>
      </c>
      <c r="AC5">
        <f t="shared" si="1"/>
        <v>4.7275484653507239E-3</v>
      </c>
    </row>
    <row r="6" spans="1:34" x14ac:dyDescent="0.3">
      <c r="B6">
        <v>100</v>
      </c>
      <c r="C6">
        <v>1</v>
      </c>
      <c r="D6">
        <v>2000</v>
      </c>
      <c r="E6">
        <v>19.553108798739299</v>
      </c>
      <c r="F6">
        <v>63.490942324909099</v>
      </c>
      <c r="G6">
        <v>0.90509577673152797</v>
      </c>
      <c r="H6">
        <v>0.78681743658388403</v>
      </c>
      <c r="I6">
        <v>4.6280308277581002</v>
      </c>
      <c r="J6">
        <v>1.44797915088444</v>
      </c>
      <c r="K6">
        <f>$O$2*Table117[[#This Row],[R(ao)]]^(-$P$2)*EXP(-$Q$2*Table117[[#This Row],[T(K)]])</f>
        <v>4.5416392694334933</v>
      </c>
      <c r="L6">
        <f>(Table117[[#This Row],[rho_b pred]]-Table117[[#This Row],[rho_b]])^2</f>
        <v>7.4635013497539515E-3</v>
      </c>
      <c r="S6" s="8">
        <v>110</v>
      </c>
      <c r="T6" s="9">
        <v>1</v>
      </c>
      <c r="U6" s="9">
        <v>2000</v>
      </c>
      <c r="V6" s="9">
        <v>25.361730066887599</v>
      </c>
      <c r="W6" s="9">
        <v>63.423271751727199</v>
      </c>
      <c r="X6" s="9">
        <v>0.83943070478818405</v>
      </c>
      <c r="Y6" s="9">
        <v>1.05080714795866</v>
      </c>
      <c r="Z6" s="9">
        <v>4.6836377508854703</v>
      </c>
      <c r="AA6" s="10">
        <v>1.2559956537835</v>
      </c>
      <c r="AB6">
        <f t="shared" si="0"/>
        <v>4.5775607297973613</v>
      </c>
      <c r="AC6">
        <f t="shared" si="1"/>
        <v>1.1252334402927125E-2</v>
      </c>
    </row>
    <row r="7" spans="1:34" x14ac:dyDescent="0.3">
      <c r="B7">
        <v>100</v>
      </c>
      <c r="C7">
        <v>1</v>
      </c>
      <c r="D7">
        <v>2500</v>
      </c>
      <c r="E7">
        <v>13.1516507988825</v>
      </c>
      <c r="F7">
        <v>56.859420649</v>
      </c>
      <c r="G7">
        <v>1.60925803027996</v>
      </c>
      <c r="H7">
        <v>0.61247407166907097</v>
      </c>
      <c r="I7">
        <v>4.2249616822571303</v>
      </c>
      <c r="J7">
        <v>1.86439953983776</v>
      </c>
      <c r="K7">
        <f>$O$2*Table117[[#This Row],[R(ao)]]^(-$P$2)*EXP(-$Q$2*Table117[[#This Row],[T(K)]])</f>
        <v>4.1808635027642742</v>
      </c>
      <c r="L7">
        <f>(Table117[[#This Row],[rho_b pred]]-Table117[[#This Row],[rho_b]])^2</f>
        <v>1.9446494345841546E-3</v>
      </c>
      <c r="S7" s="5">
        <v>110</v>
      </c>
      <c r="T7" s="6">
        <v>1</v>
      </c>
      <c r="U7" s="6">
        <v>2500</v>
      </c>
      <c r="V7" s="6">
        <v>21.835551091972899</v>
      </c>
      <c r="W7" s="6">
        <v>57.584859685181797</v>
      </c>
      <c r="X7" s="6">
        <v>1.01519197215941</v>
      </c>
      <c r="Y7" s="6">
        <v>1.0006699945887401</v>
      </c>
      <c r="Z7" s="6">
        <v>4.23501931654204</v>
      </c>
      <c r="AA7" s="7">
        <v>1.35253992325525</v>
      </c>
      <c r="AB7">
        <f t="shared" si="0"/>
        <v>4.2091504764624128</v>
      </c>
      <c r="AC7">
        <f t="shared" si="1"/>
        <v>6.6919688706532652E-4</v>
      </c>
    </row>
    <row r="8" spans="1:34" x14ac:dyDescent="0.3">
      <c r="B8">
        <v>100</v>
      </c>
      <c r="C8">
        <v>2</v>
      </c>
      <c r="D8">
        <v>500</v>
      </c>
      <c r="E8">
        <v>13.3547971639351</v>
      </c>
      <c r="F8">
        <v>56.212994217575698</v>
      </c>
      <c r="G8">
        <v>1.3230710714705101</v>
      </c>
      <c r="H8">
        <v>1.4353258976085499</v>
      </c>
      <c r="I8">
        <v>4.4933293849343903</v>
      </c>
      <c r="J8">
        <v>1.4206104886524999</v>
      </c>
      <c r="K8">
        <f>$O$2*Table117[[#This Row],[R(ao)]]^(-$P$2)*EXP(-$Q$2*Table117[[#This Row],[T(K)]])</f>
        <v>4.495177411316206</v>
      </c>
      <c r="L8">
        <f>(Table117[[#This Row],[rho_b pred]]-Table117[[#This Row],[rho_b]])^2</f>
        <v>3.4152015078868007E-6</v>
      </c>
      <c r="S8" s="8">
        <v>110</v>
      </c>
      <c r="T8" s="9">
        <v>2</v>
      </c>
      <c r="U8" s="9">
        <v>500</v>
      </c>
      <c r="V8" s="9">
        <v>25.206654469418599</v>
      </c>
      <c r="W8" s="9">
        <v>56.245464272727197</v>
      </c>
      <c r="X8" s="9">
        <v>1.7590441166728701</v>
      </c>
      <c r="Y8" s="9">
        <v>2.1167485383282001</v>
      </c>
      <c r="Z8" s="9">
        <v>4.5018395086386596</v>
      </c>
      <c r="AA8" s="10">
        <v>1.99997147662459</v>
      </c>
      <c r="AB8">
        <f t="shared" si="0"/>
        <v>4.5059705126014622</v>
      </c>
      <c r="AC8">
        <f t="shared" si="1"/>
        <v>1.7065193740691093E-5</v>
      </c>
    </row>
    <row r="9" spans="1:34" x14ac:dyDescent="0.3">
      <c r="B9">
        <v>100</v>
      </c>
      <c r="C9">
        <v>2</v>
      </c>
      <c r="D9">
        <v>1000</v>
      </c>
      <c r="E9">
        <v>12.1156014384801</v>
      </c>
      <c r="F9">
        <v>48.526996635303</v>
      </c>
      <c r="G9">
        <v>1.59016333434984</v>
      </c>
      <c r="H9">
        <v>1.1983958301855899</v>
      </c>
      <c r="I9">
        <v>4.1407165728614199</v>
      </c>
      <c r="J9">
        <v>1.57593520260021</v>
      </c>
      <c r="K9">
        <f>$O$2*Table117[[#This Row],[R(ao)]]^(-$P$2)*EXP(-$Q$2*Table117[[#This Row],[T(K)]])</f>
        <v>4.1380924513114339</v>
      </c>
      <c r="L9">
        <f>(Table117[[#This Row],[rho_b pred]]-Table117[[#This Row],[rho_b]])^2</f>
        <v>6.8860139091011156E-6</v>
      </c>
      <c r="S9" s="5">
        <v>110</v>
      </c>
      <c r="T9" s="6">
        <v>2</v>
      </c>
      <c r="U9" s="6">
        <v>1000</v>
      </c>
      <c r="V9" s="6">
        <v>19.8142490225679</v>
      </c>
      <c r="W9" s="6">
        <v>48.242304509696901</v>
      </c>
      <c r="X9" s="6">
        <v>1.71642862674407</v>
      </c>
      <c r="Y9" s="6">
        <v>1.7719903046463199</v>
      </c>
      <c r="Z9" s="6">
        <v>4.0859314651361798</v>
      </c>
      <c r="AA9" s="7">
        <v>1.8463729498725401</v>
      </c>
      <c r="AB9">
        <f t="shared" si="0"/>
        <v>4.1433219676545123</v>
      </c>
      <c r="AC9">
        <f t="shared" si="1"/>
        <v>3.293669779306735E-3</v>
      </c>
    </row>
    <row r="10" spans="1:34" x14ac:dyDescent="0.3">
      <c r="B10">
        <v>100</v>
      </c>
      <c r="C10">
        <v>2</v>
      </c>
      <c r="D10">
        <v>1500</v>
      </c>
      <c r="E10">
        <v>11.435813865154101</v>
      </c>
      <c r="F10">
        <v>41.5902465345454</v>
      </c>
      <c r="G10">
        <v>1.7959888232993599</v>
      </c>
      <c r="H10">
        <v>1.01640261263089</v>
      </c>
      <c r="I10">
        <v>3.73823132574043</v>
      </c>
      <c r="J10">
        <v>1.7062675113349399</v>
      </c>
      <c r="K10">
        <f>$O$2*Table117[[#This Row],[R(ao)]]^(-$P$2)*EXP(-$Q$2*Table117[[#This Row],[T(K)]])</f>
        <v>3.8093733725598948</v>
      </c>
      <c r="L10">
        <f>(Table117[[#This Row],[rho_b pred]]-Table117[[#This Row],[rho_b]])^2</f>
        <v>5.0611908256629201E-3</v>
      </c>
      <c r="S10" s="8">
        <v>110</v>
      </c>
      <c r="T10" s="9">
        <v>2</v>
      </c>
      <c r="U10" s="9">
        <v>1500</v>
      </c>
      <c r="V10" s="9">
        <v>14.237183619633299</v>
      </c>
      <c r="W10" s="9">
        <v>41.639288495606003</v>
      </c>
      <c r="X10" s="9">
        <v>1.34673078210956</v>
      </c>
      <c r="Y10" s="9">
        <v>1.2277035528868701</v>
      </c>
      <c r="Z10" s="9">
        <v>3.7475995846554802</v>
      </c>
      <c r="AA10" s="10">
        <v>1.42916325231605</v>
      </c>
      <c r="AB10">
        <f t="shared" si="0"/>
        <v>3.8098600245249385</v>
      </c>
      <c r="AC10">
        <f t="shared" si="1"/>
        <v>3.8763623727384447E-3</v>
      </c>
    </row>
    <row r="11" spans="1:34" x14ac:dyDescent="0.3">
      <c r="A11" t="s">
        <v>61</v>
      </c>
      <c r="B11">
        <v>100</v>
      </c>
      <c r="C11">
        <v>2</v>
      </c>
      <c r="D11">
        <v>2000</v>
      </c>
      <c r="E11">
        <v>9.5302387812026605</v>
      </c>
      <c r="F11">
        <v>36.802862126818098</v>
      </c>
      <c r="G11">
        <v>1.8207042084874001</v>
      </c>
      <c r="H11">
        <v>0.79288552264530698</v>
      </c>
      <c r="I11">
        <v>3.4606612192424602</v>
      </c>
      <c r="J11">
        <v>1.8679472767974801</v>
      </c>
      <c r="K11">
        <f>$O$2*Table117[[#This Row],[R(ao)]]^(-$P$2)*EXP(-$Q$2*Table117[[#This Row],[T(K)]])</f>
        <v>3.5067668647590153</v>
      </c>
      <c r="L11">
        <f>(Table117[[#This Row],[rho_b pred]]-Table117[[#This Row],[rho_b]])^2</f>
        <v>2.1257305484982431E-3</v>
      </c>
      <c r="S11" s="5">
        <v>110</v>
      </c>
      <c r="T11" s="6">
        <v>2</v>
      </c>
      <c r="U11" s="6">
        <v>2000</v>
      </c>
      <c r="V11" s="6">
        <v>13.908604489889999</v>
      </c>
      <c r="W11" s="6">
        <v>36.8278655477272</v>
      </c>
      <c r="X11" s="6">
        <v>1.8654282014749799</v>
      </c>
      <c r="Y11" s="6">
        <v>0.97630376102077798</v>
      </c>
      <c r="Z11" s="6">
        <v>3.4399342176330201</v>
      </c>
      <c r="AA11" s="7">
        <v>1.7345285214649</v>
      </c>
      <c r="AB11">
        <f t="shared" si="0"/>
        <v>3.5032356934331998</v>
      </c>
      <c r="AC11">
        <f t="shared" si="1"/>
        <v>4.0070768384807423E-3</v>
      </c>
    </row>
    <row r="12" spans="1:34" x14ac:dyDescent="0.3">
      <c r="A12" t="s">
        <v>52</v>
      </c>
      <c r="B12">
        <v>100</v>
      </c>
      <c r="C12">
        <v>2</v>
      </c>
      <c r="D12">
        <v>2500</v>
      </c>
      <c r="E12">
        <v>10.013526888477299</v>
      </c>
      <c r="F12">
        <v>33.105415840303003</v>
      </c>
      <c r="G12">
        <v>2.6691951839081001</v>
      </c>
      <c r="H12">
        <v>0.70347678721266305</v>
      </c>
      <c r="I12">
        <v>3.1608122907983001</v>
      </c>
      <c r="J12">
        <v>2.4366614934508699</v>
      </c>
      <c r="K12">
        <f>$O$2*Table117[[#This Row],[R(ao)]]^(-$P$2)*EXP(-$Q$2*Table117[[#This Row],[T(K)]])</f>
        <v>3.2281986145946959</v>
      </c>
      <c r="L12">
        <f>(Table117[[#This Row],[rho_b pred]]-Table117[[#This Row],[rho_b]])^2</f>
        <v>4.5409166347927079E-3</v>
      </c>
      <c r="S12" s="8">
        <v>110</v>
      </c>
      <c r="T12" s="9">
        <v>2</v>
      </c>
      <c r="U12" s="9">
        <v>2500</v>
      </c>
      <c r="V12" s="9">
        <v>11.400694755451401</v>
      </c>
      <c r="W12" s="9">
        <v>32.920906616969603</v>
      </c>
      <c r="X12" s="9">
        <v>1.82191980185842</v>
      </c>
      <c r="Y12" s="9">
        <v>0.73595834237968005</v>
      </c>
      <c r="Z12" s="9">
        <v>3.1161673525534099</v>
      </c>
      <c r="AA12" s="10">
        <v>1.7257716809789001</v>
      </c>
      <c r="AB12">
        <f t="shared" si="0"/>
        <v>3.2212890354875188</v>
      </c>
      <c r="AC12">
        <f t="shared" si="1"/>
        <v>1.105056822289931E-2</v>
      </c>
    </row>
    <row r="13" spans="1:34" x14ac:dyDescent="0.3">
      <c r="A13" t="s">
        <v>59</v>
      </c>
      <c r="B13">
        <v>100</v>
      </c>
      <c r="C13">
        <v>3</v>
      </c>
      <c r="D13">
        <v>500</v>
      </c>
      <c r="E13">
        <v>7.7582738103185598</v>
      </c>
      <c r="F13">
        <v>43.6846300404545</v>
      </c>
      <c r="G13">
        <v>1.69209394815262</v>
      </c>
      <c r="H13">
        <v>1.33891259050426</v>
      </c>
      <c r="I13">
        <v>3.8549523475830001</v>
      </c>
      <c r="J13">
        <v>1.5800188454213999</v>
      </c>
      <c r="K13">
        <f>$O$2*Table117[[#This Row],[R(ao)]]^(-$P$2)*EXP(-$Q$2*Table117[[#This Row],[T(K)]])</f>
        <v>3.8641340939604034</v>
      </c>
      <c r="L13">
        <f>(Table117[[#This Row],[rho_b pred]]-Table117[[#This Row],[rho_b]])^2</f>
        <v>8.430446653895902E-5</v>
      </c>
      <c r="S13" s="5">
        <v>110</v>
      </c>
      <c r="T13" s="6">
        <v>3</v>
      </c>
      <c r="U13" s="6">
        <v>500</v>
      </c>
      <c r="V13" s="6">
        <v>15.680837448358799</v>
      </c>
      <c r="W13" s="6">
        <v>43.764438158939399</v>
      </c>
      <c r="X13" s="6">
        <v>2.1771258157546902</v>
      </c>
      <c r="Y13" s="6">
        <v>1.98065622473133</v>
      </c>
      <c r="Z13" s="6">
        <v>3.8643627782451899</v>
      </c>
      <c r="AA13" s="7">
        <v>2.3749907745095098</v>
      </c>
      <c r="AB13">
        <f t="shared" si="0"/>
        <v>3.8533310163472048</v>
      </c>
      <c r="AC13">
        <f t="shared" si="1"/>
        <v>1.2169977057383714E-4</v>
      </c>
    </row>
    <row r="14" spans="1:34" x14ac:dyDescent="0.3">
      <c r="A14" t="s">
        <v>11</v>
      </c>
      <c r="B14">
        <v>100</v>
      </c>
      <c r="C14">
        <v>3</v>
      </c>
      <c r="D14">
        <v>1000</v>
      </c>
      <c r="E14">
        <v>6.57343200408088</v>
      </c>
      <c r="F14">
        <v>37.648316448333297</v>
      </c>
      <c r="G14">
        <v>1.9620784200538901</v>
      </c>
      <c r="H14">
        <v>1.0740450425230601</v>
      </c>
      <c r="I14">
        <v>3.5285528061407798</v>
      </c>
      <c r="J14">
        <v>1.75228054012568</v>
      </c>
      <c r="K14">
        <f>$O$2*Table117[[#This Row],[R(ao)]]^(-$P$2)*EXP(-$Q$2*Table117[[#This Row],[T(K)]])</f>
        <v>3.5571775398272241</v>
      </c>
      <c r="L14">
        <f>(Table117[[#This Row],[rho_b pred]]-Table117[[#This Row],[rho_b]])^2</f>
        <v>8.1937537861985607E-4</v>
      </c>
      <c r="S14" s="8">
        <v>110</v>
      </c>
      <c r="T14" s="9">
        <v>3</v>
      </c>
      <c r="U14" s="9">
        <v>1000</v>
      </c>
      <c r="V14" s="9">
        <v>11.5141612395254</v>
      </c>
      <c r="W14" s="9">
        <v>37.7315105795454</v>
      </c>
      <c r="X14" s="9">
        <v>2.0887724737230799</v>
      </c>
      <c r="Y14" s="9">
        <v>1.5671124781375301</v>
      </c>
      <c r="Z14" s="9">
        <v>3.5275192877459798</v>
      </c>
      <c r="AA14" s="10">
        <v>2.0904653787392502</v>
      </c>
      <c r="AB14">
        <f t="shared" si="0"/>
        <v>3.5432080622867503</v>
      </c>
      <c r="AC14">
        <f t="shared" si="1"/>
        <v>2.4613764659113036E-4</v>
      </c>
    </row>
    <row r="15" spans="1:34" x14ac:dyDescent="0.3">
      <c r="A15">
        <f>AVERAGE(O2,AF2)</f>
        <v>6.3636219152406959</v>
      </c>
      <c r="B15">
        <v>100</v>
      </c>
      <c r="C15">
        <v>3</v>
      </c>
      <c r="D15">
        <v>1500</v>
      </c>
      <c r="E15">
        <v>4.9960232850488699</v>
      </c>
      <c r="F15">
        <v>32.414257819090899</v>
      </c>
      <c r="G15">
        <v>2.1209708774329799</v>
      </c>
      <c r="H15">
        <v>0.79689930934966602</v>
      </c>
      <c r="I15">
        <v>3.1969493628966599</v>
      </c>
      <c r="J15">
        <v>1.8557261190132299</v>
      </c>
      <c r="K15">
        <f>$O$2*Table117[[#This Row],[R(ao)]]^(-$P$2)*EXP(-$Q$2*Table117[[#This Row],[T(K)]])</f>
        <v>3.2746047994629781</v>
      </c>
      <c r="L15">
        <f>(Table117[[#This Row],[rho_b pred]]-Table117[[#This Row],[rho_b]])^2</f>
        <v>6.0303668283054751E-3</v>
      </c>
      <c r="S15" s="5">
        <v>110</v>
      </c>
      <c r="T15" s="6">
        <v>3</v>
      </c>
      <c r="U15" s="6">
        <v>1500</v>
      </c>
      <c r="V15" s="6">
        <v>7.0103726034851501</v>
      </c>
      <c r="W15" s="6">
        <v>32.583728399848397</v>
      </c>
      <c r="X15" s="6">
        <v>1.8031873212866101</v>
      </c>
      <c r="Y15" s="6">
        <v>1.03946478552786</v>
      </c>
      <c r="Z15" s="6">
        <v>3.2084982031034102</v>
      </c>
      <c r="AA15" s="7">
        <v>1.6084584716921499</v>
      </c>
      <c r="AB15">
        <f t="shared" si="0"/>
        <v>3.2580443567899846</v>
      </c>
      <c r="AC15">
        <f t="shared" si="1"/>
        <v>2.4548213451336546E-3</v>
      </c>
    </row>
    <row r="16" spans="1:34" x14ac:dyDescent="0.3">
      <c r="A16" t="s">
        <v>12</v>
      </c>
      <c r="B16">
        <v>100</v>
      </c>
      <c r="C16">
        <v>3</v>
      </c>
      <c r="D16">
        <v>2000</v>
      </c>
      <c r="E16">
        <v>2.9305364867537098</v>
      </c>
      <c r="F16">
        <v>28.558953559393899</v>
      </c>
      <c r="G16">
        <v>2.17873207546595</v>
      </c>
      <c r="H16">
        <v>0.51862118385605305</v>
      </c>
      <c r="I16">
        <v>2.9504476336276202</v>
      </c>
      <c r="J16">
        <v>1.9680218520978201</v>
      </c>
      <c r="K16">
        <f>$O$2*Table117[[#This Row],[R(ao)]]^(-$P$2)*EXP(-$Q$2*Table117[[#This Row],[T(K)]])</f>
        <v>3.0144788874346715</v>
      </c>
      <c r="L16">
        <f>(Table117[[#This Row],[rho_b pred]]-Table117[[#This Row],[rho_b]])^2</f>
        <v>4.1000014641030249E-3</v>
      </c>
      <c r="S16" s="8">
        <v>110</v>
      </c>
      <c r="T16" s="9">
        <v>3</v>
      </c>
      <c r="U16" s="9">
        <v>2000</v>
      </c>
      <c r="V16" s="9">
        <v>8.0664703720160293</v>
      </c>
      <c r="W16" s="9">
        <v>28.682397553787801</v>
      </c>
      <c r="X16" s="9">
        <v>2.1857902579310799</v>
      </c>
      <c r="Y16" s="9">
        <v>0.98087451540237203</v>
      </c>
      <c r="Z16" s="9">
        <v>2.9467332525354601</v>
      </c>
      <c r="AA16" s="10">
        <v>1.85597030853824</v>
      </c>
      <c r="AB16">
        <f t="shared" si="0"/>
        <v>2.9958311350082973</v>
      </c>
      <c r="AC16">
        <f t="shared" si="1"/>
        <v>2.4106020633165338E-3</v>
      </c>
    </row>
    <row r="17" spans="1:29" x14ac:dyDescent="0.3">
      <c r="A17">
        <f>AVERAGE(P2,AG2)</f>
        <v>0.37948128594131392</v>
      </c>
      <c r="B17">
        <v>100</v>
      </c>
      <c r="C17">
        <v>3</v>
      </c>
      <c r="D17">
        <v>2500</v>
      </c>
      <c r="E17">
        <v>2.7709229587059001</v>
      </c>
      <c r="F17">
        <v>25.136572647727199</v>
      </c>
      <c r="G17">
        <v>2.5626585277727001</v>
      </c>
      <c r="H17">
        <v>0.46449383279055001</v>
      </c>
      <c r="I17">
        <v>2.69146716438381</v>
      </c>
      <c r="J17">
        <v>2.3207968657201001</v>
      </c>
      <c r="K17">
        <f>$O$2*Table117[[#This Row],[R(ao)]]^(-$P$2)*EXP(-$Q$2*Table117[[#This Row],[T(K)]])</f>
        <v>2.775016687289904</v>
      </c>
      <c r="L17">
        <f>(Table117[[#This Row],[rho_b pred]]-Table117[[#This Row],[rho_b]])^2</f>
        <v>6.9805227778359383E-3</v>
      </c>
      <c r="S17" s="5">
        <v>110</v>
      </c>
      <c r="T17" s="6">
        <v>3</v>
      </c>
      <c r="U17" s="6">
        <v>2500</v>
      </c>
      <c r="V17" s="6">
        <v>6.3015760126496199</v>
      </c>
      <c r="W17" s="6">
        <v>25.507203677575699</v>
      </c>
      <c r="X17" s="6">
        <v>2.4420614425269198</v>
      </c>
      <c r="Y17" s="6">
        <v>0.69350996440117196</v>
      </c>
      <c r="Z17" s="6">
        <v>2.7148923891940502</v>
      </c>
      <c r="AA17" s="7">
        <v>2.1630238105382098</v>
      </c>
      <c r="AB17">
        <f t="shared" si="0"/>
        <v>2.7547213010714806</v>
      </c>
      <c r="AC17">
        <f t="shared" si="1"/>
        <v>1.5863422213401187E-3</v>
      </c>
    </row>
    <row r="18" spans="1:29" x14ac:dyDescent="0.3">
      <c r="A18" t="s">
        <v>13</v>
      </c>
      <c r="B18">
        <v>100</v>
      </c>
      <c r="C18">
        <v>4</v>
      </c>
      <c r="D18">
        <v>500</v>
      </c>
      <c r="E18">
        <v>6.4722997312794099</v>
      </c>
      <c r="F18">
        <v>37.209898678787802</v>
      </c>
      <c r="G18">
        <v>2.1496440043624498</v>
      </c>
      <c r="H18">
        <v>1.39978383337849</v>
      </c>
      <c r="I18">
        <v>3.5183836489188001</v>
      </c>
      <c r="J18">
        <v>1.9070302809725299</v>
      </c>
      <c r="K18">
        <f>$O$2*Table117[[#This Row],[R(ao)]]^(-$P$2)*EXP(-$Q$2*Table117[[#This Row],[T(K)]])</f>
        <v>3.4708919537731506</v>
      </c>
      <c r="L18">
        <f>(Table117[[#This Row],[rho_b pred]]-Table117[[#This Row],[rho_b]])^2</f>
        <v>2.2554611078073024E-3</v>
      </c>
      <c r="S18" s="8">
        <v>110</v>
      </c>
      <c r="T18" s="9">
        <v>4</v>
      </c>
      <c r="U18" s="9">
        <v>500</v>
      </c>
      <c r="V18" s="9">
        <v>8.6403234385068099</v>
      </c>
      <c r="W18" s="9">
        <v>37.295747593939303</v>
      </c>
      <c r="X18" s="9">
        <v>2.2307611496558502</v>
      </c>
      <c r="Y18" s="9">
        <v>1.4522039845741801</v>
      </c>
      <c r="Z18" s="9">
        <v>3.5143489769496701</v>
      </c>
      <c r="AA18" s="10">
        <v>1.8703239363325299</v>
      </c>
      <c r="AB18">
        <f t="shared" si="0"/>
        <v>3.4484472550081762</v>
      </c>
      <c r="AC18">
        <f t="shared" si="1"/>
        <v>4.3430369548539795E-3</v>
      </c>
    </row>
    <row r="19" spans="1:29" x14ac:dyDescent="0.3">
      <c r="A19">
        <f>AVERAGE(Q2,AH2)</f>
        <v>1.6667563886642496E-4</v>
      </c>
      <c r="B19">
        <v>100</v>
      </c>
      <c r="C19">
        <v>4</v>
      </c>
      <c r="D19">
        <v>1000</v>
      </c>
      <c r="E19">
        <v>4.8172790003394699</v>
      </c>
      <c r="F19">
        <v>31.911139860151501</v>
      </c>
      <c r="G19">
        <v>2.3364256688114402</v>
      </c>
      <c r="H19">
        <v>1.05070848753989</v>
      </c>
      <c r="I19">
        <v>3.2523060525854102</v>
      </c>
      <c r="J19">
        <v>2.0689651452311</v>
      </c>
      <c r="K19">
        <f>$O$2*Table117[[#This Row],[R(ao)]]^(-$P$2)*EXP(-$Q$2*Table117[[#This Row],[T(K)]])</f>
        <v>3.1951735112988038</v>
      </c>
      <c r="L19">
        <f>(Table117[[#This Row],[rho_b pred]]-Table117[[#This Row],[rho_b]])^2</f>
        <v>3.2641272738657833E-3</v>
      </c>
      <c r="S19" s="5">
        <v>110</v>
      </c>
      <c r="T19" s="6">
        <v>4</v>
      </c>
      <c r="U19" s="6">
        <v>1000</v>
      </c>
      <c r="V19" s="6">
        <v>7.4863922622541601</v>
      </c>
      <c r="W19" s="6">
        <v>32.045970122575703</v>
      </c>
      <c r="X19" s="6">
        <v>2.3494714868673099</v>
      </c>
      <c r="Y19" s="6">
        <v>1.3376697832860101</v>
      </c>
      <c r="Z19" s="6">
        <v>3.24130686371111</v>
      </c>
      <c r="AA19" s="7">
        <v>2.1644097021986601</v>
      </c>
      <c r="AB19">
        <f t="shared" si="0"/>
        <v>3.1709100683227227</v>
      </c>
      <c r="AC19">
        <f t="shared" si="1"/>
        <v>4.9557088009544647E-3</v>
      </c>
    </row>
    <row r="20" spans="1:29" x14ac:dyDescent="0.3">
      <c r="B20">
        <v>100</v>
      </c>
      <c r="C20">
        <v>4</v>
      </c>
      <c r="D20">
        <v>1500</v>
      </c>
      <c r="E20">
        <v>3.3023887897462001</v>
      </c>
      <c r="F20">
        <v>27.4015136460606</v>
      </c>
      <c r="G20">
        <v>2.4922487904066601</v>
      </c>
      <c r="H20">
        <v>0.7089662863724</v>
      </c>
      <c r="I20">
        <v>2.9789941421977599</v>
      </c>
      <c r="J20">
        <v>2.1636276488749502</v>
      </c>
      <c r="K20">
        <f>$O$2*Table117[[#This Row],[R(ao)]]^(-$P$2)*EXP(-$Q$2*Table117[[#This Row],[T(K)]])</f>
        <v>2.941357409932436</v>
      </c>
      <c r="L20">
        <f>(Table117[[#This Row],[rho_b pred]]-Table117[[#This Row],[rho_b]])^2</f>
        <v>1.4165236156116758E-3</v>
      </c>
      <c r="S20" s="8">
        <v>110</v>
      </c>
      <c r="T20" s="9">
        <v>4</v>
      </c>
      <c r="U20" s="9">
        <v>1500</v>
      </c>
      <c r="V20" s="9">
        <v>5.3881873237563402</v>
      </c>
      <c r="W20" s="9">
        <v>27.6151055918181</v>
      </c>
      <c r="X20" s="9">
        <v>2.31390130435652</v>
      </c>
      <c r="Y20" s="9">
        <v>0.99311152509896905</v>
      </c>
      <c r="Z20" s="9">
        <v>2.9749875643070598</v>
      </c>
      <c r="AA20" s="10">
        <v>2.0130874146964302</v>
      </c>
      <c r="AB20">
        <f t="shared" si="0"/>
        <v>2.9157095695136492</v>
      </c>
      <c r="AC20">
        <f t="shared" si="1"/>
        <v>3.5138806667276094E-3</v>
      </c>
    </row>
    <row r="21" spans="1:29" x14ac:dyDescent="0.3">
      <c r="B21">
        <v>100</v>
      </c>
      <c r="C21">
        <v>4</v>
      </c>
      <c r="D21">
        <v>2000</v>
      </c>
      <c r="E21">
        <v>1.3450059512694701</v>
      </c>
      <c r="F21">
        <v>24.008469821060601</v>
      </c>
      <c r="G21">
        <v>2.6235122738626102</v>
      </c>
      <c r="H21">
        <v>0.348569685825595</v>
      </c>
      <c r="I21">
        <v>2.71829570073464</v>
      </c>
      <c r="J21">
        <v>2.24910715449955</v>
      </c>
      <c r="K21">
        <f>$O$2*Table117[[#This Row],[R(ao)]]^(-$P$2)*EXP(-$Q$2*Table117[[#This Row],[T(K)]])</f>
        <v>2.7077037858415625</v>
      </c>
      <c r="L21">
        <f>(Table117[[#This Row],[rho_b pred]]-Table117[[#This Row],[rho_b]])^2</f>
        <v>1.1218866110219772E-4</v>
      </c>
      <c r="S21" s="5">
        <v>110</v>
      </c>
      <c r="T21" s="6">
        <v>4</v>
      </c>
      <c r="U21" s="6">
        <v>2000</v>
      </c>
      <c r="V21" s="6">
        <v>4.4819066287711804</v>
      </c>
      <c r="W21" s="6">
        <v>24.284387221666599</v>
      </c>
      <c r="X21" s="6">
        <v>2.5066143811223598</v>
      </c>
      <c r="Y21" s="6">
        <v>0.79638290010602197</v>
      </c>
      <c r="Z21" s="6">
        <v>2.7267401132220899</v>
      </c>
      <c r="AA21" s="7">
        <v>2.2240596970790301</v>
      </c>
      <c r="AB21">
        <f t="shared" si="0"/>
        <v>2.6810480620947823</v>
      </c>
      <c r="AC21">
        <f t="shared" si="1"/>
        <v>2.0877635362204884E-3</v>
      </c>
    </row>
    <row r="22" spans="1:29" x14ac:dyDescent="0.3">
      <c r="B22">
        <v>100</v>
      </c>
      <c r="C22">
        <v>4</v>
      </c>
      <c r="D22">
        <v>2500</v>
      </c>
      <c r="E22">
        <v>1.3022767583499999</v>
      </c>
      <c r="F22">
        <v>21.139661948030302</v>
      </c>
      <c r="G22">
        <v>2.9820756376031898</v>
      </c>
      <c r="H22">
        <v>0.33471296296296199</v>
      </c>
      <c r="I22">
        <v>2.5102488722876002</v>
      </c>
      <c r="J22">
        <v>2.6883749253830702</v>
      </c>
      <c r="K22">
        <f>$O$2*Table117[[#This Row],[R(ao)]]^(-$P$2)*EXP(-$Q$2*Table117[[#This Row],[T(K)]])</f>
        <v>2.492610985357655</v>
      </c>
      <c r="L22">
        <f>(Table117[[#This Row],[rho_b pred]]-Table117[[#This Row],[rho_b]])^2</f>
        <v>3.1109505535353057E-4</v>
      </c>
      <c r="S22" s="8">
        <v>110</v>
      </c>
      <c r="T22" s="9">
        <v>4</v>
      </c>
      <c r="U22" s="9">
        <v>2500</v>
      </c>
      <c r="V22" s="9">
        <v>3.84190099003421</v>
      </c>
      <c r="W22" s="9">
        <v>21.5010230271212</v>
      </c>
      <c r="X22" s="9">
        <v>2.6940043156601399</v>
      </c>
      <c r="Y22" s="9">
        <v>0.62146177945828096</v>
      </c>
      <c r="Z22" s="9">
        <v>2.5151068939545098</v>
      </c>
      <c r="AA22" s="10">
        <v>2.4262134399034898</v>
      </c>
      <c r="AB22">
        <f t="shared" si="0"/>
        <v>2.4652725314000237</v>
      </c>
      <c r="AC22">
        <f t="shared" si="1"/>
        <v>2.4834636912119709E-3</v>
      </c>
    </row>
    <row r="23" spans="1:29" x14ac:dyDescent="0.3">
      <c r="B23">
        <v>100</v>
      </c>
      <c r="C23">
        <v>5</v>
      </c>
      <c r="D23">
        <v>500</v>
      </c>
      <c r="F23">
        <v>32.475539339999997</v>
      </c>
      <c r="I23">
        <v>3.2692510372910299</v>
      </c>
      <c r="K23">
        <f>$O$2*Table117[[#This Row],[R(ao)]]^(-$P$2)*EXP(-$Q$2*Table117[[#This Row],[T(K)]])</f>
        <v>3.1936456026842057</v>
      </c>
      <c r="L23">
        <f>(Table117[[#This Row],[rho_b pred]]-Table117[[#This Row],[rho_b]])^2</f>
        <v>5.7161817420867747E-3</v>
      </c>
    </row>
    <row r="24" spans="1:29" x14ac:dyDescent="0.3">
      <c r="B24">
        <v>100</v>
      </c>
      <c r="C24">
        <v>5</v>
      </c>
      <c r="D24">
        <v>2500</v>
      </c>
      <c r="F24">
        <v>18.448552741111101</v>
      </c>
      <c r="I24">
        <v>2.3282538582025598</v>
      </c>
      <c r="K24">
        <f>$O$2*Table117[[#This Row],[R(ao)]]^(-$P$2)*EXP(-$Q$2*Table117[[#This Row],[T(K)]])</f>
        <v>2.293507322789484</v>
      </c>
      <c r="L24">
        <f>(Table117[[#This Row],[rho_b pred]]-Table117[[#This Row],[rho_b]])^2</f>
        <v>1.207321723212132E-3</v>
      </c>
    </row>
    <row r="25" spans="1:29" x14ac:dyDescent="0.3">
      <c r="B25">
        <v>100</v>
      </c>
      <c r="C25">
        <v>6</v>
      </c>
      <c r="D25">
        <v>500</v>
      </c>
      <c r="F25">
        <v>27.079947847777699</v>
      </c>
      <c r="I25">
        <v>2.9615035911824501</v>
      </c>
      <c r="K25">
        <f>$O$2*Table117[[#This Row],[R(ao)]]^(-$P$2)*EXP(-$Q$2*Table117[[#This Row],[T(K)]])</f>
        <v>2.9836401787533853</v>
      </c>
      <c r="L25">
        <f>(Table117[[#This Row],[rho_b pred]]-Table117[[#This Row],[rho_b]])^2</f>
        <v>4.9002850928568165E-4</v>
      </c>
    </row>
    <row r="26" spans="1:29" x14ac:dyDescent="0.3">
      <c r="B26">
        <v>100</v>
      </c>
      <c r="C26">
        <v>6</v>
      </c>
      <c r="D26">
        <v>2500</v>
      </c>
      <c r="F26">
        <v>16.522505253888799</v>
      </c>
      <c r="I26">
        <v>2.1977976354319599</v>
      </c>
      <c r="K26">
        <f>$O$2*Table117[[#This Row],[R(ao)]]^(-$P$2)*EXP(-$Q$2*Table117[[#This Row],[T(K)]])</f>
        <v>2.142692536951623</v>
      </c>
      <c r="L26">
        <f>(Table117[[#This Row],[rho_b pred]]-Table117[[#This Row],[rho_b]])^2</f>
        <v>3.0365718785276344E-3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FDBF-5BD2-46D0-A04A-F85D61238E7E}">
  <dimension ref="A1:L42"/>
  <sheetViews>
    <sheetView workbookViewId="0">
      <selection activeCell="AE1" sqref="AE1"/>
    </sheetView>
  </sheetViews>
  <sheetFormatPr defaultRowHeight="14.4" x14ac:dyDescent="0.3"/>
  <cols>
    <col min="1" max="1" width="11.88671875" customWidth="1"/>
  </cols>
  <sheetData>
    <row r="1" spans="1:12" ht="295.8" customHeight="1" x14ac:dyDescent="0.3"/>
    <row r="2" spans="1:12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  <c r="J2" t="s">
        <v>53</v>
      </c>
      <c r="K2" t="s">
        <v>9</v>
      </c>
      <c r="L2" t="s">
        <v>42</v>
      </c>
    </row>
    <row r="3" spans="1:12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  <c r="J3">
        <f>LN(Table118[[#This Row],[a_rho]])</f>
        <v>5.7197606945969398E-2</v>
      </c>
      <c r="K3">
        <f>LN(Table118[[#This Row],[R(ao)]])</f>
        <v>0</v>
      </c>
      <c r="L3">
        <f>1/Table118[[#This Row],[R(ao)]]</f>
        <v>1</v>
      </c>
    </row>
    <row r="4" spans="1:12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  <c r="J4">
        <f>LN(Table118[[#This Row],[a_rho]])</f>
        <v>0.21912154168988032</v>
      </c>
      <c r="K4">
        <f>LN(Table118[[#This Row],[R(ao)]])</f>
        <v>0</v>
      </c>
      <c r="L4">
        <f>1/Table118[[#This Row],[R(ao)]]</f>
        <v>1</v>
      </c>
    </row>
    <row r="5" spans="1:12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  <c r="J5">
        <f>LN(Table118[[#This Row],[a_rho]])</f>
        <v>0.16405660920177595</v>
      </c>
      <c r="K5">
        <f>LN(Table118[[#This Row],[R(ao)]])</f>
        <v>0</v>
      </c>
      <c r="L5">
        <f>1/Table118[[#This Row],[R(ao)]]</f>
        <v>1</v>
      </c>
    </row>
    <row r="6" spans="1:12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  <c r="J6">
        <f>LN(Table118[[#This Row],[a_rho]])</f>
        <v>0.37016889529939473</v>
      </c>
      <c r="K6">
        <f>LN(Table118[[#This Row],[R(ao)]])</f>
        <v>0</v>
      </c>
      <c r="L6">
        <f>1/Table118[[#This Row],[R(ao)]]</f>
        <v>1</v>
      </c>
    </row>
    <row r="7" spans="1:12" hidden="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  <c r="J7">
        <f>LN(Table118[[#This Row],[a_rho]])</f>
        <v>0.62293903870122846</v>
      </c>
      <c r="K7">
        <f>LN(Table118[[#This Row],[R(ao)]])</f>
        <v>0</v>
      </c>
      <c r="L7">
        <f>1/Table118[[#This Row],[R(ao)]]</f>
        <v>1</v>
      </c>
    </row>
    <row r="8" spans="1:12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  <c r="J8">
        <f>LN(Table118[[#This Row],[a_rho]])</f>
        <v>0.35108670080963106</v>
      </c>
      <c r="K8">
        <f>LN(Table118[[#This Row],[R(ao)]])</f>
        <v>0.69314718055994529</v>
      </c>
      <c r="L8">
        <f>1/Table118[[#This Row],[R(ao)]]</f>
        <v>0.5</v>
      </c>
    </row>
    <row r="9" spans="1:12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  <c r="J9">
        <f>LN(Table118[[#This Row],[a_rho]])</f>
        <v>0.45484887548904884</v>
      </c>
      <c r="K9">
        <f>LN(Table118[[#This Row],[R(ao)]])</f>
        <v>0.69314718055994529</v>
      </c>
      <c r="L9">
        <f>1/Table118[[#This Row],[R(ao)]]</f>
        <v>0.5</v>
      </c>
    </row>
    <row r="10" spans="1:12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  <c r="J10">
        <f>LN(Table118[[#This Row],[a_rho]])</f>
        <v>0.5343082429519127</v>
      </c>
      <c r="K10">
        <f>LN(Table118[[#This Row],[R(ao)]])</f>
        <v>0.69314718055994529</v>
      </c>
      <c r="L10">
        <f>1/Table118[[#This Row],[R(ao)]]</f>
        <v>0.5</v>
      </c>
    </row>
    <row r="11" spans="1:12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  <c r="J11">
        <f>LN(Table118[[#This Row],[a_rho]])</f>
        <v>0.62484011499585079</v>
      </c>
      <c r="K11">
        <f>LN(Table118[[#This Row],[R(ao)]])</f>
        <v>0.69314718055994529</v>
      </c>
      <c r="L11">
        <f>1/Table118[[#This Row],[R(ao)]]</f>
        <v>0.5</v>
      </c>
    </row>
    <row r="12" spans="1:12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  <c r="J12">
        <f>LN(Table118[[#This Row],[a_rho]])</f>
        <v>0.89062886202054525</v>
      </c>
      <c r="K12">
        <f>LN(Table118[[#This Row],[R(ao)]])</f>
        <v>0.69314718055994529</v>
      </c>
      <c r="L12">
        <f>1/Table118[[#This Row],[R(ao)]]</f>
        <v>0.5</v>
      </c>
    </row>
    <row r="13" spans="1:12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  <c r="J13">
        <f>LN(Table118[[#This Row],[a_rho]])</f>
        <v>0.45743677444964226</v>
      </c>
      <c r="K13">
        <f>LN(Table118[[#This Row],[R(ao)]])</f>
        <v>1.0986122886681098</v>
      </c>
      <c r="L13">
        <f>1/Table118[[#This Row],[R(ao)]]</f>
        <v>0.33333333333333331</v>
      </c>
    </row>
    <row r="14" spans="1:12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  <c r="J14">
        <f>LN(Table118[[#This Row],[a_rho]])</f>
        <v>0.56091810533796882</v>
      </c>
      <c r="K14">
        <f>LN(Table118[[#This Row],[R(ao)]])</f>
        <v>1.0986122886681098</v>
      </c>
      <c r="L14">
        <f>1/Table118[[#This Row],[R(ao)]]</f>
        <v>0.33333333333333331</v>
      </c>
    </row>
    <row r="15" spans="1:12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  <c r="J15">
        <f>LN(Table118[[#This Row],[a_rho]])</f>
        <v>0.61827605828835808</v>
      </c>
      <c r="K15">
        <f>LN(Table118[[#This Row],[R(ao)]])</f>
        <v>1.0986122886681098</v>
      </c>
      <c r="L15">
        <f>1/Table118[[#This Row],[R(ao)]]</f>
        <v>0.33333333333333331</v>
      </c>
    </row>
    <row r="16" spans="1:12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  <c r="J16">
        <f>LN(Table118[[#This Row],[a_rho]])</f>
        <v>0.67702890227665791</v>
      </c>
      <c r="K16">
        <f>LN(Table118[[#This Row],[R(ao)]])</f>
        <v>1.0986122886681098</v>
      </c>
      <c r="L16">
        <f>1/Table118[[#This Row],[R(ao)]]</f>
        <v>0.33333333333333331</v>
      </c>
    </row>
    <row r="17" spans="1:12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  <c r="J17">
        <f>LN(Table118[[#This Row],[a_rho]])</f>
        <v>0.8419106033071253</v>
      </c>
      <c r="K17">
        <f>LN(Table118[[#This Row],[R(ao)]])</f>
        <v>1.0986122886681098</v>
      </c>
      <c r="L17">
        <f>1/Table118[[#This Row],[R(ao)]]</f>
        <v>0.33333333333333331</v>
      </c>
    </row>
    <row r="18" spans="1:12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  <c r="J18">
        <f>LN(Table118[[#This Row],[a_rho]])</f>
        <v>0.64554720534514043</v>
      </c>
      <c r="K18">
        <f>LN(Table118[[#This Row],[R(ao)]])</f>
        <v>1.3862943611198906</v>
      </c>
      <c r="L18">
        <f>1/Table118[[#This Row],[R(ao)]]</f>
        <v>0.25</v>
      </c>
    </row>
    <row r="19" spans="1:12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  <c r="J19">
        <f>LN(Table118[[#This Row],[a_rho]])</f>
        <v>0.72704855243064215</v>
      </c>
      <c r="K19">
        <f>LN(Table118[[#This Row],[R(ao)]])</f>
        <v>1.3862943611198906</v>
      </c>
      <c r="L19">
        <f>1/Table118[[#This Row],[R(ao)]]</f>
        <v>0.25</v>
      </c>
    </row>
    <row r="20" spans="1:12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  <c r="J20">
        <f>LN(Table118[[#This Row],[a_rho]])</f>
        <v>0.77178628004004135</v>
      </c>
      <c r="K20">
        <f>LN(Table118[[#This Row],[R(ao)]])</f>
        <v>1.3862943611198906</v>
      </c>
      <c r="L20">
        <f>1/Table118[[#This Row],[R(ao)]]</f>
        <v>0.25</v>
      </c>
    </row>
    <row r="21" spans="1:12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  <c r="J21">
        <f>LN(Table118[[#This Row],[a_rho]])</f>
        <v>0.81053331723992728</v>
      </c>
      <c r="K21">
        <f>LN(Table118[[#This Row],[R(ao)]])</f>
        <v>1.3862943611198906</v>
      </c>
      <c r="L21">
        <f>1/Table118[[#This Row],[R(ao)]]</f>
        <v>0.25</v>
      </c>
    </row>
    <row r="22" spans="1:12" hidden="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  <c r="J22">
        <f>LN(Table118[[#This Row],[a_rho]])</f>
        <v>0.98893689410360619</v>
      </c>
      <c r="K22">
        <f>LN(Table118[[#This Row],[R(ao)]])</f>
        <v>1.3862943611198906</v>
      </c>
      <c r="L22">
        <f>1/Table118[[#This Row],[R(ao)]]</f>
        <v>0.25</v>
      </c>
    </row>
    <row r="23" spans="1:12" hidden="1" x14ac:dyDescent="0.3">
      <c r="A23">
        <v>110</v>
      </c>
      <c r="B23">
        <v>1</v>
      </c>
      <c r="C23">
        <v>500</v>
      </c>
      <c r="D23">
        <v>57.282114061772397</v>
      </c>
      <c r="E23">
        <v>86.600729920272698</v>
      </c>
      <c r="F23">
        <v>1.0312647741452401</v>
      </c>
      <c r="G23">
        <v>2.5886822361941402</v>
      </c>
      <c r="H23">
        <v>5.83584206677161</v>
      </c>
      <c r="I23">
        <v>1.7439489115946001</v>
      </c>
      <c r="J23">
        <f>LN(Table118[[#This Row],[a_rho]])</f>
        <v>0.55615203124728008</v>
      </c>
      <c r="K23">
        <f>LN(Table118[[#This Row],[R(ao)]])</f>
        <v>0</v>
      </c>
      <c r="L23">
        <f>1/Table118[[#This Row],[R(ao)]]</f>
        <v>1</v>
      </c>
    </row>
    <row r="24" spans="1:12" hidden="1" x14ac:dyDescent="0.3">
      <c r="A24">
        <v>110</v>
      </c>
      <c r="B24">
        <v>1</v>
      </c>
      <c r="C24">
        <v>1000</v>
      </c>
      <c r="D24">
        <v>37.486742154701602</v>
      </c>
      <c r="E24">
        <v>77.167960525181797</v>
      </c>
      <c r="F24">
        <v>0.73926540807119001</v>
      </c>
      <c r="G24">
        <v>1.6681911472192399</v>
      </c>
      <c r="H24">
        <v>5.4113362160566698</v>
      </c>
      <c r="I24">
        <v>1.27635381978995</v>
      </c>
      <c r="J24">
        <f>LN(Table118[[#This Row],[a_rho]])</f>
        <v>0.24400743472195829</v>
      </c>
      <c r="K24">
        <f>LN(Table118[[#This Row],[R(ao)]])</f>
        <v>0</v>
      </c>
      <c r="L24">
        <f>1/Table118[[#This Row],[R(ao)]]</f>
        <v>1</v>
      </c>
    </row>
    <row r="25" spans="1:12" hidden="1" x14ac:dyDescent="0.3">
      <c r="A25">
        <v>110</v>
      </c>
      <c r="B25">
        <v>1</v>
      </c>
      <c r="C25">
        <v>1500</v>
      </c>
      <c r="D25">
        <v>29.761861465604099</v>
      </c>
      <c r="E25">
        <v>69.371188460090906</v>
      </c>
      <c r="F25">
        <v>0.79821700722667299</v>
      </c>
      <c r="G25">
        <v>1.29195428868517</v>
      </c>
      <c r="H25">
        <v>5.0469736422668197</v>
      </c>
      <c r="I25">
        <v>1.1870163692771201</v>
      </c>
      <c r="J25">
        <f>LN(Table118[[#This Row],[a_rho]])</f>
        <v>0.17144290599337023</v>
      </c>
      <c r="K25">
        <f>LN(Table118[[#This Row],[R(ao)]])</f>
        <v>0</v>
      </c>
      <c r="L25">
        <f>1/Table118[[#This Row],[R(ao)]]</f>
        <v>1</v>
      </c>
    </row>
    <row r="26" spans="1:12" hidden="1" x14ac:dyDescent="0.3">
      <c r="A26">
        <v>110</v>
      </c>
      <c r="B26">
        <v>1</v>
      </c>
      <c r="C26">
        <v>2000</v>
      </c>
      <c r="D26">
        <v>25.361730066887599</v>
      </c>
      <c r="E26">
        <v>63.423271751727199</v>
      </c>
      <c r="F26">
        <v>0.83943070478818405</v>
      </c>
      <c r="G26">
        <v>1.05080714795866</v>
      </c>
      <c r="H26">
        <v>4.6836377508854703</v>
      </c>
      <c r="I26">
        <v>1.2559956537835</v>
      </c>
      <c r="J26">
        <f>LN(Table118[[#This Row],[a_rho]])</f>
        <v>0.22792860767656442</v>
      </c>
      <c r="K26">
        <f>LN(Table118[[#This Row],[R(ao)]])</f>
        <v>0</v>
      </c>
      <c r="L26">
        <f>1/Table118[[#This Row],[R(ao)]]</f>
        <v>1</v>
      </c>
    </row>
    <row r="27" spans="1:12" x14ac:dyDescent="0.3">
      <c r="A27">
        <v>110</v>
      </c>
      <c r="B27">
        <v>1</v>
      </c>
      <c r="C27">
        <v>2500</v>
      </c>
      <c r="D27">
        <v>21.835551091972899</v>
      </c>
      <c r="E27">
        <v>57.584859685181797</v>
      </c>
      <c r="F27">
        <v>1.01519197215941</v>
      </c>
      <c r="G27">
        <v>1.0006699945887401</v>
      </c>
      <c r="H27">
        <v>4.23501931654204</v>
      </c>
      <c r="I27">
        <v>1.35253992325525</v>
      </c>
      <c r="J27">
        <f>LN(Table118[[#This Row],[a_rho]])</f>
        <v>0.30198424942133273</v>
      </c>
      <c r="K27">
        <f>LN(Table118[[#This Row],[R(ao)]])</f>
        <v>0</v>
      </c>
      <c r="L27">
        <f>1/Table118[[#This Row],[R(ao)]]</f>
        <v>1</v>
      </c>
    </row>
    <row r="28" spans="1:12" hidden="1" x14ac:dyDescent="0.3">
      <c r="A28">
        <v>110</v>
      </c>
      <c r="B28">
        <v>2</v>
      </c>
      <c r="C28">
        <v>500</v>
      </c>
      <c r="D28">
        <v>25.206654469418599</v>
      </c>
      <c r="E28">
        <v>56.245464272727197</v>
      </c>
      <c r="F28">
        <v>1.7590441166728701</v>
      </c>
      <c r="G28">
        <v>2.1167485383282001</v>
      </c>
      <c r="H28">
        <v>4.5018395086386596</v>
      </c>
      <c r="I28">
        <v>1.99997147662459</v>
      </c>
      <c r="J28">
        <f>LN(Table118[[#This Row],[a_rho]])</f>
        <v>0.69313291877054151</v>
      </c>
      <c r="K28">
        <f>LN(Table118[[#This Row],[R(ao)]])</f>
        <v>0.69314718055994529</v>
      </c>
      <c r="L28">
        <f>1/Table118[[#This Row],[R(ao)]]</f>
        <v>0.5</v>
      </c>
    </row>
    <row r="29" spans="1:12" hidden="1" x14ac:dyDescent="0.3">
      <c r="A29">
        <v>110</v>
      </c>
      <c r="B29">
        <v>2</v>
      </c>
      <c r="C29">
        <v>1000</v>
      </c>
      <c r="D29">
        <v>19.8142490225679</v>
      </c>
      <c r="E29">
        <v>48.242304509696901</v>
      </c>
      <c r="F29">
        <v>1.71642862674407</v>
      </c>
      <c r="G29">
        <v>1.7719903046463199</v>
      </c>
      <c r="H29">
        <v>4.0859314651361798</v>
      </c>
      <c r="I29">
        <v>1.8463729498725401</v>
      </c>
      <c r="J29">
        <f>LN(Table118[[#This Row],[a_rho]])</f>
        <v>0.61322314702531389</v>
      </c>
      <c r="K29">
        <f>LN(Table118[[#This Row],[R(ao)]])</f>
        <v>0.69314718055994529</v>
      </c>
      <c r="L29">
        <f>1/Table118[[#This Row],[R(ao)]]</f>
        <v>0.5</v>
      </c>
    </row>
    <row r="30" spans="1:12" hidden="1" x14ac:dyDescent="0.3">
      <c r="A30">
        <v>110</v>
      </c>
      <c r="B30">
        <v>2</v>
      </c>
      <c r="C30">
        <v>1500</v>
      </c>
      <c r="D30">
        <v>14.237183619633299</v>
      </c>
      <c r="E30">
        <v>41.639288495606003</v>
      </c>
      <c r="F30">
        <v>1.34673078210956</v>
      </c>
      <c r="G30">
        <v>1.2277035528868701</v>
      </c>
      <c r="H30">
        <v>3.7475995846554802</v>
      </c>
      <c r="I30">
        <v>1.42916325231605</v>
      </c>
      <c r="J30">
        <f>LN(Table118[[#This Row],[a_rho]])</f>
        <v>0.35708913477110066</v>
      </c>
      <c r="K30">
        <f>LN(Table118[[#This Row],[R(ao)]])</f>
        <v>0.69314718055994529</v>
      </c>
      <c r="L30">
        <f>1/Table118[[#This Row],[R(ao)]]</f>
        <v>0.5</v>
      </c>
    </row>
    <row r="31" spans="1:12" hidden="1" x14ac:dyDescent="0.3">
      <c r="A31">
        <v>110</v>
      </c>
      <c r="B31">
        <v>2</v>
      </c>
      <c r="C31">
        <v>2000</v>
      </c>
      <c r="D31">
        <v>13.908604489889999</v>
      </c>
      <c r="E31">
        <v>36.8278655477272</v>
      </c>
      <c r="F31">
        <v>1.8654282014749799</v>
      </c>
      <c r="G31">
        <v>0.97630376102077798</v>
      </c>
      <c r="H31">
        <v>3.4399342176330201</v>
      </c>
      <c r="I31">
        <v>1.7345285214649</v>
      </c>
      <c r="J31">
        <f>LN(Table118[[#This Row],[a_rho]])</f>
        <v>0.55073563091593747</v>
      </c>
      <c r="K31">
        <f>LN(Table118[[#This Row],[R(ao)]])</f>
        <v>0.69314718055994529</v>
      </c>
      <c r="L31">
        <f>1/Table118[[#This Row],[R(ao)]]</f>
        <v>0.5</v>
      </c>
    </row>
    <row r="32" spans="1:12" x14ac:dyDescent="0.3">
      <c r="A32">
        <v>110</v>
      </c>
      <c r="B32">
        <v>2</v>
      </c>
      <c r="C32">
        <v>2500</v>
      </c>
      <c r="D32">
        <v>11.400694755451401</v>
      </c>
      <c r="E32">
        <v>32.920906616969603</v>
      </c>
      <c r="F32">
        <v>1.82191980185842</v>
      </c>
      <c r="G32">
        <v>0.73595834237968005</v>
      </c>
      <c r="H32">
        <v>3.1161673525534099</v>
      </c>
      <c r="I32">
        <v>1.7257716809789001</v>
      </c>
      <c r="J32">
        <f>LN(Table118[[#This Row],[a_rho]])</f>
        <v>0.54567430174368159</v>
      </c>
      <c r="K32">
        <f>LN(Table118[[#This Row],[R(ao)]])</f>
        <v>0.69314718055994529</v>
      </c>
      <c r="L32">
        <f>1/Table118[[#This Row],[R(ao)]]</f>
        <v>0.5</v>
      </c>
    </row>
    <row r="33" spans="1:12" hidden="1" x14ac:dyDescent="0.3">
      <c r="A33">
        <v>110</v>
      </c>
      <c r="B33">
        <v>3</v>
      </c>
      <c r="C33">
        <v>500</v>
      </c>
      <c r="D33">
        <v>15.680837448358799</v>
      </c>
      <c r="E33">
        <v>43.764438158939399</v>
      </c>
      <c r="F33">
        <v>2.1771258157546902</v>
      </c>
      <c r="G33">
        <v>1.98065622473133</v>
      </c>
      <c r="H33">
        <v>3.8643627782451899</v>
      </c>
      <c r="I33">
        <v>2.3749907745095098</v>
      </c>
      <c r="J33">
        <f>LN(Table118[[#This Row],[a_rho]])</f>
        <v>0.86499355306201164</v>
      </c>
      <c r="K33">
        <f>LN(Table118[[#This Row],[R(ao)]])</f>
        <v>1.0986122886681098</v>
      </c>
      <c r="L33">
        <f>1/Table118[[#This Row],[R(ao)]]</f>
        <v>0.33333333333333331</v>
      </c>
    </row>
    <row r="34" spans="1:12" hidden="1" x14ac:dyDescent="0.3">
      <c r="A34">
        <v>110</v>
      </c>
      <c r="B34">
        <v>3</v>
      </c>
      <c r="C34">
        <v>1000</v>
      </c>
      <c r="D34">
        <v>11.5141612395254</v>
      </c>
      <c r="E34">
        <v>37.7315105795454</v>
      </c>
      <c r="F34">
        <v>2.0887724737230799</v>
      </c>
      <c r="G34">
        <v>1.5671124781375301</v>
      </c>
      <c r="H34">
        <v>3.5275192877459798</v>
      </c>
      <c r="I34">
        <v>2.0904653787392502</v>
      </c>
      <c r="J34">
        <f>LN(Table118[[#This Row],[a_rho]])</f>
        <v>0.73738671044283066</v>
      </c>
      <c r="K34">
        <f>LN(Table118[[#This Row],[R(ao)]])</f>
        <v>1.0986122886681098</v>
      </c>
      <c r="L34">
        <f>1/Table118[[#This Row],[R(ao)]]</f>
        <v>0.33333333333333331</v>
      </c>
    </row>
    <row r="35" spans="1:12" hidden="1" x14ac:dyDescent="0.3">
      <c r="A35">
        <v>110</v>
      </c>
      <c r="B35">
        <v>3</v>
      </c>
      <c r="C35">
        <v>1500</v>
      </c>
      <c r="D35">
        <v>7.0103726034851501</v>
      </c>
      <c r="E35">
        <v>32.583728399848397</v>
      </c>
      <c r="F35">
        <v>1.8031873212866101</v>
      </c>
      <c r="G35">
        <v>1.03946478552786</v>
      </c>
      <c r="H35">
        <v>3.2084982031034102</v>
      </c>
      <c r="I35">
        <v>1.6084584716921499</v>
      </c>
      <c r="J35">
        <f>LN(Table118[[#This Row],[a_rho]])</f>
        <v>0.4752762493295527</v>
      </c>
      <c r="K35">
        <f>LN(Table118[[#This Row],[R(ao)]])</f>
        <v>1.0986122886681098</v>
      </c>
      <c r="L35">
        <f>1/Table118[[#This Row],[R(ao)]]</f>
        <v>0.33333333333333331</v>
      </c>
    </row>
    <row r="36" spans="1:12" hidden="1" x14ac:dyDescent="0.3">
      <c r="A36">
        <v>110</v>
      </c>
      <c r="B36">
        <v>3</v>
      </c>
      <c r="C36">
        <v>2000</v>
      </c>
      <c r="D36">
        <v>8.0664703720160293</v>
      </c>
      <c r="E36">
        <v>28.682397553787801</v>
      </c>
      <c r="F36">
        <v>2.1857902579310799</v>
      </c>
      <c r="G36">
        <v>0.98087451540237203</v>
      </c>
      <c r="H36">
        <v>2.9467332525354601</v>
      </c>
      <c r="I36">
        <v>1.85597030853824</v>
      </c>
      <c r="J36">
        <f>LN(Table118[[#This Row],[a_rho]])</f>
        <v>0.61840763668121901</v>
      </c>
      <c r="K36">
        <f>LN(Table118[[#This Row],[R(ao)]])</f>
        <v>1.0986122886681098</v>
      </c>
      <c r="L36">
        <f>1/Table118[[#This Row],[R(ao)]]</f>
        <v>0.33333333333333331</v>
      </c>
    </row>
    <row r="37" spans="1:12" x14ac:dyDescent="0.3">
      <c r="A37">
        <v>110</v>
      </c>
      <c r="B37">
        <v>3</v>
      </c>
      <c r="C37">
        <v>2500</v>
      </c>
      <c r="D37">
        <v>6.3015760126496199</v>
      </c>
      <c r="E37">
        <v>25.507203677575699</v>
      </c>
      <c r="F37">
        <v>2.4420614425269198</v>
      </c>
      <c r="G37">
        <v>0.69350996440117196</v>
      </c>
      <c r="H37">
        <v>2.7148923891940502</v>
      </c>
      <c r="I37">
        <v>2.1630238105382098</v>
      </c>
      <c r="J37">
        <f>LN(Table118[[#This Row],[a_rho]])</f>
        <v>0.771507155018613</v>
      </c>
      <c r="K37">
        <f>LN(Table118[[#This Row],[R(ao)]])</f>
        <v>1.0986122886681098</v>
      </c>
      <c r="L37">
        <f>1/Table118[[#This Row],[R(ao)]]</f>
        <v>0.33333333333333331</v>
      </c>
    </row>
    <row r="38" spans="1:12" hidden="1" x14ac:dyDescent="0.3">
      <c r="A38">
        <v>110</v>
      </c>
      <c r="B38">
        <v>4</v>
      </c>
      <c r="C38">
        <v>500</v>
      </c>
      <c r="D38">
        <v>8.6403234385068099</v>
      </c>
      <c r="E38">
        <v>37.295747593939303</v>
      </c>
      <c r="F38">
        <v>2.2307611496558502</v>
      </c>
      <c r="G38">
        <v>1.4522039845741801</v>
      </c>
      <c r="H38">
        <v>3.5143489769496701</v>
      </c>
      <c r="I38">
        <v>1.8703239363325299</v>
      </c>
      <c r="J38">
        <f>LN(Table118[[#This Row],[a_rho]])</f>
        <v>0.62611164384957041</v>
      </c>
      <c r="K38">
        <f>LN(Table118[[#This Row],[R(ao)]])</f>
        <v>1.3862943611198906</v>
      </c>
      <c r="L38">
        <f>1/Table118[[#This Row],[R(ao)]]</f>
        <v>0.25</v>
      </c>
    </row>
    <row r="39" spans="1:12" hidden="1" x14ac:dyDescent="0.3">
      <c r="A39">
        <v>110</v>
      </c>
      <c r="B39">
        <v>4</v>
      </c>
      <c r="C39">
        <v>1000</v>
      </c>
      <c r="D39">
        <v>7.4863922622541601</v>
      </c>
      <c r="E39">
        <v>32.045970122575703</v>
      </c>
      <c r="F39">
        <v>2.3494714868673099</v>
      </c>
      <c r="G39">
        <v>1.3376697832860101</v>
      </c>
      <c r="H39">
        <v>3.24130686371111</v>
      </c>
      <c r="I39">
        <v>2.1644097021986601</v>
      </c>
      <c r="J39">
        <f>LN(Table118[[#This Row],[a_rho]])</f>
        <v>0.77214766940375723</v>
      </c>
      <c r="K39">
        <f>LN(Table118[[#This Row],[R(ao)]])</f>
        <v>1.3862943611198906</v>
      </c>
      <c r="L39">
        <f>1/Table118[[#This Row],[R(ao)]]</f>
        <v>0.25</v>
      </c>
    </row>
    <row r="40" spans="1:12" hidden="1" x14ac:dyDescent="0.3">
      <c r="A40">
        <v>110</v>
      </c>
      <c r="B40">
        <v>4</v>
      </c>
      <c r="C40">
        <v>1500</v>
      </c>
      <c r="D40">
        <v>5.3881873237563402</v>
      </c>
      <c r="E40">
        <v>27.6151055918181</v>
      </c>
      <c r="F40">
        <v>2.31390130435652</v>
      </c>
      <c r="G40">
        <v>0.99311152509896905</v>
      </c>
      <c r="H40">
        <v>2.9749875643070598</v>
      </c>
      <c r="I40">
        <v>2.0130874146964302</v>
      </c>
      <c r="J40">
        <f>LN(Table118[[#This Row],[a_rho]])</f>
        <v>0.69966957079997427</v>
      </c>
      <c r="K40">
        <f>LN(Table118[[#This Row],[R(ao)]])</f>
        <v>1.3862943611198906</v>
      </c>
      <c r="L40">
        <f>1/Table118[[#This Row],[R(ao)]]</f>
        <v>0.25</v>
      </c>
    </row>
    <row r="41" spans="1:12" hidden="1" x14ac:dyDescent="0.3">
      <c r="A41">
        <v>110</v>
      </c>
      <c r="B41">
        <v>4</v>
      </c>
      <c r="C41">
        <v>2000</v>
      </c>
      <c r="D41">
        <v>4.4819066287711804</v>
      </c>
      <c r="E41">
        <v>24.284387221666599</v>
      </c>
      <c r="F41">
        <v>2.5066143811223598</v>
      </c>
      <c r="G41">
        <v>0.79638290010602197</v>
      </c>
      <c r="H41">
        <v>2.7267401132220899</v>
      </c>
      <c r="I41">
        <v>2.2240596970790301</v>
      </c>
      <c r="J41">
        <f>LN(Table118[[#This Row],[a_rho]])</f>
        <v>0.79933421823988426</v>
      </c>
      <c r="K41">
        <f>LN(Table118[[#This Row],[R(ao)]])</f>
        <v>1.3862943611198906</v>
      </c>
      <c r="L41">
        <f>1/Table118[[#This Row],[R(ao)]]</f>
        <v>0.25</v>
      </c>
    </row>
    <row r="42" spans="1:12" x14ac:dyDescent="0.3">
      <c r="A42">
        <v>110</v>
      </c>
      <c r="B42">
        <v>4</v>
      </c>
      <c r="C42">
        <v>2500</v>
      </c>
      <c r="D42">
        <v>3.84190099003421</v>
      </c>
      <c r="E42">
        <v>21.5010230271212</v>
      </c>
      <c r="F42">
        <v>2.6940043156601399</v>
      </c>
      <c r="G42">
        <v>0.62146177945828096</v>
      </c>
      <c r="H42">
        <v>2.5151068939545098</v>
      </c>
      <c r="I42">
        <v>2.4262134399034898</v>
      </c>
      <c r="J42">
        <f>LN(Table118[[#This Row],[a_rho]])</f>
        <v>0.8863317868263928</v>
      </c>
      <c r="K42">
        <f>LN(Table118[[#This Row],[R(ao)]])</f>
        <v>1.3862943611198906</v>
      </c>
      <c r="L42">
        <f>1/Table118[[#This Row],[R(ao)]]</f>
        <v>0.25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A0D3-44C9-4C35-B259-7E9BF919B123}">
  <dimension ref="A1:L42"/>
  <sheetViews>
    <sheetView topLeftCell="I1" workbookViewId="0">
      <selection activeCell="U38" sqref="U38"/>
    </sheetView>
  </sheetViews>
  <sheetFormatPr defaultRowHeight="14.4" x14ac:dyDescent="0.3"/>
  <sheetData>
    <row r="1" spans="1:12" ht="234.6" customHeight="1" x14ac:dyDescent="0.3"/>
    <row r="2" spans="1:12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  <c r="J2" t="s">
        <v>53</v>
      </c>
      <c r="K2" t="s">
        <v>18</v>
      </c>
      <c r="L2" t="s">
        <v>19</v>
      </c>
    </row>
    <row r="3" spans="1:12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  <c r="J3">
        <f>LN(Table119[[#This Row],[a_rho]])</f>
        <v>5.7197606945969398E-2</v>
      </c>
      <c r="K3">
        <f>LN(Table119[[#This Row],[T(K)]])</f>
        <v>6.2146080984221914</v>
      </c>
      <c r="L3">
        <f>1/Table119[[#This Row],[T(K)]]</f>
        <v>2E-3</v>
      </c>
    </row>
    <row r="4" spans="1:12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  <c r="J4">
        <f>LN(Table119[[#This Row],[a_rho]])</f>
        <v>0.21912154168988032</v>
      </c>
      <c r="K4">
        <f>LN(Table119[[#This Row],[T(K)]])</f>
        <v>6.9077552789821368</v>
      </c>
      <c r="L4">
        <f>1/Table119[[#This Row],[T(K)]]</f>
        <v>1E-3</v>
      </c>
    </row>
    <row r="5" spans="1:12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  <c r="J5">
        <f>LN(Table119[[#This Row],[a_rho]])</f>
        <v>0.16405660920177595</v>
      </c>
      <c r="K5">
        <f>LN(Table119[[#This Row],[T(K)]])</f>
        <v>7.3132203870903014</v>
      </c>
      <c r="L5">
        <f>1/Table119[[#This Row],[T(K)]]</f>
        <v>6.6666666666666664E-4</v>
      </c>
    </row>
    <row r="6" spans="1:12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  <c r="J6">
        <f>LN(Table119[[#This Row],[a_rho]])</f>
        <v>0.37016889529939473</v>
      </c>
      <c r="K6">
        <f>LN(Table119[[#This Row],[T(K)]])</f>
        <v>7.6009024595420822</v>
      </c>
      <c r="L6">
        <f>1/Table119[[#This Row],[T(K)]]</f>
        <v>5.0000000000000001E-4</v>
      </c>
    </row>
    <row r="7" spans="1:12" hidden="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  <c r="J7">
        <f>LN(Table119[[#This Row],[a_rho]])</f>
        <v>0.62293903870122846</v>
      </c>
      <c r="K7">
        <f>LN(Table119[[#This Row],[T(K)]])</f>
        <v>7.8240460108562919</v>
      </c>
      <c r="L7">
        <f>1/Table119[[#This Row],[T(K)]]</f>
        <v>4.0000000000000002E-4</v>
      </c>
    </row>
    <row r="8" spans="1:12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  <c r="J8">
        <f>LN(Table119[[#This Row],[a_rho]])</f>
        <v>0.35108670080963106</v>
      </c>
      <c r="K8">
        <f>LN(Table119[[#This Row],[T(K)]])</f>
        <v>6.2146080984221914</v>
      </c>
      <c r="L8">
        <f>1/Table119[[#This Row],[T(K)]]</f>
        <v>2E-3</v>
      </c>
    </row>
    <row r="9" spans="1:12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  <c r="J9">
        <f>LN(Table119[[#This Row],[a_rho]])</f>
        <v>0.45484887548904884</v>
      </c>
      <c r="K9">
        <f>LN(Table119[[#This Row],[T(K)]])</f>
        <v>6.9077552789821368</v>
      </c>
      <c r="L9">
        <f>1/Table119[[#This Row],[T(K)]]</f>
        <v>1E-3</v>
      </c>
    </row>
    <row r="10" spans="1:12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  <c r="J10">
        <f>LN(Table119[[#This Row],[a_rho]])</f>
        <v>0.5343082429519127</v>
      </c>
      <c r="K10">
        <f>LN(Table119[[#This Row],[T(K)]])</f>
        <v>7.3132203870903014</v>
      </c>
      <c r="L10">
        <f>1/Table119[[#This Row],[T(K)]]</f>
        <v>6.6666666666666664E-4</v>
      </c>
    </row>
    <row r="11" spans="1:12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  <c r="J11">
        <f>LN(Table119[[#This Row],[a_rho]])</f>
        <v>0.62484011499585079</v>
      </c>
      <c r="K11">
        <f>LN(Table119[[#This Row],[T(K)]])</f>
        <v>7.6009024595420822</v>
      </c>
      <c r="L11">
        <f>1/Table119[[#This Row],[T(K)]]</f>
        <v>5.0000000000000001E-4</v>
      </c>
    </row>
    <row r="12" spans="1:12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  <c r="J12">
        <f>LN(Table119[[#This Row],[a_rho]])</f>
        <v>0.89062886202054525</v>
      </c>
      <c r="K12">
        <f>LN(Table119[[#This Row],[T(K)]])</f>
        <v>7.8240460108562919</v>
      </c>
      <c r="L12">
        <f>1/Table119[[#This Row],[T(K)]]</f>
        <v>4.0000000000000002E-4</v>
      </c>
    </row>
    <row r="13" spans="1:12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  <c r="J13">
        <f>LN(Table119[[#This Row],[a_rho]])</f>
        <v>0.45743677444964226</v>
      </c>
      <c r="K13">
        <f>LN(Table119[[#This Row],[T(K)]])</f>
        <v>6.2146080984221914</v>
      </c>
      <c r="L13">
        <f>1/Table119[[#This Row],[T(K)]]</f>
        <v>2E-3</v>
      </c>
    </row>
    <row r="14" spans="1:12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  <c r="J14">
        <f>LN(Table119[[#This Row],[a_rho]])</f>
        <v>0.56091810533796882</v>
      </c>
      <c r="K14">
        <f>LN(Table119[[#This Row],[T(K)]])</f>
        <v>6.9077552789821368</v>
      </c>
      <c r="L14">
        <f>1/Table119[[#This Row],[T(K)]]</f>
        <v>1E-3</v>
      </c>
    </row>
    <row r="15" spans="1:12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  <c r="J15">
        <f>LN(Table119[[#This Row],[a_rho]])</f>
        <v>0.61827605828835808</v>
      </c>
      <c r="K15">
        <f>LN(Table119[[#This Row],[T(K)]])</f>
        <v>7.3132203870903014</v>
      </c>
      <c r="L15">
        <f>1/Table119[[#This Row],[T(K)]]</f>
        <v>6.6666666666666664E-4</v>
      </c>
    </row>
    <row r="16" spans="1:12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  <c r="J16">
        <f>LN(Table119[[#This Row],[a_rho]])</f>
        <v>0.67702890227665791</v>
      </c>
      <c r="K16">
        <f>LN(Table119[[#This Row],[T(K)]])</f>
        <v>7.6009024595420822</v>
      </c>
      <c r="L16">
        <f>1/Table119[[#This Row],[T(K)]]</f>
        <v>5.0000000000000001E-4</v>
      </c>
    </row>
    <row r="17" spans="1:12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  <c r="J17">
        <f>LN(Table119[[#This Row],[a_rho]])</f>
        <v>0.8419106033071253</v>
      </c>
      <c r="K17">
        <f>LN(Table119[[#This Row],[T(K)]])</f>
        <v>7.8240460108562919</v>
      </c>
      <c r="L17">
        <f>1/Table119[[#This Row],[T(K)]]</f>
        <v>4.0000000000000002E-4</v>
      </c>
    </row>
    <row r="18" spans="1:12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  <c r="J18">
        <f>LN(Table119[[#This Row],[a_rho]])</f>
        <v>0.64554720534514043</v>
      </c>
      <c r="K18">
        <f>LN(Table119[[#This Row],[T(K)]])</f>
        <v>6.2146080984221914</v>
      </c>
      <c r="L18">
        <f>1/Table119[[#This Row],[T(K)]]</f>
        <v>2E-3</v>
      </c>
    </row>
    <row r="19" spans="1:12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  <c r="J19">
        <f>LN(Table119[[#This Row],[a_rho]])</f>
        <v>0.72704855243064215</v>
      </c>
      <c r="K19">
        <f>LN(Table119[[#This Row],[T(K)]])</f>
        <v>6.9077552789821368</v>
      </c>
      <c r="L19">
        <f>1/Table119[[#This Row],[T(K)]]</f>
        <v>1E-3</v>
      </c>
    </row>
    <row r="20" spans="1:12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  <c r="J20">
        <f>LN(Table119[[#This Row],[a_rho]])</f>
        <v>0.77178628004004135</v>
      </c>
      <c r="K20">
        <f>LN(Table119[[#This Row],[T(K)]])</f>
        <v>7.3132203870903014</v>
      </c>
      <c r="L20">
        <f>1/Table119[[#This Row],[T(K)]]</f>
        <v>6.6666666666666664E-4</v>
      </c>
    </row>
    <row r="21" spans="1:12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  <c r="J21">
        <f>LN(Table119[[#This Row],[a_rho]])</f>
        <v>0.81053331723992728</v>
      </c>
      <c r="K21">
        <f>LN(Table119[[#This Row],[T(K)]])</f>
        <v>7.6009024595420822</v>
      </c>
      <c r="L21">
        <f>1/Table119[[#This Row],[T(K)]]</f>
        <v>5.0000000000000001E-4</v>
      </c>
    </row>
    <row r="22" spans="1:12" hidden="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  <c r="J22">
        <f>LN(Table119[[#This Row],[a_rho]])</f>
        <v>0.98893689410360619</v>
      </c>
      <c r="K22">
        <f>LN(Table119[[#This Row],[T(K)]])</f>
        <v>7.8240460108562919</v>
      </c>
      <c r="L22">
        <f>1/Table119[[#This Row],[T(K)]]</f>
        <v>4.0000000000000002E-4</v>
      </c>
    </row>
    <row r="23" spans="1:12" hidden="1" x14ac:dyDescent="0.3">
      <c r="A23">
        <v>110</v>
      </c>
      <c r="B23">
        <v>1</v>
      </c>
      <c r="C23">
        <v>500</v>
      </c>
      <c r="D23">
        <v>57.282114061772397</v>
      </c>
      <c r="E23">
        <v>86.600729920272698</v>
      </c>
      <c r="F23">
        <v>1.0312647741452401</v>
      </c>
      <c r="G23">
        <v>2.5886822361941402</v>
      </c>
      <c r="H23">
        <v>5.83584206677161</v>
      </c>
      <c r="I23">
        <v>1.7439489115946001</v>
      </c>
      <c r="J23">
        <f>LN(Table119[[#This Row],[a_rho]])</f>
        <v>0.55615203124728008</v>
      </c>
      <c r="K23">
        <f>LN(Table119[[#This Row],[T(K)]])</f>
        <v>6.2146080984221914</v>
      </c>
      <c r="L23">
        <f>1/Table119[[#This Row],[T(K)]]</f>
        <v>2E-3</v>
      </c>
    </row>
    <row r="24" spans="1:12" hidden="1" x14ac:dyDescent="0.3">
      <c r="A24">
        <v>110</v>
      </c>
      <c r="B24">
        <v>1</v>
      </c>
      <c r="C24">
        <v>1000</v>
      </c>
      <c r="D24">
        <v>37.486742154701602</v>
      </c>
      <c r="E24">
        <v>77.167960525181797</v>
      </c>
      <c r="F24">
        <v>0.73926540807119001</v>
      </c>
      <c r="G24">
        <v>1.6681911472192399</v>
      </c>
      <c r="H24">
        <v>5.4113362160566698</v>
      </c>
      <c r="I24">
        <v>1.27635381978995</v>
      </c>
      <c r="J24">
        <f>LN(Table119[[#This Row],[a_rho]])</f>
        <v>0.24400743472195829</v>
      </c>
      <c r="K24">
        <f>LN(Table119[[#This Row],[T(K)]])</f>
        <v>6.9077552789821368</v>
      </c>
      <c r="L24">
        <f>1/Table119[[#This Row],[T(K)]]</f>
        <v>1E-3</v>
      </c>
    </row>
    <row r="25" spans="1:12" hidden="1" x14ac:dyDescent="0.3">
      <c r="A25">
        <v>110</v>
      </c>
      <c r="B25">
        <v>1</v>
      </c>
      <c r="C25">
        <v>1500</v>
      </c>
      <c r="D25">
        <v>29.761861465604099</v>
      </c>
      <c r="E25">
        <v>69.371188460090906</v>
      </c>
      <c r="F25">
        <v>0.79821700722667299</v>
      </c>
      <c r="G25">
        <v>1.29195428868517</v>
      </c>
      <c r="H25">
        <v>5.0469736422668197</v>
      </c>
      <c r="I25">
        <v>1.1870163692771201</v>
      </c>
      <c r="J25">
        <f>LN(Table119[[#This Row],[a_rho]])</f>
        <v>0.17144290599337023</v>
      </c>
      <c r="K25">
        <f>LN(Table119[[#This Row],[T(K)]])</f>
        <v>7.3132203870903014</v>
      </c>
      <c r="L25">
        <f>1/Table119[[#This Row],[T(K)]]</f>
        <v>6.6666666666666664E-4</v>
      </c>
    </row>
    <row r="26" spans="1:12" hidden="1" x14ac:dyDescent="0.3">
      <c r="A26">
        <v>110</v>
      </c>
      <c r="B26">
        <v>1</v>
      </c>
      <c r="C26">
        <v>2000</v>
      </c>
      <c r="D26">
        <v>25.361730066887599</v>
      </c>
      <c r="E26">
        <v>63.423271751727199</v>
      </c>
      <c r="F26">
        <v>0.83943070478818405</v>
      </c>
      <c r="G26">
        <v>1.05080714795866</v>
      </c>
      <c r="H26">
        <v>4.6836377508854703</v>
      </c>
      <c r="I26">
        <v>1.2559956537835</v>
      </c>
      <c r="J26">
        <f>LN(Table119[[#This Row],[a_rho]])</f>
        <v>0.22792860767656442</v>
      </c>
      <c r="K26">
        <f>LN(Table119[[#This Row],[T(K)]])</f>
        <v>7.6009024595420822</v>
      </c>
      <c r="L26">
        <f>1/Table119[[#This Row],[T(K)]]</f>
        <v>5.0000000000000001E-4</v>
      </c>
    </row>
    <row r="27" spans="1:12" hidden="1" x14ac:dyDescent="0.3">
      <c r="A27">
        <v>110</v>
      </c>
      <c r="B27">
        <v>1</v>
      </c>
      <c r="C27">
        <v>2500</v>
      </c>
      <c r="D27">
        <v>21.835551091972899</v>
      </c>
      <c r="E27">
        <v>57.584859685181797</v>
      </c>
      <c r="F27">
        <v>1.01519197215941</v>
      </c>
      <c r="G27">
        <v>1.0006699945887401</v>
      </c>
      <c r="H27">
        <v>4.23501931654204</v>
      </c>
      <c r="I27">
        <v>1.35253992325525</v>
      </c>
      <c r="J27">
        <f>LN(Table119[[#This Row],[a_rho]])</f>
        <v>0.30198424942133273</v>
      </c>
      <c r="K27">
        <f>LN(Table119[[#This Row],[T(K)]])</f>
        <v>7.8240460108562919</v>
      </c>
      <c r="L27">
        <f>1/Table119[[#This Row],[T(K)]]</f>
        <v>4.0000000000000002E-4</v>
      </c>
    </row>
    <row r="28" spans="1:12" hidden="1" x14ac:dyDescent="0.3">
      <c r="A28">
        <v>110</v>
      </c>
      <c r="B28">
        <v>2</v>
      </c>
      <c r="C28">
        <v>500</v>
      </c>
      <c r="D28">
        <v>25.206654469418599</v>
      </c>
      <c r="E28">
        <v>56.245464272727197</v>
      </c>
      <c r="F28">
        <v>1.7590441166728701</v>
      </c>
      <c r="G28">
        <v>2.1167485383282001</v>
      </c>
      <c r="H28">
        <v>4.5018395086386596</v>
      </c>
      <c r="I28">
        <v>1.99997147662459</v>
      </c>
      <c r="J28">
        <f>LN(Table119[[#This Row],[a_rho]])</f>
        <v>0.69313291877054151</v>
      </c>
      <c r="K28">
        <f>LN(Table119[[#This Row],[T(K)]])</f>
        <v>6.2146080984221914</v>
      </c>
      <c r="L28">
        <f>1/Table119[[#This Row],[T(K)]]</f>
        <v>2E-3</v>
      </c>
    </row>
    <row r="29" spans="1:12" hidden="1" x14ac:dyDescent="0.3">
      <c r="A29">
        <v>110</v>
      </c>
      <c r="B29">
        <v>2</v>
      </c>
      <c r="C29">
        <v>1000</v>
      </c>
      <c r="D29">
        <v>19.8142490225679</v>
      </c>
      <c r="E29">
        <v>48.242304509696901</v>
      </c>
      <c r="F29">
        <v>1.71642862674407</v>
      </c>
      <c r="G29">
        <v>1.7719903046463199</v>
      </c>
      <c r="H29">
        <v>4.0859314651361798</v>
      </c>
      <c r="I29">
        <v>1.8463729498725401</v>
      </c>
      <c r="J29">
        <f>LN(Table119[[#This Row],[a_rho]])</f>
        <v>0.61322314702531389</v>
      </c>
      <c r="K29">
        <f>LN(Table119[[#This Row],[T(K)]])</f>
        <v>6.9077552789821368</v>
      </c>
      <c r="L29">
        <f>1/Table119[[#This Row],[T(K)]]</f>
        <v>1E-3</v>
      </c>
    </row>
    <row r="30" spans="1:12" hidden="1" x14ac:dyDescent="0.3">
      <c r="A30">
        <v>110</v>
      </c>
      <c r="B30">
        <v>2</v>
      </c>
      <c r="C30">
        <v>1500</v>
      </c>
      <c r="D30">
        <v>14.237183619633299</v>
      </c>
      <c r="E30">
        <v>41.639288495606003</v>
      </c>
      <c r="F30">
        <v>1.34673078210956</v>
      </c>
      <c r="G30">
        <v>1.2277035528868701</v>
      </c>
      <c r="H30">
        <v>3.7475995846554802</v>
      </c>
      <c r="I30">
        <v>1.42916325231605</v>
      </c>
      <c r="J30">
        <f>LN(Table119[[#This Row],[a_rho]])</f>
        <v>0.35708913477110066</v>
      </c>
      <c r="K30">
        <f>LN(Table119[[#This Row],[T(K)]])</f>
        <v>7.3132203870903014</v>
      </c>
      <c r="L30">
        <f>1/Table119[[#This Row],[T(K)]]</f>
        <v>6.6666666666666664E-4</v>
      </c>
    </row>
    <row r="31" spans="1:12" hidden="1" x14ac:dyDescent="0.3">
      <c r="A31">
        <v>110</v>
      </c>
      <c r="B31">
        <v>2</v>
      </c>
      <c r="C31">
        <v>2000</v>
      </c>
      <c r="D31">
        <v>13.908604489889999</v>
      </c>
      <c r="E31">
        <v>36.8278655477272</v>
      </c>
      <c r="F31">
        <v>1.8654282014749799</v>
      </c>
      <c r="G31">
        <v>0.97630376102077798</v>
      </c>
      <c r="H31">
        <v>3.4399342176330201</v>
      </c>
      <c r="I31">
        <v>1.7345285214649</v>
      </c>
      <c r="J31">
        <f>LN(Table119[[#This Row],[a_rho]])</f>
        <v>0.55073563091593747</v>
      </c>
      <c r="K31">
        <f>LN(Table119[[#This Row],[T(K)]])</f>
        <v>7.6009024595420822</v>
      </c>
      <c r="L31">
        <f>1/Table119[[#This Row],[T(K)]]</f>
        <v>5.0000000000000001E-4</v>
      </c>
    </row>
    <row r="32" spans="1:12" hidden="1" x14ac:dyDescent="0.3">
      <c r="A32">
        <v>110</v>
      </c>
      <c r="B32">
        <v>2</v>
      </c>
      <c r="C32">
        <v>2500</v>
      </c>
      <c r="D32">
        <v>11.400694755451401</v>
      </c>
      <c r="E32">
        <v>32.920906616969603</v>
      </c>
      <c r="F32">
        <v>1.82191980185842</v>
      </c>
      <c r="G32">
        <v>0.73595834237968005</v>
      </c>
      <c r="H32">
        <v>3.1161673525534099</v>
      </c>
      <c r="I32">
        <v>1.7257716809789001</v>
      </c>
      <c r="J32">
        <f>LN(Table119[[#This Row],[a_rho]])</f>
        <v>0.54567430174368159</v>
      </c>
      <c r="K32">
        <f>LN(Table119[[#This Row],[T(K)]])</f>
        <v>7.8240460108562919</v>
      </c>
      <c r="L32">
        <f>1/Table119[[#This Row],[T(K)]]</f>
        <v>4.0000000000000002E-4</v>
      </c>
    </row>
    <row r="33" spans="1:12" hidden="1" x14ac:dyDescent="0.3">
      <c r="A33">
        <v>110</v>
      </c>
      <c r="B33">
        <v>3</v>
      </c>
      <c r="C33">
        <v>500</v>
      </c>
      <c r="D33">
        <v>15.680837448358799</v>
      </c>
      <c r="E33">
        <v>43.764438158939399</v>
      </c>
      <c r="F33">
        <v>2.1771258157546902</v>
      </c>
      <c r="G33">
        <v>1.98065622473133</v>
      </c>
      <c r="H33">
        <v>3.8643627782451899</v>
      </c>
      <c r="I33">
        <v>2.3749907745095098</v>
      </c>
      <c r="J33">
        <f>LN(Table119[[#This Row],[a_rho]])</f>
        <v>0.86499355306201164</v>
      </c>
      <c r="K33">
        <f>LN(Table119[[#This Row],[T(K)]])</f>
        <v>6.2146080984221914</v>
      </c>
      <c r="L33">
        <f>1/Table119[[#This Row],[T(K)]]</f>
        <v>2E-3</v>
      </c>
    </row>
    <row r="34" spans="1:12" hidden="1" x14ac:dyDescent="0.3">
      <c r="A34">
        <v>110</v>
      </c>
      <c r="B34">
        <v>3</v>
      </c>
      <c r="C34">
        <v>1000</v>
      </c>
      <c r="D34">
        <v>11.5141612395254</v>
      </c>
      <c r="E34">
        <v>37.7315105795454</v>
      </c>
      <c r="F34">
        <v>2.0887724737230799</v>
      </c>
      <c r="G34">
        <v>1.5671124781375301</v>
      </c>
      <c r="H34">
        <v>3.5275192877459798</v>
      </c>
      <c r="I34">
        <v>2.0904653787392502</v>
      </c>
      <c r="J34">
        <f>LN(Table119[[#This Row],[a_rho]])</f>
        <v>0.73738671044283066</v>
      </c>
      <c r="K34">
        <f>LN(Table119[[#This Row],[T(K)]])</f>
        <v>6.9077552789821368</v>
      </c>
      <c r="L34">
        <f>1/Table119[[#This Row],[T(K)]]</f>
        <v>1E-3</v>
      </c>
    </row>
    <row r="35" spans="1:12" hidden="1" x14ac:dyDescent="0.3">
      <c r="A35">
        <v>110</v>
      </c>
      <c r="B35">
        <v>3</v>
      </c>
      <c r="C35">
        <v>1500</v>
      </c>
      <c r="D35">
        <v>7.0103726034851501</v>
      </c>
      <c r="E35">
        <v>32.583728399848397</v>
      </c>
      <c r="F35">
        <v>1.8031873212866101</v>
      </c>
      <c r="G35">
        <v>1.03946478552786</v>
      </c>
      <c r="H35">
        <v>3.2084982031034102</v>
      </c>
      <c r="I35">
        <v>1.6084584716921499</v>
      </c>
      <c r="J35">
        <f>LN(Table119[[#This Row],[a_rho]])</f>
        <v>0.4752762493295527</v>
      </c>
      <c r="K35">
        <f>LN(Table119[[#This Row],[T(K)]])</f>
        <v>7.3132203870903014</v>
      </c>
      <c r="L35">
        <f>1/Table119[[#This Row],[T(K)]]</f>
        <v>6.6666666666666664E-4</v>
      </c>
    </row>
    <row r="36" spans="1:12" hidden="1" x14ac:dyDescent="0.3">
      <c r="A36">
        <v>110</v>
      </c>
      <c r="B36">
        <v>3</v>
      </c>
      <c r="C36">
        <v>2000</v>
      </c>
      <c r="D36">
        <v>8.0664703720160293</v>
      </c>
      <c r="E36">
        <v>28.682397553787801</v>
      </c>
      <c r="F36">
        <v>2.1857902579310799</v>
      </c>
      <c r="G36">
        <v>0.98087451540237203</v>
      </c>
      <c r="H36">
        <v>2.9467332525354601</v>
      </c>
      <c r="I36">
        <v>1.85597030853824</v>
      </c>
      <c r="J36">
        <f>LN(Table119[[#This Row],[a_rho]])</f>
        <v>0.61840763668121901</v>
      </c>
      <c r="K36">
        <f>LN(Table119[[#This Row],[T(K)]])</f>
        <v>7.6009024595420822</v>
      </c>
      <c r="L36">
        <f>1/Table119[[#This Row],[T(K)]]</f>
        <v>5.0000000000000001E-4</v>
      </c>
    </row>
    <row r="37" spans="1:12" hidden="1" x14ac:dyDescent="0.3">
      <c r="A37">
        <v>110</v>
      </c>
      <c r="B37">
        <v>3</v>
      </c>
      <c r="C37">
        <v>2500</v>
      </c>
      <c r="D37">
        <v>6.3015760126496199</v>
      </c>
      <c r="E37">
        <v>25.507203677575699</v>
      </c>
      <c r="F37">
        <v>2.4420614425269198</v>
      </c>
      <c r="G37">
        <v>0.69350996440117196</v>
      </c>
      <c r="H37">
        <v>2.7148923891940502</v>
      </c>
      <c r="I37">
        <v>2.1630238105382098</v>
      </c>
      <c r="J37">
        <f>LN(Table119[[#This Row],[a_rho]])</f>
        <v>0.771507155018613</v>
      </c>
      <c r="K37">
        <f>LN(Table119[[#This Row],[T(K)]])</f>
        <v>7.8240460108562919</v>
      </c>
      <c r="L37">
        <f>1/Table119[[#This Row],[T(K)]]</f>
        <v>4.0000000000000002E-4</v>
      </c>
    </row>
    <row r="38" spans="1:12" x14ac:dyDescent="0.3">
      <c r="A38">
        <v>110</v>
      </c>
      <c r="B38">
        <v>4</v>
      </c>
      <c r="C38">
        <v>500</v>
      </c>
      <c r="D38">
        <v>8.6403234385068099</v>
      </c>
      <c r="E38">
        <v>37.295747593939303</v>
      </c>
      <c r="F38">
        <v>2.2307611496558502</v>
      </c>
      <c r="G38">
        <v>1.4522039845741801</v>
      </c>
      <c r="H38">
        <v>3.5143489769496701</v>
      </c>
      <c r="I38">
        <v>1.8703239363325299</v>
      </c>
      <c r="J38">
        <f>LN(Table119[[#This Row],[a_rho]])</f>
        <v>0.62611164384957041</v>
      </c>
      <c r="K38">
        <f>LN(Table119[[#This Row],[T(K)]])</f>
        <v>6.2146080984221914</v>
      </c>
      <c r="L38">
        <f>1/Table119[[#This Row],[T(K)]]</f>
        <v>2E-3</v>
      </c>
    </row>
    <row r="39" spans="1:12" x14ac:dyDescent="0.3">
      <c r="A39">
        <v>110</v>
      </c>
      <c r="B39">
        <v>4</v>
      </c>
      <c r="C39">
        <v>1000</v>
      </c>
      <c r="D39">
        <v>7.4863922622541601</v>
      </c>
      <c r="E39">
        <v>32.045970122575703</v>
      </c>
      <c r="F39">
        <v>2.3494714868673099</v>
      </c>
      <c r="G39">
        <v>1.3376697832860101</v>
      </c>
      <c r="H39">
        <v>3.24130686371111</v>
      </c>
      <c r="I39">
        <v>2.1644097021986601</v>
      </c>
      <c r="J39">
        <f>LN(Table119[[#This Row],[a_rho]])</f>
        <v>0.77214766940375723</v>
      </c>
      <c r="K39">
        <f>LN(Table119[[#This Row],[T(K)]])</f>
        <v>6.9077552789821368</v>
      </c>
      <c r="L39">
        <f>1/Table119[[#This Row],[T(K)]]</f>
        <v>1E-3</v>
      </c>
    </row>
    <row r="40" spans="1:12" x14ac:dyDescent="0.3">
      <c r="A40">
        <v>110</v>
      </c>
      <c r="B40">
        <v>4</v>
      </c>
      <c r="C40">
        <v>1500</v>
      </c>
      <c r="D40">
        <v>5.3881873237563402</v>
      </c>
      <c r="E40">
        <v>27.6151055918181</v>
      </c>
      <c r="F40">
        <v>2.31390130435652</v>
      </c>
      <c r="G40">
        <v>0.99311152509896905</v>
      </c>
      <c r="H40">
        <v>2.9749875643070598</v>
      </c>
      <c r="I40">
        <v>2.0130874146964302</v>
      </c>
      <c r="J40">
        <f>LN(Table119[[#This Row],[a_rho]])</f>
        <v>0.69966957079997427</v>
      </c>
      <c r="K40">
        <f>LN(Table119[[#This Row],[T(K)]])</f>
        <v>7.3132203870903014</v>
      </c>
      <c r="L40">
        <f>1/Table119[[#This Row],[T(K)]]</f>
        <v>6.6666666666666664E-4</v>
      </c>
    </row>
    <row r="41" spans="1:12" x14ac:dyDescent="0.3">
      <c r="A41">
        <v>110</v>
      </c>
      <c r="B41">
        <v>4</v>
      </c>
      <c r="C41">
        <v>2000</v>
      </c>
      <c r="D41">
        <v>4.4819066287711804</v>
      </c>
      <c r="E41">
        <v>24.284387221666599</v>
      </c>
      <c r="F41">
        <v>2.5066143811223598</v>
      </c>
      <c r="G41">
        <v>0.79638290010602197</v>
      </c>
      <c r="H41">
        <v>2.7267401132220899</v>
      </c>
      <c r="I41">
        <v>2.2240596970790301</v>
      </c>
      <c r="J41">
        <f>LN(Table119[[#This Row],[a_rho]])</f>
        <v>0.79933421823988426</v>
      </c>
      <c r="K41">
        <f>LN(Table119[[#This Row],[T(K)]])</f>
        <v>7.6009024595420822</v>
      </c>
      <c r="L41">
        <f>1/Table119[[#This Row],[T(K)]]</f>
        <v>5.0000000000000001E-4</v>
      </c>
    </row>
    <row r="42" spans="1:12" x14ac:dyDescent="0.3">
      <c r="A42">
        <v>110</v>
      </c>
      <c r="B42">
        <v>4</v>
      </c>
      <c r="C42">
        <v>2500</v>
      </c>
      <c r="D42">
        <v>3.84190099003421</v>
      </c>
      <c r="E42">
        <v>21.5010230271212</v>
      </c>
      <c r="F42">
        <v>2.6940043156601399</v>
      </c>
      <c r="G42">
        <v>0.62146177945828096</v>
      </c>
      <c r="H42">
        <v>2.5151068939545098</v>
      </c>
      <c r="I42">
        <v>2.4262134399034898</v>
      </c>
      <c r="J42">
        <f>LN(Table119[[#This Row],[a_rho]])</f>
        <v>0.8863317868263928</v>
      </c>
      <c r="K42">
        <f>LN(Table119[[#This Row],[T(K)]])</f>
        <v>7.8240460108562919</v>
      </c>
      <c r="L42">
        <f>1/Table119[[#This Row],[T(K)]]</f>
        <v>4.0000000000000002E-4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4AAA-1C78-4FE9-A118-2074CDC680EC}">
  <dimension ref="A1:AH22"/>
  <sheetViews>
    <sheetView workbookViewId="0">
      <selection activeCell="N22" sqref="N22"/>
    </sheetView>
  </sheetViews>
  <sheetFormatPr defaultRowHeight="14.4" x14ac:dyDescent="0.3"/>
  <cols>
    <col min="1" max="1" width="26" customWidth="1"/>
    <col min="11" max="11" width="11.77734375" customWidth="1"/>
    <col min="28" max="28" width="10.44140625" customWidth="1"/>
  </cols>
  <sheetData>
    <row r="1" spans="1:34" x14ac:dyDescent="0.3">
      <c r="G1" s="1" t="s">
        <v>21</v>
      </c>
      <c r="O1" t="s">
        <v>11</v>
      </c>
      <c r="P1" t="s">
        <v>12</v>
      </c>
      <c r="Q1" t="s">
        <v>13</v>
      </c>
      <c r="X1" s="1" t="s">
        <v>23</v>
      </c>
      <c r="AF1" t="s">
        <v>11</v>
      </c>
      <c r="AG1" t="s">
        <v>12</v>
      </c>
      <c r="AH1" t="s">
        <v>13</v>
      </c>
    </row>
    <row r="2" spans="1:34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0</v>
      </c>
      <c r="J2" t="s">
        <v>8</v>
      </c>
      <c r="K2" t="s">
        <v>54</v>
      </c>
      <c r="L2" t="s">
        <v>45</v>
      </c>
      <c r="M2" t="s">
        <v>46</v>
      </c>
      <c r="N2" t="s">
        <v>47</v>
      </c>
      <c r="O2">
        <v>1.004882166796448</v>
      </c>
      <c r="P2">
        <v>0.32221173051990004</v>
      </c>
      <c r="Q2">
        <v>2.0846083819891524E-4</v>
      </c>
      <c r="S2" s="2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  <c r="Y2" s="3" t="s">
        <v>1</v>
      </c>
      <c r="Z2" s="3" t="s">
        <v>0</v>
      </c>
      <c r="AA2" s="4" t="s">
        <v>8</v>
      </c>
      <c r="AB2" s="11" t="s">
        <v>54</v>
      </c>
      <c r="AC2" t="s">
        <v>45</v>
      </c>
      <c r="AD2" t="s">
        <v>46</v>
      </c>
      <c r="AE2" t="s">
        <v>47</v>
      </c>
      <c r="AF2">
        <v>1.4181428357842758</v>
      </c>
      <c r="AG2">
        <v>0.32476128264537985</v>
      </c>
      <c r="AH2">
        <v>-1.5879062804282149E-5</v>
      </c>
    </row>
    <row r="3" spans="1:34" x14ac:dyDescent="0.3">
      <c r="B3">
        <v>100</v>
      </c>
      <c r="C3">
        <v>1</v>
      </c>
      <c r="D3">
        <v>500</v>
      </c>
      <c r="E3">
        <v>38.987904843554098</v>
      </c>
      <c r="F3">
        <v>88.051904233454493</v>
      </c>
      <c r="G3">
        <v>0.61602232172104499</v>
      </c>
      <c r="H3">
        <v>1.7805269034751501</v>
      </c>
      <c r="I3">
        <v>5.7174463924963899</v>
      </c>
      <c r="J3">
        <v>1.0588650288078501</v>
      </c>
      <c r="K3">
        <f>$O$2*Table120[[#This Row],[R(ao)]]^($P$2)*EXP(Table120[[#This Row],[T(K)]]*$Q$2)</f>
        <v>1.1152746603924473</v>
      </c>
      <c r="L3">
        <f>(Table120[[#This Row],[a_rho pred]]-Table120[[#This Row],[a_rho]])^2</f>
        <v>3.1820465355099884E-3</v>
      </c>
      <c r="M3">
        <f>SUM(Table120[(res)^2])</f>
        <v>0.30842986051630195</v>
      </c>
      <c r="N3">
        <f>RSQ(Table120[a_rho pred],Table120[a_rho])</f>
        <v>0.91291878196619436</v>
      </c>
      <c r="S3" s="5">
        <v>110</v>
      </c>
      <c r="T3" s="6">
        <v>1</v>
      </c>
      <c r="U3" s="6">
        <v>500</v>
      </c>
      <c r="V3" s="6">
        <v>57.282114061772397</v>
      </c>
      <c r="W3" s="6">
        <v>86.600729920272698</v>
      </c>
      <c r="X3" s="6">
        <v>1.0312647741452401</v>
      </c>
      <c r="Y3" s="6">
        <v>2.5886822361941402</v>
      </c>
      <c r="Z3" s="6">
        <v>5.83584206677161</v>
      </c>
      <c r="AA3" s="7">
        <v>1.7439489115946001</v>
      </c>
      <c r="AB3">
        <f>$AF$2*T3^$AG$2*EXP($AH$2*U3)</f>
        <v>1.4069280252883818</v>
      </c>
      <c r="AC3">
        <f>(AB3-AA3)^2</f>
        <v>0.11358307780662892</v>
      </c>
      <c r="AD3">
        <f>SUM(AC3:AC22)</f>
        <v>0.90521727354337356</v>
      </c>
      <c r="AE3">
        <f>RSQ(AB3:AB22,AA3:AA22)</f>
        <v>0.66159729672830003</v>
      </c>
    </row>
    <row r="4" spans="1:34" x14ac:dyDescent="0.3">
      <c r="B4">
        <v>100</v>
      </c>
      <c r="C4">
        <v>1</v>
      </c>
      <c r="D4">
        <v>1000</v>
      </c>
      <c r="E4">
        <v>36.549487136239101</v>
      </c>
      <c r="F4">
        <v>76.838578092363605</v>
      </c>
      <c r="G4">
        <v>0.90900473903045798</v>
      </c>
      <c r="H4">
        <v>1.52448359526946</v>
      </c>
      <c r="I4">
        <v>5.4619033090646703</v>
      </c>
      <c r="J4">
        <v>1.24498258477945</v>
      </c>
      <c r="K4">
        <f>$O$2*Table120[[#This Row],[R(ao)]]^($P$2)*EXP(Table120[[#This Row],[T(K)]]*$Q$2)</f>
        <v>1.2377944491530057</v>
      </c>
      <c r="L4">
        <f>(Table120[[#This Row],[a_rho pred]]-Table120[[#This Row],[a_rho]])^2</f>
        <v>5.1669293784157357E-5</v>
      </c>
      <c r="S4" s="8">
        <v>110</v>
      </c>
      <c r="T4" s="9">
        <v>1</v>
      </c>
      <c r="U4" s="9">
        <v>1000</v>
      </c>
      <c r="V4" s="9">
        <v>37.486742154701602</v>
      </c>
      <c r="W4" s="9">
        <v>77.167960525181797</v>
      </c>
      <c r="X4" s="9">
        <v>0.73926540807119001</v>
      </c>
      <c r="Y4" s="9">
        <v>1.6681911472192399</v>
      </c>
      <c r="Z4" s="9">
        <v>5.4113362160566698</v>
      </c>
      <c r="AA4" s="10">
        <v>1.27635381978995</v>
      </c>
      <c r="AB4">
        <f t="shared" ref="AB4:AB22" si="0">$AF$2*T4^$AG$2*EXP($AH$2*U4)</f>
        <v>1.3958019025969075</v>
      </c>
      <c r="AC4">
        <f t="shared" ref="AC4:AC22" si="1">(AB4-AA4)^2</f>
        <v>1.4267844486257779E-2</v>
      </c>
    </row>
    <row r="5" spans="1:34" x14ac:dyDescent="0.3">
      <c r="B5">
        <v>100</v>
      </c>
      <c r="C5">
        <v>1</v>
      </c>
      <c r="D5">
        <v>1500</v>
      </c>
      <c r="E5">
        <v>26.994950335905699</v>
      </c>
      <c r="F5">
        <v>68.538763993909001</v>
      </c>
      <c r="G5">
        <v>0.77971835079028595</v>
      </c>
      <c r="H5">
        <v>1.05270746011517</v>
      </c>
      <c r="I5">
        <v>4.9417855011150396</v>
      </c>
      <c r="J5">
        <v>1.17828101475251</v>
      </c>
      <c r="K5">
        <f>$O$2*Table120[[#This Row],[R(ao)]]^($P$2)*EXP(Table120[[#This Row],[T(K)]]*$Q$2)</f>
        <v>1.3737737911259094</v>
      </c>
      <c r="L5">
        <f>(Table120[[#This Row],[a_rho pred]]-Table120[[#This Row],[a_rho]])^2</f>
        <v>3.8217425614179928E-2</v>
      </c>
      <c r="S5" s="5">
        <v>110</v>
      </c>
      <c r="T5" s="6">
        <v>1</v>
      </c>
      <c r="U5" s="6">
        <v>1500</v>
      </c>
      <c r="V5" s="6">
        <v>29.761861465604099</v>
      </c>
      <c r="W5" s="6">
        <v>69.371188460090906</v>
      </c>
      <c r="X5" s="6">
        <v>0.79821700722667299</v>
      </c>
      <c r="Y5" s="6">
        <v>1.29195428868517</v>
      </c>
      <c r="Z5" s="6">
        <v>5.0469736422668197</v>
      </c>
      <c r="AA5" s="7">
        <v>1.1870163692771201</v>
      </c>
      <c r="AB5">
        <f t="shared" si="0"/>
        <v>1.3847637663581303</v>
      </c>
      <c r="AC5">
        <f t="shared" si="1"/>
        <v>3.9104033052314718E-2</v>
      </c>
    </row>
    <row r="6" spans="1:34" x14ac:dyDescent="0.3">
      <c r="B6">
        <v>100</v>
      </c>
      <c r="C6">
        <v>1</v>
      </c>
      <c r="D6">
        <v>2000</v>
      </c>
      <c r="E6">
        <v>19.553108798739299</v>
      </c>
      <c r="F6">
        <v>63.490942324909099</v>
      </c>
      <c r="G6">
        <v>0.90509577673152797</v>
      </c>
      <c r="H6">
        <v>0.78681743658388403</v>
      </c>
      <c r="I6">
        <v>4.6280308277581002</v>
      </c>
      <c r="J6">
        <v>1.44797915088444</v>
      </c>
      <c r="K6">
        <f>$O$2*Table120[[#This Row],[R(ao)]]^($P$2)*EXP(Table120[[#This Row],[T(K)]]*$Q$2)</f>
        <v>1.5246913011088863</v>
      </c>
      <c r="L6">
        <f>(Table120[[#This Row],[a_rho pred]]-Table120[[#This Row],[a_rho]])^2</f>
        <v>5.8847539920580212E-3</v>
      </c>
      <c r="S6" s="8">
        <v>110</v>
      </c>
      <c r="T6" s="9">
        <v>1</v>
      </c>
      <c r="U6" s="9">
        <v>2000</v>
      </c>
      <c r="V6" s="9">
        <v>25.361730066887599</v>
      </c>
      <c r="W6" s="9">
        <v>63.423271751727199</v>
      </c>
      <c r="X6" s="9">
        <v>0.83943070478818405</v>
      </c>
      <c r="Y6" s="9">
        <v>1.05080714795866</v>
      </c>
      <c r="Z6" s="9">
        <v>4.6836377508854703</v>
      </c>
      <c r="AA6" s="10">
        <v>1.2559956537835</v>
      </c>
      <c r="AB6">
        <f t="shared" si="0"/>
        <v>1.3738129207666858</v>
      </c>
      <c r="AC6">
        <f t="shared" si="1"/>
        <v>1.3880908399387293E-2</v>
      </c>
    </row>
    <row r="7" spans="1:34" x14ac:dyDescent="0.3">
      <c r="B7">
        <v>100</v>
      </c>
      <c r="C7">
        <v>1</v>
      </c>
      <c r="D7">
        <v>2500</v>
      </c>
      <c r="E7">
        <v>13.1516507988825</v>
      </c>
      <c r="F7">
        <v>56.859420649</v>
      </c>
      <c r="G7">
        <v>1.60925803027996</v>
      </c>
      <c r="H7">
        <v>0.61247407166907097</v>
      </c>
      <c r="I7">
        <v>4.2249616822571303</v>
      </c>
      <c r="J7">
        <v>1.86439953983776</v>
      </c>
      <c r="K7">
        <f>$O$2*Table120[[#This Row],[R(ao)]]^($P$2)*EXP(Table120[[#This Row],[T(K)]]*$Q$2)</f>
        <v>1.692188028839783</v>
      </c>
      <c r="L7">
        <f>(Table120[[#This Row],[a_rho pred]]-Table120[[#This Row],[a_rho]])^2</f>
        <v>2.9656804520206331E-2</v>
      </c>
      <c r="S7" s="5">
        <v>110</v>
      </c>
      <c r="T7" s="6">
        <v>1</v>
      </c>
      <c r="U7" s="6">
        <v>2500</v>
      </c>
      <c r="V7" s="6">
        <v>21.835551091972899</v>
      </c>
      <c r="W7" s="6">
        <v>57.584859685181797</v>
      </c>
      <c r="X7" s="6">
        <v>1.01519197215941</v>
      </c>
      <c r="Y7" s="6">
        <v>1.0006699945887401</v>
      </c>
      <c r="Z7" s="6">
        <v>4.23501931654204</v>
      </c>
      <c r="AA7" s="7">
        <v>1.35253992325525</v>
      </c>
      <c r="AB7">
        <f t="shared" si="0"/>
        <v>1.3629486755197053</v>
      </c>
      <c r="AC7">
        <f t="shared" si="1"/>
        <v>1.0834212370280474E-4</v>
      </c>
    </row>
    <row r="8" spans="1:34" x14ac:dyDescent="0.3">
      <c r="B8">
        <v>100</v>
      </c>
      <c r="C8">
        <v>2</v>
      </c>
      <c r="D8">
        <v>500</v>
      </c>
      <c r="E8">
        <v>13.3547971639351</v>
      </c>
      <c r="F8">
        <v>56.212994217575698</v>
      </c>
      <c r="G8">
        <v>1.3230710714705101</v>
      </c>
      <c r="H8">
        <v>1.4353258976085499</v>
      </c>
      <c r="I8">
        <v>4.4933293849343903</v>
      </c>
      <c r="J8">
        <v>1.4206104886524999</v>
      </c>
      <c r="K8">
        <f>$O$2*Table120[[#This Row],[R(ao)]]^($P$2)*EXP(Table120[[#This Row],[T(K)]]*$Q$2)</f>
        <v>1.394367432909678</v>
      </c>
      <c r="L8">
        <f>(Table120[[#This Row],[a_rho pred]]-Table120[[#This Row],[a_rho]])^2</f>
        <v>6.8869797472085909E-4</v>
      </c>
      <c r="S8" s="8">
        <v>110</v>
      </c>
      <c r="T8" s="9">
        <v>2</v>
      </c>
      <c r="U8" s="9">
        <v>500</v>
      </c>
      <c r="V8" s="9">
        <v>25.206654469418599</v>
      </c>
      <c r="W8" s="9">
        <v>56.245464272727197</v>
      </c>
      <c r="X8" s="9">
        <v>1.7590441166728701</v>
      </c>
      <c r="Y8" s="9">
        <v>2.1167485383282001</v>
      </c>
      <c r="Z8" s="9">
        <v>4.5018395086386596</v>
      </c>
      <c r="AA8" s="10">
        <v>1.99997147662459</v>
      </c>
      <c r="AB8">
        <f t="shared" si="0"/>
        <v>1.7621171099283548</v>
      </c>
      <c r="AC8">
        <f t="shared" si="1"/>
        <v>5.6574699756467103E-2</v>
      </c>
    </row>
    <row r="9" spans="1:34" x14ac:dyDescent="0.3">
      <c r="B9">
        <v>100</v>
      </c>
      <c r="C9">
        <v>2</v>
      </c>
      <c r="D9">
        <v>1000</v>
      </c>
      <c r="E9">
        <v>12.1156014384801</v>
      </c>
      <c r="F9">
        <v>48.526996635303</v>
      </c>
      <c r="G9">
        <v>1.59016333434984</v>
      </c>
      <c r="H9">
        <v>1.1983958301855899</v>
      </c>
      <c r="I9">
        <v>4.1407165728614199</v>
      </c>
      <c r="J9">
        <v>1.57593520260021</v>
      </c>
      <c r="K9">
        <f>$O$2*Table120[[#This Row],[R(ao)]]^($P$2)*EXP(Table120[[#This Row],[T(K)]]*$Q$2)</f>
        <v>1.5475472812481861</v>
      </c>
      <c r="L9">
        <f>(Table120[[#This Row],[a_rho pred]]-Table120[[#This Row],[a_rho]])^2</f>
        <v>8.058740786886972E-4</v>
      </c>
      <c r="S9" s="5">
        <v>110</v>
      </c>
      <c r="T9" s="6">
        <v>2</v>
      </c>
      <c r="U9" s="6">
        <v>1000</v>
      </c>
      <c r="V9" s="6">
        <v>19.8142490225679</v>
      </c>
      <c r="W9" s="6">
        <v>48.242304509696901</v>
      </c>
      <c r="X9" s="6">
        <v>1.71642862674407</v>
      </c>
      <c r="Y9" s="6">
        <v>1.7719903046463199</v>
      </c>
      <c r="Z9" s="6">
        <v>4.0859314651361798</v>
      </c>
      <c r="AA9" s="7">
        <v>1.8463729498725401</v>
      </c>
      <c r="AB9">
        <f t="shared" si="0"/>
        <v>1.7481821176548227</v>
      </c>
      <c r="AC9">
        <f t="shared" si="1"/>
        <v>9.6414395316079312E-3</v>
      </c>
    </row>
    <row r="10" spans="1:34" x14ac:dyDescent="0.3">
      <c r="A10" t="s">
        <v>55</v>
      </c>
      <c r="B10">
        <v>100</v>
      </c>
      <c r="C10">
        <v>2</v>
      </c>
      <c r="D10">
        <v>1500</v>
      </c>
      <c r="E10">
        <v>11.435813865154101</v>
      </c>
      <c r="F10">
        <v>41.5902465345454</v>
      </c>
      <c r="G10">
        <v>1.7959888232993599</v>
      </c>
      <c r="H10">
        <v>1.01640261263089</v>
      </c>
      <c r="I10">
        <v>3.73823132574043</v>
      </c>
      <c r="J10">
        <v>1.7062675113349399</v>
      </c>
      <c r="K10">
        <f>$O$2*Table120[[#This Row],[R(ao)]]^($P$2)*EXP(Table120[[#This Row],[T(K)]]*$Q$2)</f>
        <v>1.7175548791333435</v>
      </c>
      <c r="L10">
        <f>(Table120[[#This Row],[a_rho pred]]-Table120[[#This Row],[a_rho]])^2</f>
        <v>1.2740467181643759E-4</v>
      </c>
      <c r="S10" s="8">
        <v>110</v>
      </c>
      <c r="T10" s="9">
        <v>2</v>
      </c>
      <c r="U10" s="9">
        <v>1500</v>
      </c>
      <c r="V10" s="9">
        <v>14.237183619633299</v>
      </c>
      <c r="W10" s="9">
        <v>41.639288495606003</v>
      </c>
      <c r="X10" s="9">
        <v>1.34673078210956</v>
      </c>
      <c r="Y10" s="9">
        <v>1.2277035528868701</v>
      </c>
      <c r="Z10" s="9">
        <v>3.7475995846554802</v>
      </c>
      <c r="AA10" s="10">
        <v>1.42916325231605</v>
      </c>
      <c r="AB10">
        <f t="shared" si="0"/>
        <v>1.7343573246458963</v>
      </c>
      <c r="AC10">
        <f t="shared" si="1"/>
        <v>9.314342178527546E-2</v>
      </c>
    </row>
    <row r="11" spans="1:34" x14ac:dyDescent="0.3">
      <c r="A11" t="s">
        <v>56</v>
      </c>
      <c r="B11">
        <v>100</v>
      </c>
      <c r="C11">
        <v>2</v>
      </c>
      <c r="D11">
        <v>2000</v>
      </c>
      <c r="E11">
        <v>9.5302387812026605</v>
      </c>
      <c r="F11">
        <v>36.802862126818098</v>
      </c>
      <c r="G11">
        <v>1.8207042084874001</v>
      </c>
      <c r="H11">
        <v>0.79288552264530698</v>
      </c>
      <c r="I11">
        <v>3.4606612192424602</v>
      </c>
      <c r="J11">
        <v>1.8679472767974801</v>
      </c>
      <c r="K11">
        <f>$O$2*Table120[[#This Row],[R(ao)]]^($P$2)*EXP(Table120[[#This Row],[T(K)]]*$Q$2)</f>
        <v>1.9062388584699095</v>
      </c>
      <c r="L11">
        <f>(Table120[[#This Row],[a_rho pred]]-Table120[[#This Row],[a_rho]])^2</f>
        <v>1.4662452269763317E-3</v>
      </c>
      <c r="S11" s="5">
        <v>110</v>
      </c>
      <c r="T11" s="6">
        <v>2</v>
      </c>
      <c r="U11" s="6">
        <v>2000</v>
      </c>
      <c r="V11" s="6">
        <v>13.908604489889999</v>
      </c>
      <c r="W11" s="6">
        <v>36.8278655477272</v>
      </c>
      <c r="X11" s="6">
        <v>1.8654282014749799</v>
      </c>
      <c r="Y11" s="6">
        <v>0.97630376102077798</v>
      </c>
      <c r="Z11" s="6">
        <v>3.4399342176330201</v>
      </c>
      <c r="AA11" s="7">
        <v>1.7345285214649</v>
      </c>
      <c r="AB11">
        <f t="shared" si="0"/>
        <v>1.7206418594351494</v>
      </c>
      <c r="AC11">
        <f t="shared" si="1"/>
        <v>1.9283938232851817E-4</v>
      </c>
    </row>
    <row r="12" spans="1:34" x14ac:dyDescent="0.3">
      <c r="A12" t="s">
        <v>57</v>
      </c>
      <c r="B12">
        <v>100</v>
      </c>
      <c r="C12">
        <v>2</v>
      </c>
      <c r="D12">
        <v>2500</v>
      </c>
      <c r="E12">
        <v>10.013526888477299</v>
      </c>
      <c r="F12">
        <v>33.105415840303003</v>
      </c>
      <c r="G12">
        <v>2.6691951839081001</v>
      </c>
      <c r="H12">
        <v>0.70347678721266305</v>
      </c>
      <c r="I12">
        <v>3.1608122907983001</v>
      </c>
      <c r="J12">
        <v>2.4366614934508699</v>
      </c>
      <c r="K12">
        <f>$O$2*Table120[[#This Row],[R(ao)]]^($P$2)*EXP(Table120[[#This Row],[T(K)]]*$Q$2)</f>
        <v>2.1156509347603532</v>
      </c>
      <c r="L12">
        <f>(Table120[[#This Row],[a_rho pred]]-Table120[[#This Row],[a_rho]])^2</f>
        <v>0.1030477787907977</v>
      </c>
      <c r="S12" s="8">
        <v>110</v>
      </c>
      <c r="T12" s="9">
        <v>2</v>
      </c>
      <c r="U12" s="9">
        <v>2500</v>
      </c>
      <c r="V12" s="9">
        <v>11.400694755451401</v>
      </c>
      <c r="W12" s="9">
        <v>32.920906616969603</v>
      </c>
      <c r="X12" s="9">
        <v>1.82191980185842</v>
      </c>
      <c r="Y12" s="9">
        <v>0.73595834237968005</v>
      </c>
      <c r="Z12" s="9">
        <v>3.1161673525534099</v>
      </c>
      <c r="AA12" s="10">
        <v>1.7257716809789001</v>
      </c>
      <c r="AB12">
        <f t="shared" si="0"/>
        <v>1.707034857447796</v>
      </c>
      <c r="AC12">
        <f t="shared" si="1"/>
        <v>3.5106855603573493E-4</v>
      </c>
    </row>
    <row r="13" spans="1:34" x14ac:dyDescent="0.3">
      <c r="B13">
        <v>100</v>
      </c>
      <c r="C13">
        <v>3</v>
      </c>
      <c r="D13">
        <v>500</v>
      </c>
      <c r="E13">
        <v>7.7582738103185598</v>
      </c>
      <c r="F13">
        <v>43.6846300404545</v>
      </c>
      <c r="G13">
        <v>1.69209394815262</v>
      </c>
      <c r="H13">
        <v>1.33891259050426</v>
      </c>
      <c r="I13">
        <v>3.8549523475830001</v>
      </c>
      <c r="J13">
        <v>1.5800188454213999</v>
      </c>
      <c r="K13">
        <f>$O$2*Table120[[#This Row],[R(ao)]]^($P$2)*EXP(Table120[[#This Row],[T(K)]]*$Q$2)</f>
        <v>1.5889707402890079</v>
      </c>
      <c r="L13">
        <f>(Table120[[#This Row],[a_rho pred]]-Table120[[#This Row],[a_rho]])^2</f>
        <v>8.0136421720705483E-5</v>
      </c>
      <c r="S13" s="5">
        <v>110</v>
      </c>
      <c r="T13" s="6">
        <v>3</v>
      </c>
      <c r="U13" s="6">
        <v>500</v>
      </c>
      <c r="V13" s="6">
        <v>15.680837448358799</v>
      </c>
      <c r="W13" s="6">
        <v>43.764438158939399</v>
      </c>
      <c r="X13" s="6">
        <v>2.1771258157546902</v>
      </c>
      <c r="Y13" s="6">
        <v>1.98065622473133</v>
      </c>
      <c r="Z13" s="6">
        <v>3.8643627782451899</v>
      </c>
      <c r="AA13" s="7">
        <v>2.3749907745095098</v>
      </c>
      <c r="AB13">
        <f t="shared" si="0"/>
        <v>2.0101218820873963</v>
      </c>
      <c r="AC13">
        <f t="shared" si="1"/>
        <v>0.13312930865733985</v>
      </c>
    </row>
    <row r="14" spans="1:34" x14ac:dyDescent="0.3">
      <c r="B14">
        <v>100</v>
      </c>
      <c r="C14">
        <v>3</v>
      </c>
      <c r="D14">
        <v>1000</v>
      </c>
      <c r="E14">
        <v>6.57343200408088</v>
      </c>
      <c r="F14">
        <v>37.648316448333297</v>
      </c>
      <c r="G14">
        <v>1.9620784200538901</v>
      </c>
      <c r="H14">
        <v>1.0740450425230601</v>
      </c>
      <c r="I14">
        <v>3.5285528061407798</v>
      </c>
      <c r="J14">
        <v>1.75228054012568</v>
      </c>
      <c r="K14">
        <f>$O$2*Table120[[#This Row],[R(ao)]]^($P$2)*EXP(Table120[[#This Row],[T(K)]]*$Q$2)</f>
        <v>1.7635289602152211</v>
      </c>
      <c r="L14">
        <f>(Table120[[#This Row],[a_rho pred]]-Table120[[#This Row],[a_rho]])^2</f>
        <v>1.265269545107913E-4</v>
      </c>
      <c r="S14" s="8">
        <v>110</v>
      </c>
      <c r="T14" s="9">
        <v>3</v>
      </c>
      <c r="U14" s="9">
        <v>1000</v>
      </c>
      <c r="V14" s="9">
        <v>11.5141612395254</v>
      </c>
      <c r="W14" s="9">
        <v>37.7315105795454</v>
      </c>
      <c r="X14" s="9">
        <v>2.0887724737230799</v>
      </c>
      <c r="Y14" s="9">
        <v>1.5671124781375301</v>
      </c>
      <c r="Z14" s="9">
        <v>3.5275192877459798</v>
      </c>
      <c r="AA14" s="10">
        <v>2.0904653787392502</v>
      </c>
      <c r="AB14">
        <f t="shared" si="0"/>
        <v>1.9942256441257296</v>
      </c>
      <c r="AC14">
        <f t="shared" si="1"/>
        <v>9.2620865184808842E-3</v>
      </c>
    </row>
    <row r="15" spans="1:34" x14ac:dyDescent="0.3">
      <c r="B15">
        <v>100</v>
      </c>
      <c r="C15">
        <v>3</v>
      </c>
      <c r="D15">
        <v>1500</v>
      </c>
      <c r="E15">
        <v>4.9960232850488699</v>
      </c>
      <c r="F15">
        <v>32.414257819090899</v>
      </c>
      <c r="G15">
        <v>2.1209708774329799</v>
      </c>
      <c r="H15">
        <v>0.79689930934966602</v>
      </c>
      <c r="I15">
        <v>3.1969493628966599</v>
      </c>
      <c r="J15">
        <v>1.8557261190132299</v>
      </c>
      <c r="K15">
        <f>$O$2*Table120[[#This Row],[R(ao)]]^($P$2)*EXP(Table120[[#This Row],[T(K)]]*$Q$2)</f>
        <v>1.9572634754445604</v>
      </c>
      <c r="L15">
        <f>(Table120[[#This Row],[a_rho pred]]-Table120[[#This Row],[a_rho]])^2</f>
        <v>1.030983475106304E-2</v>
      </c>
      <c r="S15" s="5">
        <v>110</v>
      </c>
      <c r="T15" s="6">
        <v>3</v>
      </c>
      <c r="U15" s="6">
        <v>1500</v>
      </c>
      <c r="V15" s="6">
        <v>7.0103726034851501</v>
      </c>
      <c r="W15" s="6">
        <v>32.583728399848397</v>
      </c>
      <c r="X15" s="6">
        <v>1.8031873212866101</v>
      </c>
      <c r="Y15" s="6">
        <v>1.03946478552786</v>
      </c>
      <c r="Z15" s="6">
        <v>3.2084982031034102</v>
      </c>
      <c r="AA15" s="7">
        <v>1.6084584716921499</v>
      </c>
      <c r="AB15">
        <f t="shared" si="0"/>
        <v>1.9784551151489684</v>
      </c>
      <c r="AC15">
        <f t="shared" si="1"/>
        <v>0.13689751616931206</v>
      </c>
    </row>
    <row r="16" spans="1:34" x14ac:dyDescent="0.3">
      <c r="B16">
        <v>100</v>
      </c>
      <c r="C16">
        <v>3</v>
      </c>
      <c r="D16">
        <v>2000</v>
      </c>
      <c r="E16">
        <v>2.9305364867537098</v>
      </c>
      <c r="F16">
        <v>28.558953559393899</v>
      </c>
      <c r="G16">
        <v>2.17873207546595</v>
      </c>
      <c r="H16">
        <v>0.51862118385605305</v>
      </c>
      <c r="I16">
        <v>2.9504476336276202</v>
      </c>
      <c r="J16">
        <v>1.9680218520978201</v>
      </c>
      <c r="K16">
        <f>$O$2*Table120[[#This Row],[R(ao)]]^($P$2)*EXP(Table120[[#This Row],[T(K)]]*$Q$2)</f>
        <v>2.1722809200943307</v>
      </c>
      <c r="L16">
        <f>(Table120[[#This Row],[a_rho pred]]-Table120[[#This Row],[a_rho]])^2</f>
        <v>4.1721766858803147E-2</v>
      </c>
      <c r="S16" s="8">
        <v>110</v>
      </c>
      <c r="T16" s="9">
        <v>3</v>
      </c>
      <c r="U16" s="9">
        <v>2000</v>
      </c>
      <c r="V16" s="9">
        <v>8.0664703720160293</v>
      </c>
      <c r="W16" s="9">
        <v>28.682397553787801</v>
      </c>
      <c r="X16" s="9">
        <v>2.1857902579310799</v>
      </c>
      <c r="Y16" s="9">
        <v>0.98087451540237203</v>
      </c>
      <c r="Z16" s="9">
        <v>2.9467332525354601</v>
      </c>
      <c r="AA16" s="10">
        <v>1.85597030853824</v>
      </c>
      <c r="AB16">
        <f t="shared" si="0"/>
        <v>1.9628093010383207</v>
      </c>
      <c r="AC16">
        <f t="shared" si="1"/>
        <v>1.1414570318432316E-2</v>
      </c>
    </row>
    <row r="17" spans="2:29" x14ac:dyDescent="0.3">
      <c r="B17">
        <v>100</v>
      </c>
      <c r="C17">
        <v>3</v>
      </c>
      <c r="D17">
        <v>2500</v>
      </c>
      <c r="E17">
        <v>2.7709229587059001</v>
      </c>
      <c r="F17">
        <v>25.136572647727199</v>
      </c>
      <c r="G17">
        <v>2.5626585277727001</v>
      </c>
      <c r="H17">
        <v>0.46449383279055001</v>
      </c>
      <c r="I17">
        <v>2.69146716438381</v>
      </c>
      <c r="J17">
        <v>2.3207968657201001</v>
      </c>
      <c r="K17">
        <f>$O$2*Table120[[#This Row],[R(ao)]]^($P$2)*EXP(Table120[[#This Row],[T(K)]]*$Q$2)</f>
        <v>2.4109193550112478</v>
      </c>
      <c r="L17">
        <f>(Table120[[#This Row],[a_rho pred]]-Table120[[#This Row],[a_rho]])^2</f>
        <v>8.1220630760330207E-3</v>
      </c>
      <c r="S17" s="5">
        <v>110</v>
      </c>
      <c r="T17" s="6">
        <v>3</v>
      </c>
      <c r="U17" s="6">
        <v>2500</v>
      </c>
      <c r="V17" s="6">
        <v>6.3015760126496199</v>
      </c>
      <c r="W17" s="6">
        <v>25.507203677575699</v>
      </c>
      <c r="X17" s="6">
        <v>2.4420614425269198</v>
      </c>
      <c r="Y17" s="6">
        <v>0.69350996440117196</v>
      </c>
      <c r="Z17" s="6">
        <v>2.7148923891940502</v>
      </c>
      <c r="AA17" s="7">
        <v>2.1630238105382098</v>
      </c>
      <c r="AB17">
        <f t="shared" si="0"/>
        <v>1.9472872155365812</v>
      </c>
      <c r="AC17">
        <f t="shared" si="1"/>
        <v>4.6542278422896703E-2</v>
      </c>
    </row>
    <row r="18" spans="2:29" x14ac:dyDescent="0.3">
      <c r="B18">
        <v>100</v>
      </c>
      <c r="C18">
        <v>4</v>
      </c>
      <c r="D18">
        <v>500</v>
      </c>
      <c r="E18">
        <v>6.4722997312794099</v>
      </c>
      <c r="F18">
        <v>37.209898678787802</v>
      </c>
      <c r="G18">
        <v>2.1496440043624498</v>
      </c>
      <c r="H18">
        <v>1.39978383337849</v>
      </c>
      <c r="I18">
        <v>3.5183836489188001</v>
      </c>
      <c r="J18">
        <v>1.9070302809725299</v>
      </c>
      <c r="K18">
        <f>$O$2*Table120[[#This Row],[R(ao)]]^($P$2)*EXP(Table120[[#This Row],[T(K)]]*$Q$2)</f>
        <v>1.7433019927799414</v>
      </c>
      <c r="L18">
        <f>(Table120[[#This Row],[a_rho pred]]-Table120[[#This Row],[a_rho]])^2</f>
        <v>2.6806952354475333E-2</v>
      </c>
      <c r="S18" s="8">
        <v>110</v>
      </c>
      <c r="T18" s="9">
        <v>4</v>
      </c>
      <c r="U18" s="9">
        <v>500</v>
      </c>
      <c r="V18" s="9">
        <v>8.6403234385068099</v>
      </c>
      <c r="W18" s="9">
        <v>37.295747593939303</v>
      </c>
      <c r="X18" s="9">
        <v>2.2307611496558502</v>
      </c>
      <c r="Y18" s="9">
        <v>1.4522039845741801</v>
      </c>
      <c r="Z18" s="9">
        <v>3.5143489769496701</v>
      </c>
      <c r="AA18" s="10">
        <v>1.8703239363325299</v>
      </c>
      <c r="AB18">
        <f t="shared" si="0"/>
        <v>2.2069762299786477</v>
      </c>
      <c r="AC18">
        <f t="shared" si="1"/>
        <v>0.11333476681719194</v>
      </c>
    </row>
    <row r="19" spans="2:29" x14ac:dyDescent="0.3">
      <c r="B19">
        <v>100</v>
      </c>
      <c r="C19">
        <v>4</v>
      </c>
      <c r="D19">
        <v>1000</v>
      </c>
      <c r="E19">
        <v>4.8172790003394699</v>
      </c>
      <c r="F19">
        <v>31.911139860151501</v>
      </c>
      <c r="G19">
        <v>2.3364256688114402</v>
      </c>
      <c r="H19">
        <v>1.05070848753989</v>
      </c>
      <c r="I19">
        <v>3.2523060525854102</v>
      </c>
      <c r="J19">
        <v>2.0689651452311</v>
      </c>
      <c r="K19">
        <f>$O$2*Table120[[#This Row],[R(ao)]]^($P$2)*EXP(Table120[[#This Row],[T(K)]]*$Q$2)</f>
        <v>1.9348144510887322</v>
      </c>
      <c r="L19">
        <f>(Table120[[#This Row],[a_rho pred]]-Table120[[#This Row],[a_rho]])^2</f>
        <v>1.7996408738879113E-2</v>
      </c>
      <c r="S19" s="5">
        <v>110</v>
      </c>
      <c r="T19" s="6">
        <v>4</v>
      </c>
      <c r="U19" s="6">
        <v>1000</v>
      </c>
      <c r="V19" s="6">
        <v>7.4863922622541601</v>
      </c>
      <c r="W19" s="6">
        <v>32.045970122575703</v>
      </c>
      <c r="X19" s="6">
        <v>2.3494714868673099</v>
      </c>
      <c r="Y19" s="6">
        <v>1.3376697832860101</v>
      </c>
      <c r="Z19" s="6">
        <v>3.24130686371111</v>
      </c>
      <c r="AA19" s="7">
        <v>2.1644097021986601</v>
      </c>
      <c r="AB19">
        <f t="shared" si="0"/>
        <v>2.1895232488235692</v>
      </c>
      <c r="AC19">
        <f t="shared" si="1"/>
        <v>6.3069022408148107E-4</v>
      </c>
    </row>
    <row r="20" spans="2:29" x14ac:dyDescent="0.3">
      <c r="B20">
        <v>100</v>
      </c>
      <c r="C20">
        <v>4</v>
      </c>
      <c r="D20">
        <v>1500</v>
      </c>
      <c r="E20">
        <v>3.3023887897462001</v>
      </c>
      <c r="F20">
        <v>27.4015136460606</v>
      </c>
      <c r="G20">
        <v>2.4922487904066601</v>
      </c>
      <c r="H20">
        <v>0.7089662863724</v>
      </c>
      <c r="I20">
        <v>2.9789941421977599</v>
      </c>
      <c r="J20">
        <v>2.1636276488749502</v>
      </c>
      <c r="K20">
        <f>$O$2*Table120[[#This Row],[R(ao)]]^($P$2)*EXP(Table120[[#This Row],[T(K)]]*$Q$2)</f>
        <v>2.1473657321828914</v>
      </c>
      <c r="L20">
        <f>(Table120[[#This Row],[a_rho pred]]-Table120[[#This Row],[a_rho]])^2</f>
        <v>2.6444993449946017E-4</v>
      </c>
      <c r="S20" s="8">
        <v>110</v>
      </c>
      <c r="T20" s="9">
        <v>4</v>
      </c>
      <c r="U20" s="9">
        <v>1500</v>
      </c>
      <c r="V20" s="9">
        <v>5.3881873237563402</v>
      </c>
      <c r="W20" s="9">
        <v>27.6151055918181</v>
      </c>
      <c r="X20" s="9">
        <v>2.31390130435652</v>
      </c>
      <c r="Y20" s="9">
        <v>0.99311152509896905</v>
      </c>
      <c r="Z20" s="9">
        <v>2.9749875643070598</v>
      </c>
      <c r="AA20" s="10">
        <v>2.0130874146964302</v>
      </c>
      <c r="AB20">
        <f t="shared" si="0"/>
        <v>2.1722082875289046</v>
      </c>
      <c r="AC20">
        <f t="shared" si="1"/>
        <v>2.5319452170968506E-2</v>
      </c>
    </row>
    <row r="21" spans="2:29" x14ac:dyDescent="0.3">
      <c r="B21">
        <v>100</v>
      </c>
      <c r="C21">
        <v>4</v>
      </c>
      <c r="D21">
        <v>2000</v>
      </c>
      <c r="E21">
        <v>1.3450059512694701</v>
      </c>
      <c r="F21">
        <v>24.008469821060601</v>
      </c>
      <c r="G21">
        <v>2.6235122738626102</v>
      </c>
      <c r="H21">
        <v>0.348569685825595</v>
      </c>
      <c r="I21">
        <v>2.71829570073464</v>
      </c>
      <c r="J21">
        <v>2.24910715449955</v>
      </c>
      <c r="K21">
        <f>$O$2*Table120[[#This Row],[R(ao)]]^($P$2)*EXP(Table120[[#This Row],[T(K)]]*$Q$2)</f>
        <v>2.3832670802921823</v>
      </c>
      <c r="L21">
        <f>(Table120[[#This Row],[a_rho pred]]-Table120[[#This Row],[a_rho]])^2</f>
        <v>1.7998885688684591E-2</v>
      </c>
      <c r="S21" s="5">
        <v>110</v>
      </c>
      <c r="T21" s="6">
        <v>4</v>
      </c>
      <c r="U21" s="6">
        <v>2000</v>
      </c>
      <c r="V21" s="6">
        <v>4.4819066287711804</v>
      </c>
      <c r="W21" s="6">
        <v>24.284387221666599</v>
      </c>
      <c r="X21" s="6">
        <v>2.5066143811223598</v>
      </c>
      <c r="Y21" s="6">
        <v>0.79638290010602197</v>
      </c>
      <c r="Z21" s="6">
        <v>2.7267401132220899</v>
      </c>
      <c r="AA21" s="7">
        <v>2.2240596970790301</v>
      </c>
      <c r="AB21">
        <f t="shared" si="0"/>
        <v>2.1550302546202702</v>
      </c>
      <c r="AC21">
        <f t="shared" si="1"/>
        <v>4.7650639261672383E-3</v>
      </c>
    </row>
    <row r="22" spans="2:29" x14ac:dyDescent="0.3">
      <c r="B22">
        <v>100</v>
      </c>
      <c r="C22">
        <v>4</v>
      </c>
      <c r="D22">
        <v>2500</v>
      </c>
      <c r="E22">
        <v>1.3022767583499999</v>
      </c>
      <c r="F22">
        <v>21.139661948030302</v>
      </c>
      <c r="G22">
        <v>2.9820756376031898</v>
      </c>
      <c r="H22">
        <v>0.33471296296296199</v>
      </c>
      <c r="I22">
        <v>2.5102488722876002</v>
      </c>
      <c r="J22">
        <v>2.6883749253830702</v>
      </c>
      <c r="K22">
        <f>$O$2*Table120[[#This Row],[R(ao)]]^($P$2)*EXP(Table120[[#This Row],[T(K)]]*$Q$2)</f>
        <v>2.6450836440565224</v>
      </c>
      <c r="L22">
        <f>(Table120[[#This Row],[a_rho pred]]-Table120[[#This Row],[a_rho]])^2</f>
        <v>1.8741350388943065E-3</v>
      </c>
      <c r="S22" s="8">
        <v>110</v>
      </c>
      <c r="T22" s="9">
        <v>4</v>
      </c>
      <c r="U22" s="9">
        <v>2500</v>
      </c>
      <c r="V22" s="9">
        <v>3.84190099003421</v>
      </c>
      <c r="W22" s="9">
        <v>21.5010230271212</v>
      </c>
      <c r="X22" s="9">
        <v>2.6940043156601399</v>
      </c>
      <c r="Y22" s="9">
        <v>0.62146177945828096</v>
      </c>
      <c r="Z22" s="9">
        <v>2.5151068939545098</v>
      </c>
      <c r="AA22" s="10">
        <v>2.4262134399034898</v>
      </c>
      <c r="AB22">
        <f t="shared" si="0"/>
        <v>2.1379880672547649</v>
      </c>
      <c r="AC22">
        <f t="shared" si="1"/>
        <v>8.3073865438496361E-2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C689-82AD-40AB-B4B7-380D4EBF6322}">
  <dimension ref="A1:J46"/>
  <sheetViews>
    <sheetView workbookViewId="0">
      <selection activeCell="M1" sqref="M1"/>
    </sheetView>
  </sheetViews>
  <sheetFormatPr defaultRowHeight="14.4" x14ac:dyDescent="0.3"/>
  <sheetData>
    <row r="1" spans="1:10" ht="226.8" customHeight="1" x14ac:dyDescent="0.3">
      <c r="J1" t="s">
        <v>58</v>
      </c>
    </row>
    <row r="2" spans="1:10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</row>
    <row r="3" spans="1:10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-3.0639592862165301</v>
      </c>
      <c r="G3">
        <v>1.7805269034751501</v>
      </c>
      <c r="H3">
        <v>5.7174463924963899</v>
      </c>
      <c r="I3">
        <v>-0.680837895797611</v>
      </c>
    </row>
    <row r="4" spans="1:10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-1.2545682869318899</v>
      </c>
      <c r="G4">
        <v>1.52448359526946</v>
      </c>
      <c r="H4">
        <v>5.4619033090646703</v>
      </c>
      <c r="I4">
        <v>-0.29950782071523602</v>
      </c>
    </row>
    <row r="5" spans="1:10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-1.82940567991059</v>
      </c>
      <c r="G5">
        <v>1.05270746011517</v>
      </c>
      <c r="H5">
        <v>4.9417855011150396</v>
      </c>
      <c r="I5">
        <v>-0.51433639341625403</v>
      </c>
    </row>
    <row r="6" spans="1:10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-1.27494383024921</v>
      </c>
      <c r="G6">
        <v>0.78681743658388403</v>
      </c>
      <c r="H6">
        <v>4.6280308277581002</v>
      </c>
      <c r="I6">
        <v>-0.19413447211668999</v>
      </c>
    </row>
    <row r="7" spans="1:10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0.39412502121464699</v>
      </c>
      <c r="G7">
        <v>0.61247407166907097</v>
      </c>
      <c r="H7">
        <v>4.2249616822571303</v>
      </c>
      <c r="I7">
        <v>0.399389458115669</v>
      </c>
    </row>
    <row r="8" spans="1:10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-0.34311488076490498</v>
      </c>
      <c r="G8">
        <v>1.4353258976085499</v>
      </c>
      <c r="H8">
        <v>4.4933293849343903</v>
      </c>
      <c r="I8">
        <v>0.12147561994367501</v>
      </c>
    </row>
    <row r="9" spans="1:10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0.13178078432088799</v>
      </c>
      <c r="G9">
        <v>1.1983958301855899</v>
      </c>
      <c r="H9">
        <v>4.1407165728614199</v>
      </c>
      <c r="I9">
        <v>0.28724074745922901</v>
      </c>
    </row>
    <row r="10" spans="1:10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0.65486360537229804</v>
      </c>
      <c r="G10">
        <v>1.01640261263089</v>
      </c>
      <c r="H10">
        <v>3.73823132574043</v>
      </c>
      <c r="I10">
        <v>0.54234788885749896</v>
      </c>
    </row>
    <row r="11" spans="1:10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0.63562656121260697</v>
      </c>
      <c r="G11">
        <v>0.79288552264530698</v>
      </c>
      <c r="H11">
        <v>3.4606612192424602</v>
      </c>
      <c r="I11">
        <v>0.59714930028636704</v>
      </c>
    </row>
    <row r="12" spans="1:10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2.2264616189631199</v>
      </c>
      <c r="G12">
        <v>0.70347678721266305</v>
      </c>
      <c r="H12">
        <v>3.1608122907983001</v>
      </c>
      <c r="I12">
        <v>1.34561466175779</v>
      </c>
    </row>
    <row r="13" spans="1:10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8.9066753198056903E-2</v>
      </c>
      <c r="G13">
        <v>1.33891259050426</v>
      </c>
      <c r="H13">
        <v>3.8549523475830001</v>
      </c>
      <c r="I13">
        <v>0.43790946815583598</v>
      </c>
    </row>
    <row r="14" spans="1:10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0.47250736208501098</v>
      </c>
      <c r="G14">
        <v>1.0740450425230601</v>
      </c>
      <c r="H14">
        <v>3.5285528061407798</v>
      </c>
      <c r="I14">
        <v>0.70863290279662605</v>
      </c>
    </row>
    <row r="15" spans="1:10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0.59269611213590001</v>
      </c>
      <c r="G15">
        <v>0.79689930934966602</v>
      </c>
      <c r="H15">
        <v>3.1969493628966599</v>
      </c>
      <c r="I15">
        <v>0.70939601504666305</v>
      </c>
    </row>
    <row r="16" spans="1:10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0.41317138465693898</v>
      </c>
      <c r="G16">
        <v>0.51862118385605305</v>
      </c>
      <c r="H16">
        <v>2.9504476336276202</v>
      </c>
      <c r="I16">
        <v>0.55126358847103696</v>
      </c>
    </row>
    <row r="17" spans="1:9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0.98854137273126197</v>
      </c>
      <c r="G17">
        <v>0.46449383279055001</v>
      </c>
      <c r="H17">
        <v>2.69146716438381</v>
      </c>
      <c r="I17">
        <v>1.1883973490067199</v>
      </c>
    </row>
    <row r="18" spans="1:9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0.62832076279901705</v>
      </c>
      <c r="G18">
        <v>1.39978383337849</v>
      </c>
      <c r="H18">
        <v>3.5183836489188001</v>
      </c>
      <c r="I18">
        <v>1.4587862262967599</v>
      </c>
    </row>
    <row r="19" spans="1:9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0.77744158232054095</v>
      </c>
      <c r="G19">
        <v>1.05070848753989</v>
      </c>
      <c r="H19">
        <v>3.2523060525854102</v>
      </c>
      <c r="I19">
        <v>1.42961886514237</v>
      </c>
    </row>
    <row r="20" spans="1:9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0.75251864652243206</v>
      </c>
      <c r="G20">
        <v>0.7089662863724</v>
      </c>
      <c r="H20">
        <v>2.9789941421977599</v>
      </c>
      <c r="I20">
        <v>1.0618214182144601</v>
      </c>
    </row>
    <row r="21" spans="1:9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0.46747260152818099</v>
      </c>
      <c r="G21">
        <v>0.348569685825595</v>
      </c>
      <c r="H21">
        <v>2.71829570073464</v>
      </c>
      <c r="I21">
        <v>0.59867738539457604</v>
      </c>
    </row>
    <row r="22" spans="1:9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0.92097714757956695</v>
      </c>
      <c r="G22">
        <v>0.33471296296296199</v>
      </c>
      <c r="H22">
        <v>2.5102488722876002</v>
      </c>
      <c r="I22">
        <v>1.2920208940698199</v>
      </c>
    </row>
    <row r="23" spans="1:9" x14ac:dyDescent="0.3">
      <c r="A23">
        <v>100</v>
      </c>
      <c r="B23">
        <v>5</v>
      </c>
      <c r="C23">
        <v>500</v>
      </c>
      <c r="D23">
        <v>32.282554088333299</v>
      </c>
      <c r="E23">
        <v>32.475539339999997</v>
      </c>
      <c r="F23">
        <v>-6217.86362275396</v>
      </c>
      <c r="G23">
        <v>3.25500985382673</v>
      </c>
      <c r="H23">
        <v>3.2692510372910299</v>
      </c>
      <c r="I23">
        <v>-8313.1128450660599</v>
      </c>
    </row>
    <row r="24" spans="1:9" x14ac:dyDescent="0.3">
      <c r="A24">
        <v>100</v>
      </c>
      <c r="B24">
        <v>5</v>
      </c>
      <c r="C24">
        <v>2500</v>
      </c>
      <c r="D24">
        <v>18.4262436166666</v>
      </c>
      <c r="E24">
        <v>18.448552741111101</v>
      </c>
      <c r="F24">
        <v>-2989.18050221775</v>
      </c>
      <c r="G24">
        <v>2.32756415216899</v>
      </c>
      <c r="H24">
        <v>2.3282538582025598</v>
      </c>
      <c r="I24">
        <v>1</v>
      </c>
    </row>
    <row r="25" spans="1:9" x14ac:dyDescent="0.3">
      <c r="A25">
        <v>100</v>
      </c>
      <c r="B25">
        <v>6</v>
      </c>
      <c r="C25">
        <v>500</v>
      </c>
      <c r="D25">
        <v>26.9970652083333</v>
      </c>
      <c r="E25">
        <v>27.079947847777699</v>
      </c>
      <c r="F25">
        <v>-12099.813127534901</v>
      </c>
      <c r="G25">
        <v>2.9591403261824198</v>
      </c>
      <c r="H25">
        <v>2.9615035911824501</v>
      </c>
      <c r="I25">
        <v>-46565.284884338602</v>
      </c>
    </row>
    <row r="26" spans="1:9" x14ac:dyDescent="0.3">
      <c r="A26">
        <v>100</v>
      </c>
      <c r="B26">
        <v>6</v>
      </c>
      <c r="C26">
        <v>2500</v>
      </c>
      <c r="D26">
        <v>16.340238518333301</v>
      </c>
      <c r="E26">
        <v>16.522505253888799</v>
      </c>
      <c r="F26">
        <v>-3361.7813995416</v>
      </c>
      <c r="G26">
        <v>2.17630016194809</v>
      </c>
      <c r="H26">
        <v>2.1977976354319599</v>
      </c>
      <c r="I26">
        <v>-3795.5092202988499</v>
      </c>
    </row>
    <row r="27" spans="1:9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-0.72748571713329102</v>
      </c>
      <c r="G27">
        <v>2.5886822361941402</v>
      </c>
      <c r="H27">
        <v>5.83584206677161</v>
      </c>
      <c r="I27">
        <v>1.3967274664017599</v>
      </c>
    </row>
    <row r="28" spans="1:9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-2.5446273929788901</v>
      </c>
      <c r="G28">
        <v>1.6681911472192399</v>
      </c>
      <c r="H28">
        <v>5.4113362160566698</v>
      </c>
      <c r="I28">
        <v>-0.43010495005923099</v>
      </c>
    </row>
    <row r="29" spans="1:9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-1.91161102566042</v>
      </c>
      <c r="G29">
        <v>1.29195428868517</v>
      </c>
      <c r="H29">
        <v>5.0469736422668197</v>
      </c>
      <c r="I29">
        <v>-0.60906018720856603</v>
      </c>
    </row>
    <row r="30" spans="1:9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-1.5793682050025899</v>
      </c>
      <c r="G30">
        <v>1.05080714795866</v>
      </c>
      <c r="H30">
        <v>4.6836377508854703</v>
      </c>
      <c r="I30">
        <v>-0.46265631747909203</v>
      </c>
    </row>
    <row r="31" spans="1:9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-1.1632897907881099</v>
      </c>
      <c r="G31">
        <v>1.0006699945887401</v>
      </c>
      <c r="H31">
        <v>4.23501931654204</v>
      </c>
      <c r="I31">
        <v>-4.8331846037699099E-2</v>
      </c>
    </row>
    <row r="32" spans="1:9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1.5213786653682499</v>
      </c>
      <c r="G32">
        <v>2.1167485383282001</v>
      </c>
      <c r="H32">
        <v>4.5018395086386596</v>
      </c>
      <c r="I32">
        <v>2.4909738118676099</v>
      </c>
    </row>
    <row r="33" spans="1:9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1.1660801143805899</v>
      </c>
      <c r="G33">
        <v>1.7719903046463199</v>
      </c>
      <c r="H33">
        <v>4.0859314651361798</v>
      </c>
      <c r="I33">
        <v>1.74057666016901</v>
      </c>
    </row>
    <row r="34" spans="1:9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-0.33054830693300202</v>
      </c>
      <c r="G34">
        <v>1.2277035528868701</v>
      </c>
      <c r="H34">
        <v>3.7475995846554802</v>
      </c>
      <c r="I34">
        <v>-0.25521371776884999</v>
      </c>
    </row>
    <row r="35" spans="1:9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1.44714727128862</v>
      </c>
      <c r="G35">
        <v>0.97630376102077798</v>
      </c>
      <c r="H35">
        <v>3.4399342176330201</v>
      </c>
      <c r="I35">
        <v>0.52206524155188805</v>
      </c>
    </row>
    <row r="36" spans="1:9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1.14950451787921</v>
      </c>
      <c r="G36">
        <v>0.73595834237968005</v>
      </c>
      <c r="H36">
        <v>3.1161673525534099</v>
      </c>
      <c r="I36">
        <v>0.39894682894482503</v>
      </c>
    </row>
    <row r="37" spans="1:9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1.8771526257105899</v>
      </c>
      <c r="G37">
        <v>1.98065622473133</v>
      </c>
      <c r="H37">
        <v>3.8643627782451899</v>
      </c>
      <c r="I37">
        <v>4.01437772311629</v>
      </c>
    </row>
    <row r="38" spans="1:9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1.3735819730480101</v>
      </c>
      <c r="G38">
        <v>1.5671124781375301</v>
      </c>
      <c r="H38">
        <v>3.5275192877459798</v>
      </c>
      <c r="I38">
        <v>2.4455288299246498</v>
      </c>
    </row>
    <row r="39" spans="1:9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0.276129393150781</v>
      </c>
      <c r="G39">
        <v>1.03946478552786</v>
      </c>
      <c r="H39">
        <v>3.2084982031034102</v>
      </c>
      <c r="I39">
        <v>5.0009616928881701E-2</v>
      </c>
    </row>
    <row r="40" spans="1:9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1.44682695082506</v>
      </c>
      <c r="G40">
        <v>0.98087451540237203</v>
      </c>
      <c r="H40">
        <v>2.9467332525354601</v>
      </c>
      <c r="I40">
        <v>0.96893037875749299</v>
      </c>
    </row>
    <row r="41" spans="1:9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1.56195858507774</v>
      </c>
      <c r="G41">
        <v>0.69350996440117196</v>
      </c>
      <c r="H41">
        <v>2.7148923891940502</v>
      </c>
      <c r="I41">
        <v>1.18398439500529</v>
      </c>
    </row>
    <row r="42" spans="1:9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1.0641017856180299</v>
      </c>
      <c r="G42">
        <v>1.4522039845741801</v>
      </c>
      <c r="H42">
        <v>3.5143489769496701</v>
      </c>
      <c r="I42">
        <v>1.2096630869232801</v>
      </c>
    </row>
    <row r="43" spans="1:9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1.2817382419598999</v>
      </c>
      <c r="G43">
        <v>1.3376697832860101</v>
      </c>
      <c r="H43">
        <v>3.24130686371111</v>
      </c>
      <c r="I43">
        <v>2.23693449782043</v>
      </c>
    </row>
    <row r="44" spans="1:9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0.99368630135239699</v>
      </c>
      <c r="G44">
        <v>0.99311152509896905</v>
      </c>
      <c r="H44">
        <v>2.9749875643070598</v>
      </c>
      <c r="I44">
        <v>1.1320072792853499</v>
      </c>
    </row>
    <row r="45" spans="1:9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1.1747385534316099</v>
      </c>
      <c r="G45">
        <v>0.79638290010602197</v>
      </c>
      <c r="H45">
        <v>2.7267401132220899</v>
      </c>
      <c r="I45">
        <v>1.44685149101321</v>
      </c>
    </row>
    <row r="46" spans="1:9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1.38815527916363</v>
      </c>
      <c r="G46">
        <v>0.62146177945828096</v>
      </c>
      <c r="H46">
        <v>2.5151068939545098</v>
      </c>
      <c r="I46">
        <v>1.5374597313007701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B83C-57C7-472C-BA72-BBEBB5FF940C}">
  <dimension ref="A1:K46"/>
  <sheetViews>
    <sheetView workbookViewId="0">
      <selection activeCell="Q1" sqref="Q1"/>
    </sheetView>
  </sheetViews>
  <sheetFormatPr defaultRowHeight="14.4" x14ac:dyDescent="0.3"/>
  <sheetData>
    <row r="1" spans="1:11" ht="224.4" customHeight="1" x14ac:dyDescent="0.3"/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  <c r="J2" t="s">
        <v>9</v>
      </c>
      <c r="K2" t="s">
        <v>10</v>
      </c>
    </row>
    <row r="3" spans="1:11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  <c r="J3">
        <f>LN(Table13[[#This Row],[R(ao)]])</f>
        <v>0</v>
      </c>
      <c r="K3">
        <f>LN(Table13[[#This Row],[P0]])</f>
        <v>3.6632514658121438</v>
      </c>
    </row>
    <row r="4" spans="1:11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  <c r="J4">
        <f>LN(Table13[[#This Row],[R(ao)]])</f>
        <v>0</v>
      </c>
      <c r="K4">
        <f>LN(Table13[[#This Row],[P0]])</f>
        <v>3.5986671542570967</v>
      </c>
    </row>
    <row r="5" spans="1:11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  <c r="J5">
        <f>LN(Table13[[#This Row],[R(ao)]])</f>
        <v>0</v>
      </c>
      <c r="K5">
        <f>LN(Table13[[#This Row],[P0]])</f>
        <v>3.2956498239169632</v>
      </c>
    </row>
    <row r="6" spans="1:11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  <c r="J6">
        <f>LN(Table13[[#This Row],[R(ao)]])</f>
        <v>0</v>
      </c>
      <c r="K6">
        <f>LN(Table13[[#This Row],[P0]])</f>
        <v>2.9731342916277059</v>
      </c>
    </row>
    <row r="7" spans="1:1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  <c r="J7">
        <f>LN(Table13[[#This Row],[R(ao)]])</f>
        <v>0</v>
      </c>
      <c r="K7">
        <f>LN(Table13[[#This Row],[P0]])</f>
        <v>2.5765472867814765</v>
      </c>
    </row>
    <row r="8" spans="1:11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  <c r="J8">
        <f>LN(Table13[[#This Row],[R(ao)]])</f>
        <v>0.69314718055994529</v>
      </c>
      <c r="K8">
        <f>LN(Table13[[#This Row],[P0]])</f>
        <v>2.5918756584222571</v>
      </c>
    </row>
    <row r="9" spans="1:11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  <c r="J9">
        <f>LN(Table13[[#This Row],[R(ao)]])</f>
        <v>0.69314718055994529</v>
      </c>
      <c r="K9">
        <f>LN(Table13[[#This Row],[P0]])</f>
        <v>2.4944939971534792</v>
      </c>
    </row>
    <row r="10" spans="1:11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  <c r="J10">
        <f>LN(Table13[[#This Row],[R(ao)]])</f>
        <v>0.69314718055994529</v>
      </c>
      <c r="K10">
        <f>LN(Table13[[#This Row],[P0]])</f>
        <v>2.4367499981081329</v>
      </c>
    </row>
    <row r="11" spans="1:11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  <c r="J11">
        <f>LN(Table13[[#This Row],[R(ao)]])</f>
        <v>0.69314718055994529</v>
      </c>
      <c r="K11">
        <f>LN(Table13[[#This Row],[P0]])</f>
        <v>2.2544697730922691</v>
      </c>
    </row>
    <row r="12" spans="1:1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  <c r="J12">
        <f>LN(Table13[[#This Row],[R(ao)]])</f>
        <v>0.69314718055994529</v>
      </c>
      <c r="K12">
        <f>LN(Table13[[#This Row],[P0]])</f>
        <v>2.3039368677824155</v>
      </c>
    </row>
    <row r="13" spans="1:11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  <c r="J13">
        <f>LN(Table13[[#This Row],[R(ao)]])</f>
        <v>1.0986122886681098</v>
      </c>
      <c r="K13">
        <f>LN(Table13[[#This Row],[P0]])</f>
        <v>2.0487598623261993</v>
      </c>
    </row>
    <row r="14" spans="1:11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  <c r="J14">
        <f>LN(Table13[[#This Row],[R(ao)]])</f>
        <v>1.0986122886681098</v>
      </c>
      <c r="K14">
        <f>LN(Table13[[#This Row],[P0]])</f>
        <v>1.8830360711565306</v>
      </c>
    </row>
    <row r="15" spans="1:11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  <c r="J15">
        <f>LN(Table13[[#This Row],[R(ao)]])</f>
        <v>1.0986122886681098</v>
      </c>
      <c r="K15">
        <f>LN(Table13[[#This Row],[P0]])</f>
        <v>1.6086422529908346</v>
      </c>
    </row>
    <row r="16" spans="1:11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  <c r="J16">
        <f>LN(Table13[[#This Row],[R(ao)]])</f>
        <v>1.0986122886681098</v>
      </c>
      <c r="K16">
        <f>LN(Table13[[#This Row],[P0]])</f>
        <v>1.0751855075491119</v>
      </c>
    </row>
    <row r="17" spans="1:1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  <c r="J17">
        <f>LN(Table13[[#This Row],[R(ao)]])</f>
        <v>1.0986122886681098</v>
      </c>
      <c r="K17">
        <f>LN(Table13[[#This Row],[P0]])</f>
        <v>1.0191804627898642</v>
      </c>
    </row>
    <row r="18" spans="1:11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  <c r="J18">
        <f>LN(Table13[[#This Row],[R(ao)]])</f>
        <v>1.3862943611198906</v>
      </c>
      <c r="K18">
        <f>LN(Table13[[#This Row],[P0]])</f>
        <v>1.8675314906862039</v>
      </c>
    </row>
    <row r="19" spans="1:11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  <c r="J19">
        <f>LN(Table13[[#This Row],[R(ao)]])</f>
        <v>1.3862943611198906</v>
      </c>
      <c r="K19">
        <f>LN(Table13[[#This Row],[P0]])</f>
        <v>1.5722092459083994</v>
      </c>
    </row>
    <row r="20" spans="1:11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  <c r="J20">
        <f>LN(Table13[[#This Row],[R(ao)]])</f>
        <v>1.3862943611198906</v>
      </c>
      <c r="K20">
        <f>LN(Table13[[#This Row],[P0]])</f>
        <v>1.1946460822814682</v>
      </c>
    </row>
    <row r="21" spans="1:11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  <c r="J21">
        <f>LN(Table13[[#This Row],[R(ao)]])</f>
        <v>1.3862943611198906</v>
      </c>
      <c r="K21">
        <f>LN(Table13[[#This Row],[P0]])</f>
        <v>0.29639843777967884</v>
      </c>
    </row>
    <row r="22" spans="1:1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  <c r="J22">
        <f>LN(Table13[[#This Row],[R(ao)]])</f>
        <v>1.3862943611198906</v>
      </c>
      <c r="K22">
        <f>LN(Table13[[#This Row],[P0]])</f>
        <v>0.26411408521474483</v>
      </c>
    </row>
    <row r="23" spans="1:11" hidden="1" x14ac:dyDescent="0.3">
      <c r="A23">
        <v>100</v>
      </c>
      <c r="B23">
        <v>5</v>
      </c>
      <c r="C23">
        <v>500</v>
      </c>
      <c r="E23">
        <v>32.475539339999997</v>
      </c>
      <c r="H23">
        <v>3.2692510372910299</v>
      </c>
      <c r="J23">
        <f>LN(Table13[[#This Row],[R(ao)]])</f>
        <v>1.6094379124341003</v>
      </c>
      <c r="K23" t="e">
        <f>LN(Table13[[#This Row],[P0]])</f>
        <v>#NUM!</v>
      </c>
    </row>
    <row r="24" spans="1:11" x14ac:dyDescent="0.3">
      <c r="A24">
        <v>100</v>
      </c>
      <c r="B24">
        <v>5</v>
      </c>
      <c r="C24">
        <v>2500</v>
      </c>
      <c r="E24">
        <v>18.448552741111101</v>
      </c>
      <c r="H24">
        <v>2.3282538582025598</v>
      </c>
      <c r="J24">
        <f>LN(Table13[[#This Row],[R(ao)]])</f>
        <v>1.6094379124341003</v>
      </c>
      <c r="K24" t="e">
        <f>LN(Table13[[#This Row],[P0]])</f>
        <v>#NUM!</v>
      </c>
    </row>
    <row r="25" spans="1:11" hidden="1" x14ac:dyDescent="0.3">
      <c r="A25">
        <v>100</v>
      </c>
      <c r="B25">
        <v>6</v>
      </c>
      <c r="C25">
        <v>500</v>
      </c>
      <c r="E25">
        <v>27.079947847777699</v>
      </c>
      <c r="H25">
        <v>2.9615035911824501</v>
      </c>
      <c r="J25">
        <f>LN(Table13[[#This Row],[R(ao)]])</f>
        <v>1.791759469228055</v>
      </c>
      <c r="K25" t="e">
        <f>LN(Table13[[#This Row],[P0]])</f>
        <v>#NUM!</v>
      </c>
    </row>
    <row r="26" spans="1:11" x14ac:dyDescent="0.3">
      <c r="A26">
        <v>100</v>
      </c>
      <c r="B26">
        <v>6</v>
      </c>
      <c r="C26">
        <v>2500</v>
      </c>
      <c r="E26">
        <v>16.522505253888799</v>
      </c>
      <c r="H26">
        <v>2.1977976354319599</v>
      </c>
      <c r="J26">
        <f>LN(Table13[[#This Row],[R(ao)]])</f>
        <v>1.791759469228055</v>
      </c>
      <c r="K26" t="e">
        <f>LN(Table13[[#This Row],[P0]])</f>
        <v>#NUM!</v>
      </c>
    </row>
    <row r="27" spans="1:11" hidden="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1.0312647741452401</v>
      </c>
      <c r="G27">
        <v>2.5886822361941402</v>
      </c>
      <c r="H27">
        <v>5.83584206677161</v>
      </c>
      <c r="I27">
        <v>1.7439489115946001</v>
      </c>
      <c r="J27">
        <f>LN(Table13[[#This Row],[R(ao)]])</f>
        <v>0</v>
      </c>
      <c r="K27">
        <f>LN(Table13[[#This Row],[P0]])</f>
        <v>4.0479884294743345</v>
      </c>
    </row>
    <row r="28" spans="1:11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0.73926540807119001</v>
      </c>
      <c r="G28">
        <v>1.6681911472192399</v>
      </c>
      <c r="H28">
        <v>5.4113362160566698</v>
      </c>
      <c r="I28">
        <v>1.27635381978995</v>
      </c>
      <c r="J28">
        <f>LN(Table13[[#This Row],[R(ao)]])</f>
        <v>0</v>
      </c>
      <c r="K28">
        <f>LN(Table13[[#This Row],[P0]])</f>
        <v>3.6239873279241763</v>
      </c>
    </row>
    <row r="29" spans="1:11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0.79821700722667299</v>
      </c>
      <c r="G29">
        <v>1.29195428868517</v>
      </c>
      <c r="H29">
        <v>5.0469736422668197</v>
      </c>
      <c r="I29">
        <v>1.1870163692771201</v>
      </c>
      <c r="J29">
        <f>LN(Table13[[#This Row],[R(ao)]])</f>
        <v>0</v>
      </c>
      <c r="K29">
        <f>LN(Table13[[#This Row],[P0]])</f>
        <v>3.3932277572562182</v>
      </c>
    </row>
    <row r="30" spans="1:11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0.83943070478818405</v>
      </c>
      <c r="G30">
        <v>1.05080714795866</v>
      </c>
      <c r="H30">
        <v>4.6836377508854703</v>
      </c>
      <c r="I30">
        <v>1.2559956537835</v>
      </c>
      <c r="J30">
        <f>LN(Table13[[#This Row],[R(ao)]])</f>
        <v>0</v>
      </c>
      <c r="K30">
        <f>LN(Table13[[#This Row],[P0]])</f>
        <v>3.233241347545265</v>
      </c>
    </row>
    <row r="31" spans="1:11" hidden="1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1.01519197215941</v>
      </c>
      <c r="G31">
        <v>1.0006699945887401</v>
      </c>
      <c r="H31">
        <v>4.23501931654204</v>
      </c>
      <c r="I31">
        <v>1.35253992325525</v>
      </c>
      <c r="J31">
        <f>LN(Table13[[#This Row],[R(ao)]])</f>
        <v>0</v>
      </c>
      <c r="K31">
        <f>LN(Table13[[#This Row],[P0]])</f>
        <v>3.083539425546113</v>
      </c>
    </row>
    <row r="32" spans="1:11" hidden="1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1.7590441166728701</v>
      </c>
      <c r="G32">
        <v>2.1167485383282001</v>
      </c>
      <c r="H32">
        <v>4.5018395086386596</v>
      </c>
      <c r="I32">
        <v>1.99997147662459</v>
      </c>
      <c r="J32">
        <f>LN(Table13[[#This Row],[R(ao)]])</f>
        <v>0.69314718055994529</v>
      </c>
      <c r="K32">
        <f>LN(Table13[[#This Row],[P0]])</f>
        <v>3.2271080259047928</v>
      </c>
    </row>
    <row r="33" spans="1:11" hidden="1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1.71642862674407</v>
      </c>
      <c r="G33">
        <v>1.7719903046463199</v>
      </c>
      <c r="H33">
        <v>4.0859314651361798</v>
      </c>
      <c r="I33">
        <v>1.8463729498725401</v>
      </c>
      <c r="J33">
        <f>LN(Table13[[#This Row],[R(ao)]])</f>
        <v>0.69314718055994529</v>
      </c>
      <c r="K33">
        <f>LN(Table13[[#This Row],[P0]])</f>
        <v>2.986401326482758</v>
      </c>
    </row>
    <row r="34" spans="1:11" hidden="1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1.34673078210956</v>
      </c>
      <c r="G34">
        <v>1.2277035528868701</v>
      </c>
      <c r="H34">
        <v>3.7475995846554802</v>
      </c>
      <c r="I34">
        <v>1.42916325231605</v>
      </c>
      <c r="J34">
        <f>LN(Table13[[#This Row],[R(ao)]])</f>
        <v>0.69314718055994529</v>
      </c>
      <c r="K34">
        <f>LN(Table13[[#This Row],[P0]])</f>
        <v>2.6558571069027477</v>
      </c>
    </row>
    <row r="35" spans="1:11" hidden="1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1.8654282014749799</v>
      </c>
      <c r="G35">
        <v>0.97630376102077798</v>
      </c>
      <c r="H35">
        <v>3.4399342176330201</v>
      </c>
      <c r="I35">
        <v>1.7345285214649</v>
      </c>
      <c r="J35">
        <f>LN(Table13[[#This Row],[R(ao)]])</f>
        <v>0.69314718055994529</v>
      </c>
      <c r="K35">
        <f>LN(Table13[[#This Row],[P0]])</f>
        <v>2.6325076766674562</v>
      </c>
    </row>
    <row r="36" spans="1:11" hidden="1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1.82191980185842</v>
      </c>
      <c r="G36">
        <v>0.73595834237968005</v>
      </c>
      <c r="H36">
        <v>3.1161673525534099</v>
      </c>
      <c r="I36">
        <v>1.7257716809789001</v>
      </c>
      <c r="J36">
        <f>LN(Table13[[#This Row],[R(ao)]])</f>
        <v>0.69314718055994529</v>
      </c>
      <c r="K36">
        <f>LN(Table13[[#This Row],[P0]])</f>
        <v>2.4336742970041216</v>
      </c>
    </row>
    <row r="37" spans="1:11" hidden="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2.1771258157546902</v>
      </c>
      <c r="G37">
        <v>1.98065622473133</v>
      </c>
      <c r="H37">
        <v>3.8643627782451899</v>
      </c>
      <c r="I37">
        <v>2.3749907745095098</v>
      </c>
      <c r="J37">
        <f>LN(Table13[[#This Row],[R(ao)]])</f>
        <v>1.0986122886681098</v>
      </c>
      <c r="K37">
        <f>LN(Table13[[#This Row],[P0]])</f>
        <v>2.75243942219242</v>
      </c>
    </row>
    <row r="38" spans="1:11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2.0887724737230799</v>
      </c>
      <c r="G38">
        <v>1.5671124781375301</v>
      </c>
      <c r="H38">
        <v>3.5275192877459798</v>
      </c>
      <c r="I38">
        <v>2.0904653787392502</v>
      </c>
      <c r="J38">
        <f>LN(Table13[[#This Row],[R(ao)]])</f>
        <v>1.0986122886681098</v>
      </c>
      <c r="K38">
        <f>LN(Table13[[#This Row],[P0]])</f>
        <v>2.4435776899357813</v>
      </c>
    </row>
    <row r="39" spans="1:11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1.8031873212866101</v>
      </c>
      <c r="G39">
        <v>1.03946478552786</v>
      </c>
      <c r="H39">
        <v>3.2084982031034102</v>
      </c>
      <c r="I39">
        <v>1.6084584716921499</v>
      </c>
      <c r="J39">
        <f>LN(Table13[[#This Row],[R(ao)]])</f>
        <v>1.0986122886681098</v>
      </c>
      <c r="K39">
        <f>LN(Table13[[#This Row],[P0]])</f>
        <v>1.9473908527701762</v>
      </c>
    </row>
    <row r="40" spans="1:11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2.1857902579310799</v>
      </c>
      <c r="G40">
        <v>0.98087451540237203</v>
      </c>
      <c r="H40">
        <v>2.9467332525354601</v>
      </c>
      <c r="I40">
        <v>1.85597030853824</v>
      </c>
      <c r="J40">
        <f>LN(Table13[[#This Row],[R(ao)]])</f>
        <v>1.0986122886681098</v>
      </c>
      <c r="K40">
        <f>LN(Table13[[#This Row],[P0]])</f>
        <v>2.0877160101508534</v>
      </c>
    </row>
    <row r="41" spans="1:11" hidden="1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2.4420614425269198</v>
      </c>
      <c r="G41">
        <v>0.69350996440117196</v>
      </c>
      <c r="H41">
        <v>2.7148923891940502</v>
      </c>
      <c r="I41">
        <v>2.1630238105382098</v>
      </c>
      <c r="J41">
        <f>LN(Table13[[#This Row],[R(ao)]])</f>
        <v>1.0986122886681098</v>
      </c>
      <c r="K41">
        <f>LN(Table13[[#This Row],[P0]])</f>
        <v>1.8407997628505419</v>
      </c>
    </row>
    <row r="42" spans="1:11" hidden="1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2.2307611496558502</v>
      </c>
      <c r="G42">
        <v>1.4522039845741801</v>
      </c>
      <c r="H42">
        <v>3.5143489769496701</v>
      </c>
      <c r="I42">
        <v>1.8703239363325299</v>
      </c>
      <c r="J42">
        <f>LN(Table13[[#This Row],[R(ao)]])</f>
        <v>1.3862943611198906</v>
      </c>
      <c r="K42">
        <f>LN(Table13[[#This Row],[P0]])</f>
        <v>2.1564400171276539</v>
      </c>
    </row>
    <row r="43" spans="1:11" hidden="1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2.3494714868673099</v>
      </c>
      <c r="G43">
        <v>1.3376697832860101</v>
      </c>
      <c r="H43">
        <v>3.24130686371111</v>
      </c>
      <c r="I43">
        <v>2.1644097021986601</v>
      </c>
      <c r="J43">
        <f>LN(Table13[[#This Row],[R(ao)]])</f>
        <v>1.3862943611198906</v>
      </c>
      <c r="K43">
        <f>LN(Table13[[#This Row],[P0]])</f>
        <v>2.013087007555622</v>
      </c>
    </row>
    <row r="44" spans="1:11" hidden="1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2.31390130435652</v>
      </c>
      <c r="G44">
        <v>0.99311152509896905</v>
      </c>
      <c r="H44">
        <v>2.9749875643070598</v>
      </c>
      <c r="I44">
        <v>2.0130874146964302</v>
      </c>
      <c r="J44">
        <f>LN(Table13[[#This Row],[R(ao)]])</f>
        <v>1.3862943611198906</v>
      </c>
      <c r="K44">
        <f>LN(Table13[[#This Row],[P0]])</f>
        <v>1.684209024787926</v>
      </c>
    </row>
    <row r="45" spans="1:11" hidden="1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2.5066143811223598</v>
      </c>
      <c r="G45">
        <v>0.79638290010602197</v>
      </c>
      <c r="H45">
        <v>2.7267401132220899</v>
      </c>
      <c r="I45">
        <v>2.2240596970790301</v>
      </c>
      <c r="J45">
        <f>LN(Table13[[#This Row],[R(ao)]])</f>
        <v>1.3862943611198906</v>
      </c>
      <c r="K45">
        <f>LN(Table13[[#This Row],[P0]])</f>
        <v>1.5000485426698082</v>
      </c>
    </row>
    <row r="46" spans="1:11" hidden="1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2.6940043156601399</v>
      </c>
      <c r="G46">
        <v>0.62146177945828096</v>
      </c>
      <c r="H46">
        <v>2.5151068939545098</v>
      </c>
      <c r="I46">
        <v>2.4262134399034898</v>
      </c>
      <c r="J46">
        <f>LN(Table13[[#This Row],[R(ao)]])</f>
        <v>1.3862943611198906</v>
      </c>
      <c r="K46">
        <f>LN(Table13[[#This Row],[P0]])</f>
        <v>1.3459672935911395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C7A7-EDF4-4202-9B39-D9A32577907F}">
  <dimension ref="A1:L46"/>
  <sheetViews>
    <sheetView workbookViewId="0">
      <selection activeCell="P44" sqref="P44"/>
    </sheetView>
  </sheetViews>
  <sheetFormatPr defaultRowHeight="14.4" x14ac:dyDescent="0.3"/>
  <sheetData>
    <row r="1" spans="1:12" ht="228" customHeight="1" x14ac:dyDescent="0.3"/>
    <row r="2" spans="1:12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  <c r="J2" t="s">
        <v>10</v>
      </c>
      <c r="K2" t="s">
        <v>18</v>
      </c>
      <c r="L2" t="s">
        <v>19</v>
      </c>
    </row>
    <row r="3" spans="1:12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  <c r="J3">
        <f>LN(Table14[[#This Row],[P0]])</f>
        <v>3.6632514658121438</v>
      </c>
      <c r="K3">
        <f>LN(Table14[[#This Row],[T(K)]])</f>
        <v>6.2146080984221914</v>
      </c>
      <c r="L3">
        <f>1/Table14[[#This Row],[T(K)]]</f>
        <v>2E-3</v>
      </c>
    </row>
    <row r="4" spans="1:12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  <c r="J4">
        <f>LN(Table14[[#This Row],[P0]])</f>
        <v>3.5986671542570967</v>
      </c>
      <c r="K4">
        <f>LN(Table14[[#This Row],[T(K)]])</f>
        <v>6.9077552789821368</v>
      </c>
      <c r="L4">
        <f>1/Table14[[#This Row],[T(K)]]</f>
        <v>1E-3</v>
      </c>
    </row>
    <row r="5" spans="1:12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  <c r="J5">
        <f>LN(Table14[[#This Row],[P0]])</f>
        <v>3.2956498239169632</v>
      </c>
      <c r="K5">
        <f>LN(Table14[[#This Row],[T(K)]])</f>
        <v>7.3132203870903014</v>
      </c>
      <c r="L5">
        <f>1/Table14[[#This Row],[T(K)]]</f>
        <v>6.6666666666666664E-4</v>
      </c>
    </row>
    <row r="6" spans="1:12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  <c r="J6">
        <f>LN(Table14[[#This Row],[P0]])</f>
        <v>2.9731342916277059</v>
      </c>
      <c r="K6">
        <f>LN(Table14[[#This Row],[T(K)]])</f>
        <v>7.6009024595420822</v>
      </c>
      <c r="L6">
        <f>1/Table14[[#This Row],[T(K)]]</f>
        <v>5.0000000000000001E-4</v>
      </c>
    </row>
    <row r="7" spans="1:12" hidden="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  <c r="J7">
        <f>LN(Table14[[#This Row],[P0]])</f>
        <v>2.5765472867814765</v>
      </c>
      <c r="K7">
        <f>LN(Table14[[#This Row],[T(K)]])</f>
        <v>7.8240460108562919</v>
      </c>
      <c r="L7">
        <f>1/Table14[[#This Row],[T(K)]]</f>
        <v>4.0000000000000002E-4</v>
      </c>
    </row>
    <row r="8" spans="1:12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  <c r="J8">
        <f>LN(Table14[[#This Row],[P0]])</f>
        <v>2.5918756584222571</v>
      </c>
      <c r="K8">
        <f>LN(Table14[[#This Row],[T(K)]])</f>
        <v>6.2146080984221914</v>
      </c>
      <c r="L8">
        <f>1/Table14[[#This Row],[T(K)]]</f>
        <v>2E-3</v>
      </c>
    </row>
    <row r="9" spans="1:12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  <c r="J9">
        <f>LN(Table14[[#This Row],[P0]])</f>
        <v>2.4944939971534792</v>
      </c>
      <c r="K9">
        <f>LN(Table14[[#This Row],[T(K)]])</f>
        <v>6.9077552789821368</v>
      </c>
      <c r="L9">
        <f>1/Table14[[#This Row],[T(K)]]</f>
        <v>1E-3</v>
      </c>
    </row>
    <row r="10" spans="1:12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  <c r="J10">
        <f>LN(Table14[[#This Row],[P0]])</f>
        <v>2.4367499981081329</v>
      </c>
      <c r="K10">
        <f>LN(Table14[[#This Row],[T(K)]])</f>
        <v>7.3132203870903014</v>
      </c>
      <c r="L10">
        <f>1/Table14[[#This Row],[T(K)]]</f>
        <v>6.6666666666666664E-4</v>
      </c>
    </row>
    <row r="11" spans="1:12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  <c r="J11">
        <f>LN(Table14[[#This Row],[P0]])</f>
        <v>2.2544697730922691</v>
      </c>
      <c r="K11">
        <f>LN(Table14[[#This Row],[T(K)]])</f>
        <v>7.6009024595420822</v>
      </c>
      <c r="L11">
        <f>1/Table14[[#This Row],[T(K)]]</f>
        <v>5.0000000000000001E-4</v>
      </c>
    </row>
    <row r="12" spans="1:12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  <c r="J12">
        <f>LN(Table14[[#This Row],[P0]])</f>
        <v>2.3039368677824155</v>
      </c>
      <c r="K12">
        <f>LN(Table14[[#This Row],[T(K)]])</f>
        <v>7.8240460108562919</v>
      </c>
      <c r="L12">
        <f>1/Table14[[#This Row],[T(K)]]</f>
        <v>4.0000000000000002E-4</v>
      </c>
    </row>
    <row r="13" spans="1:12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  <c r="J13">
        <f>LN(Table14[[#This Row],[P0]])</f>
        <v>2.0487598623261993</v>
      </c>
      <c r="K13">
        <f>LN(Table14[[#This Row],[T(K)]])</f>
        <v>6.2146080984221914</v>
      </c>
      <c r="L13">
        <f>1/Table14[[#This Row],[T(K)]]</f>
        <v>2E-3</v>
      </c>
    </row>
    <row r="14" spans="1:12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  <c r="J14">
        <f>LN(Table14[[#This Row],[P0]])</f>
        <v>1.8830360711565306</v>
      </c>
      <c r="K14">
        <f>LN(Table14[[#This Row],[T(K)]])</f>
        <v>6.9077552789821368</v>
      </c>
      <c r="L14">
        <f>1/Table14[[#This Row],[T(K)]]</f>
        <v>1E-3</v>
      </c>
    </row>
    <row r="15" spans="1:12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  <c r="J15">
        <f>LN(Table14[[#This Row],[P0]])</f>
        <v>1.6086422529908346</v>
      </c>
      <c r="K15">
        <f>LN(Table14[[#This Row],[T(K)]])</f>
        <v>7.3132203870903014</v>
      </c>
      <c r="L15">
        <f>1/Table14[[#This Row],[T(K)]]</f>
        <v>6.6666666666666664E-4</v>
      </c>
    </row>
    <row r="16" spans="1:12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  <c r="J16">
        <f>LN(Table14[[#This Row],[P0]])</f>
        <v>1.0751855075491119</v>
      </c>
      <c r="K16">
        <f>LN(Table14[[#This Row],[T(K)]])</f>
        <v>7.6009024595420822</v>
      </c>
      <c r="L16">
        <f>1/Table14[[#This Row],[T(K)]]</f>
        <v>5.0000000000000001E-4</v>
      </c>
    </row>
    <row r="17" spans="1:12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  <c r="J17">
        <f>LN(Table14[[#This Row],[P0]])</f>
        <v>1.0191804627898642</v>
      </c>
      <c r="K17">
        <f>LN(Table14[[#This Row],[T(K)]])</f>
        <v>7.8240460108562919</v>
      </c>
      <c r="L17">
        <f>1/Table14[[#This Row],[T(K)]]</f>
        <v>4.0000000000000002E-4</v>
      </c>
    </row>
    <row r="18" spans="1:12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  <c r="J18">
        <f>LN(Table14[[#This Row],[P0]])</f>
        <v>1.8675314906862039</v>
      </c>
      <c r="K18">
        <f>LN(Table14[[#This Row],[T(K)]])</f>
        <v>6.2146080984221914</v>
      </c>
      <c r="L18">
        <f>1/Table14[[#This Row],[T(K)]]</f>
        <v>2E-3</v>
      </c>
    </row>
    <row r="19" spans="1:12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  <c r="J19">
        <f>LN(Table14[[#This Row],[P0]])</f>
        <v>1.5722092459083994</v>
      </c>
      <c r="K19">
        <f>LN(Table14[[#This Row],[T(K)]])</f>
        <v>6.9077552789821368</v>
      </c>
      <c r="L19">
        <f>1/Table14[[#This Row],[T(K)]]</f>
        <v>1E-3</v>
      </c>
    </row>
    <row r="20" spans="1:12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  <c r="J20">
        <f>LN(Table14[[#This Row],[P0]])</f>
        <v>1.1946460822814682</v>
      </c>
      <c r="K20">
        <f>LN(Table14[[#This Row],[T(K)]])</f>
        <v>7.3132203870903014</v>
      </c>
      <c r="L20">
        <f>1/Table14[[#This Row],[T(K)]]</f>
        <v>6.6666666666666664E-4</v>
      </c>
    </row>
    <row r="21" spans="1:12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  <c r="J21">
        <f>LN(Table14[[#This Row],[P0]])</f>
        <v>0.29639843777967884</v>
      </c>
      <c r="K21">
        <f>LN(Table14[[#This Row],[T(K)]])</f>
        <v>7.6009024595420822</v>
      </c>
      <c r="L21">
        <f>1/Table14[[#This Row],[T(K)]]</f>
        <v>5.0000000000000001E-4</v>
      </c>
    </row>
    <row r="22" spans="1:12" hidden="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  <c r="J22">
        <f>LN(Table14[[#This Row],[P0]])</f>
        <v>0.26411408521474483</v>
      </c>
      <c r="K22">
        <f>LN(Table14[[#This Row],[T(K)]])</f>
        <v>7.8240460108562919</v>
      </c>
      <c r="L22">
        <f>1/Table14[[#This Row],[T(K)]]</f>
        <v>4.0000000000000002E-4</v>
      </c>
    </row>
    <row r="23" spans="1:12" hidden="1" x14ac:dyDescent="0.3">
      <c r="A23">
        <v>100</v>
      </c>
      <c r="B23">
        <v>5</v>
      </c>
      <c r="C23">
        <v>500</v>
      </c>
      <c r="E23">
        <v>32.475539339999997</v>
      </c>
      <c r="H23">
        <v>3.2692510372910299</v>
      </c>
      <c r="J23" t="e">
        <f>LN(Table14[[#This Row],[P0]])</f>
        <v>#NUM!</v>
      </c>
      <c r="K23">
        <f>LN(Table14[[#This Row],[T(K)]])</f>
        <v>6.2146080984221914</v>
      </c>
      <c r="L23">
        <f>1/Table14[[#This Row],[T(K)]]</f>
        <v>2E-3</v>
      </c>
    </row>
    <row r="24" spans="1:12" hidden="1" x14ac:dyDescent="0.3">
      <c r="A24">
        <v>100</v>
      </c>
      <c r="B24">
        <v>5</v>
      </c>
      <c r="C24">
        <v>2500</v>
      </c>
      <c r="E24">
        <v>18.448552741111101</v>
      </c>
      <c r="H24">
        <v>2.3282538582025598</v>
      </c>
      <c r="J24" t="e">
        <f>LN(Table14[[#This Row],[P0]])</f>
        <v>#NUM!</v>
      </c>
      <c r="K24">
        <f>LN(Table14[[#This Row],[T(K)]])</f>
        <v>7.8240460108562919</v>
      </c>
      <c r="L24">
        <f>1/Table14[[#This Row],[T(K)]]</f>
        <v>4.0000000000000002E-4</v>
      </c>
    </row>
    <row r="25" spans="1:12" hidden="1" x14ac:dyDescent="0.3">
      <c r="A25">
        <v>100</v>
      </c>
      <c r="B25">
        <v>6</v>
      </c>
      <c r="C25">
        <v>500</v>
      </c>
      <c r="E25">
        <v>27.079947847777699</v>
      </c>
      <c r="H25">
        <v>2.9615035911824501</v>
      </c>
      <c r="J25" t="e">
        <f>LN(Table14[[#This Row],[P0]])</f>
        <v>#NUM!</v>
      </c>
      <c r="K25">
        <f>LN(Table14[[#This Row],[T(K)]])</f>
        <v>6.2146080984221914</v>
      </c>
      <c r="L25">
        <f>1/Table14[[#This Row],[T(K)]]</f>
        <v>2E-3</v>
      </c>
    </row>
    <row r="26" spans="1:12" hidden="1" x14ac:dyDescent="0.3">
      <c r="A26">
        <v>100</v>
      </c>
      <c r="B26">
        <v>6</v>
      </c>
      <c r="C26">
        <v>2500</v>
      </c>
      <c r="E26">
        <v>16.522505253888799</v>
      </c>
      <c r="H26">
        <v>2.1977976354319599</v>
      </c>
      <c r="J26" t="e">
        <f>LN(Table14[[#This Row],[P0]])</f>
        <v>#NUM!</v>
      </c>
      <c r="K26">
        <f>LN(Table14[[#This Row],[T(K)]])</f>
        <v>7.8240460108562919</v>
      </c>
      <c r="L26">
        <f>1/Table14[[#This Row],[T(K)]]</f>
        <v>4.0000000000000002E-4</v>
      </c>
    </row>
    <row r="27" spans="1:12" hidden="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1.0312647741452401</v>
      </c>
      <c r="G27">
        <v>2.5886822361941402</v>
      </c>
      <c r="H27">
        <v>5.83584206677161</v>
      </c>
      <c r="I27">
        <v>1.7439489115946001</v>
      </c>
      <c r="J27">
        <f>LN(Table14[[#This Row],[P0]])</f>
        <v>4.0479884294743345</v>
      </c>
      <c r="K27">
        <f>LN(Table14[[#This Row],[T(K)]])</f>
        <v>6.2146080984221914</v>
      </c>
      <c r="L27">
        <f>1/Table14[[#This Row],[T(K)]]</f>
        <v>2E-3</v>
      </c>
    </row>
    <row r="28" spans="1:12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0.73926540807119001</v>
      </c>
      <c r="G28">
        <v>1.6681911472192399</v>
      </c>
      <c r="H28">
        <v>5.4113362160566698</v>
      </c>
      <c r="I28">
        <v>1.27635381978995</v>
      </c>
      <c r="J28">
        <f>LN(Table14[[#This Row],[P0]])</f>
        <v>3.6239873279241763</v>
      </c>
      <c r="K28">
        <f>LN(Table14[[#This Row],[T(K)]])</f>
        <v>6.9077552789821368</v>
      </c>
      <c r="L28">
        <f>1/Table14[[#This Row],[T(K)]]</f>
        <v>1E-3</v>
      </c>
    </row>
    <row r="29" spans="1:12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0.79821700722667299</v>
      </c>
      <c r="G29">
        <v>1.29195428868517</v>
      </c>
      <c r="H29">
        <v>5.0469736422668197</v>
      </c>
      <c r="I29">
        <v>1.1870163692771201</v>
      </c>
      <c r="J29">
        <f>LN(Table14[[#This Row],[P0]])</f>
        <v>3.3932277572562182</v>
      </c>
      <c r="K29">
        <f>LN(Table14[[#This Row],[T(K)]])</f>
        <v>7.3132203870903014</v>
      </c>
      <c r="L29">
        <f>1/Table14[[#This Row],[T(K)]]</f>
        <v>6.6666666666666664E-4</v>
      </c>
    </row>
    <row r="30" spans="1:12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0.83943070478818405</v>
      </c>
      <c r="G30">
        <v>1.05080714795866</v>
      </c>
      <c r="H30">
        <v>4.6836377508854703</v>
      </c>
      <c r="I30">
        <v>1.2559956537835</v>
      </c>
      <c r="J30">
        <f>LN(Table14[[#This Row],[P0]])</f>
        <v>3.233241347545265</v>
      </c>
      <c r="K30">
        <f>LN(Table14[[#This Row],[T(K)]])</f>
        <v>7.6009024595420822</v>
      </c>
      <c r="L30">
        <f>1/Table14[[#This Row],[T(K)]]</f>
        <v>5.0000000000000001E-4</v>
      </c>
    </row>
    <row r="31" spans="1:12" hidden="1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1.01519197215941</v>
      </c>
      <c r="G31">
        <v>1.0006699945887401</v>
      </c>
      <c r="H31">
        <v>4.23501931654204</v>
      </c>
      <c r="I31">
        <v>1.35253992325525</v>
      </c>
      <c r="J31">
        <f>LN(Table14[[#This Row],[P0]])</f>
        <v>3.083539425546113</v>
      </c>
      <c r="K31">
        <f>LN(Table14[[#This Row],[T(K)]])</f>
        <v>7.8240460108562919</v>
      </c>
      <c r="L31">
        <f>1/Table14[[#This Row],[T(K)]]</f>
        <v>4.0000000000000002E-4</v>
      </c>
    </row>
    <row r="32" spans="1:12" hidden="1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1.7590441166728701</v>
      </c>
      <c r="G32">
        <v>2.1167485383282001</v>
      </c>
      <c r="H32">
        <v>4.5018395086386596</v>
      </c>
      <c r="I32">
        <v>1.99997147662459</v>
      </c>
      <c r="J32">
        <f>LN(Table14[[#This Row],[P0]])</f>
        <v>3.2271080259047928</v>
      </c>
      <c r="K32">
        <f>LN(Table14[[#This Row],[T(K)]])</f>
        <v>6.2146080984221914</v>
      </c>
      <c r="L32">
        <f>1/Table14[[#This Row],[T(K)]]</f>
        <v>2E-3</v>
      </c>
    </row>
    <row r="33" spans="1:12" hidden="1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1.71642862674407</v>
      </c>
      <c r="G33">
        <v>1.7719903046463199</v>
      </c>
      <c r="H33">
        <v>4.0859314651361798</v>
      </c>
      <c r="I33">
        <v>1.8463729498725401</v>
      </c>
      <c r="J33">
        <f>LN(Table14[[#This Row],[P0]])</f>
        <v>2.986401326482758</v>
      </c>
      <c r="K33">
        <f>LN(Table14[[#This Row],[T(K)]])</f>
        <v>6.9077552789821368</v>
      </c>
      <c r="L33">
        <f>1/Table14[[#This Row],[T(K)]]</f>
        <v>1E-3</v>
      </c>
    </row>
    <row r="34" spans="1:12" hidden="1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1.34673078210956</v>
      </c>
      <c r="G34">
        <v>1.2277035528868701</v>
      </c>
      <c r="H34">
        <v>3.7475995846554802</v>
      </c>
      <c r="I34">
        <v>1.42916325231605</v>
      </c>
      <c r="J34">
        <f>LN(Table14[[#This Row],[P0]])</f>
        <v>2.6558571069027477</v>
      </c>
      <c r="K34">
        <f>LN(Table14[[#This Row],[T(K)]])</f>
        <v>7.3132203870903014</v>
      </c>
      <c r="L34">
        <f>1/Table14[[#This Row],[T(K)]]</f>
        <v>6.6666666666666664E-4</v>
      </c>
    </row>
    <row r="35" spans="1:12" hidden="1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1.8654282014749799</v>
      </c>
      <c r="G35">
        <v>0.97630376102077798</v>
      </c>
      <c r="H35">
        <v>3.4399342176330201</v>
      </c>
      <c r="I35">
        <v>1.7345285214649</v>
      </c>
      <c r="J35">
        <f>LN(Table14[[#This Row],[P0]])</f>
        <v>2.6325076766674562</v>
      </c>
      <c r="K35">
        <f>LN(Table14[[#This Row],[T(K)]])</f>
        <v>7.6009024595420822</v>
      </c>
      <c r="L35">
        <f>1/Table14[[#This Row],[T(K)]]</f>
        <v>5.0000000000000001E-4</v>
      </c>
    </row>
    <row r="36" spans="1:12" hidden="1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1.82191980185842</v>
      </c>
      <c r="G36">
        <v>0.73595834237968005</v>
      </c>
      <c r="H36">
        <v>3.1161673525534099</v>
      </c>
      <c r="I36">
        <v>1.7257716809789001</v>
      </c>
      <c r="J36">
        <f>LN(Table14[[#This Row],[P0]])</f>
        <v>2.4336742970041216</v>
      </c>
      <c r="K36">
        <f>LN(Table14[[#This Row],[T(K)]])</f>
        <v>7.8240460108562919</v>
      </c>
      <c r="L36">
        <f>1/Table14[[#This Row],[T(K)]]</f>
        <v>4.0000000000000002E-4</v>
      </c>
    </row>
    <row r="37" spans="1:12" hidden="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2.1771258157546902</v>
      </c>
      <c r="G37">
        <v>1.98065622473133</v>
      </c>
      <c r="H37">
        <v>3.8643627782451899</v>
      </c>
      <c r="I37">
        <v>2.3749907745095098</v>
      </c>
      <c r="J37">
        <f>LN(Table14[[#This Row],[P0]])</f>
        <v>2.75243942219242</v>
      </c>
      <c r="K37">
        <f>LN(Table14[[#This Row],[T(K)]])</f>
        <v>6.2146080984221914</v>
      </c>
      <c r="L37">
        <f>1/Table14[[#This Row],[T(K)]]</f>
        <v>2E-3</v>
      </c>
    </row>
    <row r="38" spans="1:12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2.0887724737230799</v>
      </c>
      <c r="G38">
        <v>1.5671124781375301</v>
      </c>
      <c r="H38">
        <v>3.5275192877459798</v>
      </c>
      <c r="I38">
        <v>2.0904653787392502</v>
      </c>
      <c r="J38">
        <f>LN(Table14[[#This Row],[P0]])</f>
        <v>2.4435776899357813</v>
      </c>
      <c r="K38">
        <f>LN(Table14[[#This Row],[T(K)]])</f>
        <v>6.9077552789821368</v>
      </c>
      <c r="L38">
        <f>1/Table14[[#This Row],[T(K)]]</f>
        <v>1E-3</v>
      </c>
    </row>
    <row r="39" spans="1:12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1.8031873212866101</v>
      </c>
      <c r="G39">
        <v>1.03946478552786</v>
      </c>
      <c r="H39">
        <v>3.2084982031034102</v>
      </c>
      <c r="I39">
        <v>1.6084584716921499</v>
      </c>
      <c r="J39">
        <f>LN(Table14[[#This Row],[P0]])</f>
        <v>1.9473908527701762</v>
      </c>
      <c r="K39">
        <f>LN(Table14[[#This Row],[T(K)]])</f>
        <v>7.3132203870903014</v>
      </c>
      <c r="L39">
        <f>1/Table14[[#This Row],[T(K)]]</f>
        <v>6.6666666666666664E-4</v>
      </c>
    </row>
    <row r="40" spans="1:12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2.1857902579310799</v>
      </c>
      <c r="G40">
        <v>0.98087451540237203</v>
      </c>
      <c r="H40">
        <v>2.9467332525354601</v>
      </c>
      <c r="I40">
        <v>1.85597030853824</v>
      </c>
      <c r="J40">
        <f>LN(Table14[[#This Row],[P0]])</f>
        <v>2.0877160101508534</v>
      </c>
      <c r="K40">
        <f>LN(Table14[[#This Row],[T(K)]])</f>
        <v>7.6009024595420822</v>
      </c>
      <c r="L40">
        <f>1/Table14[[#This Row],[T(K)]]</f>
        <v>5.0000000000000001E-4</v>
      </c>
    </row>
    <row r="41" spans="1:12" hidden="1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2.4420614425269198</v>
      </c>
      <c r="G41">
        <v>0.69350996440117196</v>
      </c>
      <c r="H41">
        <v>2.7148923891940502</v>
      </c>
      <c r="I41">
        <v>2.1630238105382098</v>
      </c>
      <c r="J41">
        <f>LN(Table14[[#This Row],[P0]])</f>
        <v>1.8407997628505419</v>
      </c>
      <c r="K41">
        <f>LN(Table14[[#This Row],[T(K)]])</f>
        <v>7.8240460108562919</v>
      </c>
      <c r="L41">
        <f>1/Table14[[#This Row],[T(K)]]</f>
        <v>4.0000000000000002E-4</v>
      </c>
    </row>
    <row r="42" spans="1:12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2.2307611496558502</v>
      </c>
      <c r="G42">
        <v>1.4522039845741801</v>
      </c>
      <c r="H42">
        <v>3.5143489769496701</v>
      </c>
      <c r="I42">
        <v>1.8703239363325299</v>
      </c>
      <c r="J42">
        <f>LN(Table14[[#This Row],[P0]])</f>
        <v>2.1564400171276539</v>
      </c>
      <c r="K42">
        <f>LN(Table14[[#This Row],[T(K)]])</f>
        <v>6.2146080984221914</v>
      </c>
      <c r="L42">
        <f>1/Table14[[#This Row],[T(K)]]</f>
        <v>2E-3</v>
      </c>
    </row>
    <row r="43" spans="1:12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2.3494714868673099</v>
      </c>
      <c r="G43">
        <v>1.3376697832860101</v>
      </c>
      <c r="H43">
        <v>3.24130686371111</v>
      </c>
      <c r="I43">
        <v>2.1644097021986601</v>
      </c>
      <c r="J43">
        <f>LN(Table14[[#This Row],[P0]])</f>
        <v>2.013087007555622</v>
      </c>
      <c r="K43">
        <f>LN(Table14[[#This Row],[T(K)]])</f>
        <v>6.9077552789821368</v>
      </c>
      <c r="L43">
        <f>1/Table14[[#This Row],[T(K)]]</f>
        <v>1E-3</v>
      </c>
    </row>
    <row r="44" spans="1:12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2.31390130435652</v>
      </c>
      <c r="G44">
        <v>0.99311152509896905</v>
      </c>
      <c r="H44">
        <v>2.9749875643070598</v>
      </c>
      <c r="I44">
        <v>2.0130874146964302</v>
      </c>
      <c r="J44">
        <f>LN(Table14[[#This Row],[P0]])</f>
        <v>1.684209024787926</v>
      </c>
      <c r="K44">
        <f>LN(Table14[[#This Row],[T(K)]])</f>
        <v>7.3132203870903014</v>
      </c>
      <c r="L44">
        <f>1/Table14[[#This Row],[T(K)]]</f>
        <v>6.6666666666666664E-4</v>
      </c>
    </row>
    <row r="45" spans="1:12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2.5066143811223598</v>
      </c>
      <c r="G45">
        <v>0.79638290010602197</v>
      </c>
      <c r="H45">
        <v>2.7267401132220899</v>
      </c>
      <c r="I45">
        <v>2.2240596970790301</v>
      </c>
      <c r="J45">
        <f>LN(Table14[[#This Row],[P0]])</f>
        <v>1.5000485426698082</v>
      </c>
      <c r="K45">
        <f>LN(Table14[[#This Row],[T(K)]])</f>
        <v>7.6009024595420822</v>
      </c>
      <c r="L45">
        <f>1/Table14[[#This Row],[T(K)]]</f>
        <v>5.0000000000000001E-4</v>
      </c>
    </row>
    <row r="46" spans="1:12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2.6940043156601399</v>
      </c>
      <c r="G46">
        <v>0.62146177945828096</v>
      </c>
      <c r="H46">
        <v>2.5151068939545098</v>
      </c>
      <c r="I46">
        <v>2.4262134399034898</v>
      </c>
      <c r="J46">
        <f>LN(Table14[[#This Row],[P0]])</f>
        <v>1.3459672935911395</v>
      </c>
      <c r="K46">
        <f>LN(Table14[[#This Row],[T(K)]])</f>
        <v>7.8240460108562919</v>
      </c>
      <c r="L46">
        <f>1/Table14[[#This Row],[T(K)]]</f>
        <v>4.0000000000000002E-4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DD2F-82AE-40D1-B644-5F549E6A50C6}">
  <dimension ref="A1:AJ47"/>
  <sheetViews>
    <sheetView tabSelected="1" topLeftCell="R1" workbookViewId="0">
      <selection activeCell="AL8" sqref="AL8"/>
    </sheetView>
  </sheetViews>
  <sheetFormatPr defaultRowHeight="14.4" x14ac:dyDescent="0.3"/>
  <cols>
    <col min="1" max="1" width="20.88671875" customWidth="1"/>
    <col min="11" max="11" width="11" bestFit="1" customWidth="1"/>
    <col min="30" max="30" width="12" bestFit="1" customWidth="1"/>
  </cols>
  <sheetData>
    <row r="1" spans="1:36" x14ac:dyDescent="0.3">
      <c r="H1" s="1" t="s">
        <v>21</v>
      </c>
      <c r="AA1" s="1" t="s">
        <v>23</v>
      </c>
    </row>
    <row r="2" spans="1:36" x14ac:dyDescent="0.3">
      <c r="O2" t="s">
        <v>11</v>
      </c>
      <c r="P2" t="s">
        <v>12</v>
      </c>
      <c r="Q2" t="s">
        <v>13</v>
      </c>
      <c r="AH2" t="s">
        <v>11</v>
      </c>
      <c r="AI2" t="s">
        <v>12</v>
      </c>
      <c r="AJ2" t="s">
        <v>13</v>
      </c>
    </row>
    <row r="3" spans="1:36" x14ac:dyDescent="0.3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1</v>
      </c>
      <c r="I3" s="3" t="s">
        <v>0</v>
      </c>
      <c r="J3" s="4" t="s">
        <v>8</v>
      </c>
      <c r="K3" s="11" t="s">
        <v>14</v>
      </c>
      <c r="L3" s="11" t="s">
        <v>15</v>
      </c>
      <c r="M3" s="11" t="s">
        <v>16</v>
      </c>
      <c r="N3" s="11" t="s">
        <v>17</v>
      </c>
      <c r="O3">
        <v>117.29432702300156</v>
      </c>
      <c r="P3">
        <v>0.84543261260647085</v>
      </c>
      <c r="Q3">
        <v>4.4618239400214579E-4</v>
      </c>
      <c r="U3" s="2" t="s">
        <v>2</v>
      </c>
      <c r="V3" s="3" t="s">
        <v>3</v>
      </c>
      <c r="W3" s="3" t="s">
        <v>4</v>
      </c>
      <c r="X3" s="3" t="s">
        <v>5</v>
      </c>
      <c r="Y3" s="3" t="s">
        <v>6</v>
      </c>
      <c r="Z3" s="3" t="s">
        <v>7</v>
      </c>
      <c r="AA3" s="3" t="s">
        <v>1</v>
      </c>
      <c r="AB3" s="3" t="s">
        <v>0</v>
      </c>
      <c r="AC3" s="4" t="s">
        <v>8</v>
      </c>
      <c r="AD3" s="11" t="s">
        <v>14</v>
      </c>
      <c r="AE3" s="11" t="s">
        <v>15</v>
      </c>
      <c r="AF3" s="11" t="s">
        <v>16</v>
      </c>
      <c r="AG3" s="11" t="s">
        <v>17</v>
      </c>
      <c r="AH3">
        <v>130.73529950779678</v>
      </c>
      <c r="AI3">
        <v>0.64805831590641583</v>
      </c>
      <c r="AJ3">
        <v>5.0849626668898328E-4</v>
      </c>
    </row>
    <row r="4" spans="1:36" x14ac:dyDescent="0.3">
      <c r="B4" s="5">
        <v>100</v>
      </c>
      <c r="C4" s="6">
        <v>1</v>
      </c>
      <c r="D4" s="6">
        <v>500</v>
      </c>
      <c r="E4" s="6">
        <v>38.987904843554098</v>
      </c>
      <c r="F4" s="6">
        <v>88.051904233454493</v>
      </c>
      <c r="G4" s="6">
        <v>0.61602232172104499</v>
      </c>
      <c r="H4" s="6">
        <v>1.7805269034751501</v>
      </c>
      <c r="I4" s="6">
        <v>5.7174463924963899</v>
      </c>
      <c r="J4" s="7">
        <v>1.0588650288078501</v>
      </c>
      <c r="K4">
        <f>$O$3*EXP(-$P$3*C4-$Q$3*D4)</f>
        <v>40.292388570937483</v>
      </c>
      <c r="L4">
        <f t="shared" ref="L4:L23" si="0">(K4-E4)^2</f>
        <v>1.7016777950080493</v>
      </c>
      <c r="M4">
        <f>SUM(L4:L23)</f>
        <v>80.860426689235965</v>
      </c>
      <c r="N4">
        <f>RSQ(E4:E23,K4:K23)</f>
        <v>0.96546051556077117</v>
      </c>
      <c r="U4" s="5">
        <v>110</v>
      </c>
      <c r="V4" s="6">
        <v>1</v>
      </c>
      <c r="W4" s="6">
        <v>500</v>
      </c>
      <c r="X4" s="6">
        <v>57.282114061772397</v>
      </c>
      <c r="Y4" s="6">
        <v>86.600729920272698</v>
      </c>
      <c r="Z4" s="6">
        <v>1.0312647741452401</v>
      </c>
      <c r="AA4" s="6">
        <v>2.5886822361941402</v>
      </c>
      <c r="AB4" s="6">
        <v>5.83584206677161</v>
      </c>
      <c r="AC4" s="7">
        <v>1.7439489115946001</v>
      </c>
      <c r="AD4">
        <f>$AH$3*EXP(-$AI$3*V4-$AJ$3*W4)</f>
        <v>53.03055279615964</v>
      </c>
      <c r="AE4">
        <f>(AD4-X4)^2</f>
        <v>18.075773195258751</v>
      </c>
      <c r="AF4">
        <f>SUM(AE4:AE23)</f>
        <v>75.00627844318069</v>
      </c>
      <c r="AG4">
        <f>RSQ(X4:X23,AD4:AD23)</f>
        <v>0.97871693434885199</v>
      </c>
    </row>
    <row r="5" spans="1:36" x14ac:dyDescent="0.3">
      <c r="B5" s="8">
        <v>100</v>
      </c>
      <c r="C5" s="9">
        <v>1</v>
      </c>
      <c r="D5" s="9">
        <v>1000</v>
      </c>
      <c r="E5" s="9">
        <v>36.549487136239101</v>
      </c>
      <c r="F5" s="9">
        <v>76.838578092363605</v>
      </c>
      <c r="G5" s="9">
        <v>0.90900473903045798</v>
      </c>
      <c r="H5" s="9">
        <v>1.52448359526946</v>
      </c>
      <c r="I5" s="9">
        <v>5.4619033090646703</v>
      </c>
      <c r="J5" s="10">
        <v>1.24498258477945</v>
      </c>
      <c r="K5">
        <f t="shared" ref="K5:K23" si="1">$O$3*EXP(-$P$3*C5-$Q$3*D5)</f>
        <v>32.235598485189541</v>
      </c>
      <c r="L5">
        <f t="shared" si="0"/>
        <v>18.60963529365419</v>
      </c>
      <c r="U5" s="8">
        <v>110</v>
      </c>
      <c r="V5" s="9">
        <v>1</v>
      </c>
      <c r="W5" s="9">
        <v>1000</v>
      </c>
      <c r="X5" s="9">
        <v>37.486742154701602</v>
      </c>
      <c r="Y5" s="9">
        <v>77.167960525181797</v>
      </c>
      <c r="Z5" s="9">
        <v>0.73926540807119001</v>
      </c>
      <c r="AA5" s="9">
        <v>1.6681911472192399</v>
      </c>
      <c r="AB5" s="9">
        <v>5.4113362160566698</v>
      </c>
      <c r="AC5" s="10">
        <v>1.27635381978995</v>
      </c>
      <c r="AD5">
        <f t="shared" ref="AD5:AD23" si="2">$AH$3*EXP(-$AI$3*V5-$AJ$3*W5)</f>
        <v>41.125159272514843</v>
      </c>
      <c r="AE5">
        <f t="shared" ref="AE5:AE23" si="3">(AD5-X5)^2</f>
        <v>13.238079123196409</v>
      </c>
    </row>
    <row r="6" spans="1:36" x14ac:dyDescent="0.3">
      <c r="B6" s="5">
        <v>100</v>
      </c>
      <c r="C6" s="6">
        <v>1</v>
      </c>
      <c r="D6" s="6">
        <v>1500</v>
      </c>
      <c r="E6" s="6">
        <v>26.994950335905699</v>
      </c>
      <c r="F6" s="6">
        <v>68.538763993909001</v>
      </c>
      <c r="G6" s="6">
        <v>0.77971835079028595</v>
      </c>
      <c r="H6" s="6">
        <v>1.05270746011517</v>
      </c>
      <c r="I6" s="6">
        <v>4.9417855011150396</v>
      </c>
      <c r="J6" s="7">
        <v>1.17828101475251</v>
      </c>
      <c r="K6">
        <f t="shared" si="1"/>
        <v>25.789828961588821</v>
      </c>
      <c r="L6">
        <f t="shared" si="0"/>
        <v>1.4523175268354009</v>
      </c>
      <c r="U6" s="5">
        <v>110</v>
      </c>
      <c r="V6" s="6">
        <v>1</v>
      </c>
      <c r="W6" s="6">
        <v>1500</v>
      </c>
      <c r="X6" s="6">
        <v>29.761861465604099</v>
      </c>
      <c r="Y6" s="6">
        <v>69.371188460090906</v>
      </c>
      <c r="Z6" s="6">
        <v>0.79821700722667299</v>
      </c>
      <c r="AA6" s="6">
        <v>1.29195428868517</v>
      </c>
      <c r="AB6" s="6">
        <v>5.0469736422668197</v>
      </c>
      <c r="AC6" s="7">
        <v>1.1870163692771201</v>
      </c>
      <c r="AD6">
        <f t="shared" si="2"/>
        <v>31.892534322444256</v>
      </c>
      <c r="AE6">
        <f t="shared" si="3"/>
        <v>4.5397668228753947</v>
      </c>
    </row>
    <row r="7" spans="1:36" x14ac:dyDescent="0.3">
      <c r="B7" s="8">
        <v>100</v>
      </c>
      <c r="C7" s="9">
        <v>1</v>
      </c>
      <c r="D7" s="9">
        <v>2000</v>
      </c>
      <c r="E7" s="9">
        <v>19.553108798739299</v>
      </c>
      <c r="F7" s="9">
        <v>63.490942324909099</v>
      </c>
      <c r="G7" s="9">
        <v>0.90509577673152797</v>
      </c>
      <c r="H7" s="9">
        <v>0.78681743658388403</v>
      </c>
      <c r="I7" s="9">
        <v>4.6280308277581002</v>
      </c>
      <c r="J7" s="10">
        <v>1.44797915088444</v>
      </c>
      <c r="K7">
        <f t="shared" si="1"/>
        <v>20.632943364572213</v>
      </c>
      <c r="L7">
        <f t="shared" si="0"/>
        <v>1.1660426895675593</v>
      </c>
      <c r="U7" s="8">
        <v>110</v>
      </c>
      <c r="V7" s="9">
        <v>1</v>
      </c>
      <c r="W7" s="9">
        <v>2000</v>
      </c>
      <c r="X7" s="9">
        <v>25.361730066887599</v>
      </c>
      <c r="Y7" s="9">
        <v>63.423271751727199</v>
      </c>
      <c r="Z7" s="9">
        <v>0.83943070478818405</v>
      </c>
      <c r="AA7" s="9">
        <v>1.05080714795866</v>
      </c>
      <c r="AB7" s="9">
        <v>4.6836377508854703</v>
      </c>
      <c r="AC7" s="10">
        <v>1.2559956537835</v>
      </c>
      <c r="AD7">
        <f t="shared" si="2"/>
        <v>24.732639666348131</v>
      </c>
      <c r="AE7">
        <f t="shared" si="3"/>
        <v>0.39575473205090822</v>
      </c>
    </row>
    <row r="8" spans="1:36" x14ac:dyDescent="0.3">
      <c r="B8" s="5">
        <v>100</v>
      </c>
      <c r="C8" s="6">
        <v>1</v>
      </c>
      <c r="D8" s="6">
        <v>2500</v>
      </c>
      <c r="E8" s="6">
        <v>13.1516507988825</v>
      </c>
      <c r="F8" s="6">
        <v>56.859420649</v>
      </c>
      <c r="G8" s="6">
        <v>1.60925803027996</v>
      </c>
      <c r="H8" s="6">
        <v>0.61247407166907097</v>
      </c>
      <c r="I8" s="6">
        <v>4.2249616822571303</v>
      </c>
      <c r="J8" s="7">
        <v>1.86439953983776</v>
      </c>
      <c r="K8">
        <f t="shared" si="1"/>
        <v>16.507218893142184</v>
      </c>
      <c r="L8">
        <f t="shared" si="0"/>
        <v>11.25983723521357</v>
      </c>
      <c r="U8" s="5">
        <v>110</v>
      </c>
      <c r="V8" s="6">
        <v>1</v>
      </c>
      <c r="W8" s="6">
        <v>2500</v>
      </c>
      <c r="X8" s="6">
        <v>21.835551091972899</v>
      </c>
      <c r="Y8" s="6">
        <v>57.584859685181797</v>
      </c>
      <c r="Z8" s="6">
        <v>1.01519197215941</v>
      </c>
      <c r="AA8" s="6">
        <v>1.0006699945887401</v>
      </c>
      <c r="AB8" s="6">
        <v>4.23501931654204</v>
      </c>
      <c r="AC8" s="7">
        <v>1.35253992325525</v>
      </c>
      <c r="AD8">
        <f t="shared" si="2"/>
        <v>19.180146007867823</v>
      </c>
      <c r="AE8">
        <f t="shared" si="3"/>
        <v>7.0511761606910897</v>
      </c>
    </row>
    <row r="9" spans="1:36" x14ac:dyDescent="0.3">
      <c r="B9" s="8">
        <v>100</v>
      </c>
      <c r="C9" s="9">
        <v>2</v>
      </c>
      <c r="D9" s="9">
        <v>500</v>
      </c>
      <c r="E9" s="9">
        <v>13.3547971639351</v>
      </c>
      <c r="F9" s="9">
        <v>56.212994217575698</v>
      </c>
      <c r="G9" s="9">
        <v>1.3230710714705101</v>
      </c>
      <c r="H9" s="9">
        <v>1.4353258976085499</v>
      </c>
      <c r="I9" s="9">
        <v>4.4933293849343903</v>
      </c>
      <c r="J9" s="10">
        <v>1.4206104886524999</v>
      </c>
      <c r="K9">
        <f t="shared" si="1"/>
        <v>17.300405997650142</v>
      </c>
      <c r="L9">
        <f t="shared" si="0"/>
        <v>15.567829068690173</v>
      </c>
      <c r="U9" s="8">
        <v>110</v>
      </c>
      <c r="V9" s="9">
        <v>2</v>
      </c>
      <c r="W9" s="9">
        <v>500</v>
      </c>
      <c r="X9" s="9">
        <v>25.206654469418599</v>
      </c>
      <c r="Y9" s="9">
        <v>56.245464272727197</v>
      </c>
      <c r="Z9" s="9">
        <v>1.7590441166728701</v>
      </c>
      <c r="AA9" s="9">
        <v>2.1167485383282001</v>
      </c>
      <c r="AB9" s="9">
        <v>4.5018395086386596</v>
      </c>
      <c r="AC9" s="10">
        <v>1.99997147662459</v>
      </c>
      <c r="AD9">
        <f t="shared" si="2"/>
        <v>27.738182660043211</v>
      </c>
      <c r="AE9">
        <f t="shared" si="3"/>
        <v>6.4086349799271254</v>
      </c>
    </row>
    <row r="10" spans="1:36" x14ac:dyDescent="0.3">
      <c r="B10" s="5">
        <v>100</v>
      </c>
      <c r="C10" s="6">
        <v>2</v>
      </c>
      <c r="D10" s="6">
        <v>1000</v>
      </c>
      <c r="E10" s="6">
        <v>12.1156014384801</v>
      </c>
      <c r="F10" s="6">
        <v>48.526996635303</v>
      </c>
      <c r="G10" s="6">
        <v>1.59016333434984</v>
      </c>
      <c r="H10" s="6">
        <v>1.1983958301855899</v>
      </c>
      <c r="I10" s="6">
        <v>4.1407165728614199</v>
      </c>
      <c r="J10" s="7">
        <v>1.57593520260021</v>
      </c>
      <c r="K10">
        <f t="shared" si="1"/>
        <v>13.841049417786827</v>
      </c>
      <c r="L10">
        <f t="shared" si="0"/>
        <v>2.9771707292936682</v>
      </c>
      <c r="U10" s="5">
        <v>110</v>
      </c>
      <c r="V10" s="6">
        <v>2</v>
      </c>
      <c r="W10" s="6">
        <v>1000</v>
      </c>
      <c r="X10" s="6">
        <v>19.8142490225679</v>
      </c>
      <c r="Y10" s="6">
        <v>48.242304509696901</v>
      </c>
      <c r="Z10" s="6">
        <v>1.71642862674407</v>
      </c>
      <c r="AA10" s="6">
        <v>1.7719903046463199</v>
      </c>
      <c r="AB10" s="6">
        <v>4.0859314651361798</v>
      </c>
      <c r="AC10" s="7">
        <v>1.8463729498725401</v>
      </c>
      <c r="AD10">
        <f t="shared" si="2"/>
        <v>21.510942648649827</v>
      </c>
      <c r="AE10">
        <f t="shared" si="3"/>
        <v>2.8787692607870392</v>
      </c>
    </row>
    <row r="11" spans="1:36" x14ac:dyDescent="0.3">
      <c r="B11" s="8">
        <v>100</v>
      </c>
      <c r="C11" s="9">
        <v>2</v>
      </c>
      <c r="D11" s="9">
        <v>1500</v>
      </c>
      <c r="E11" s="9">
        <v>11.435813865154101</v>
      </c>
      <c r="F11" s="9">
        <v>41.5902465345454</v>
      </c>
      <c r="G11" s="9">
        <v>1.7959888232993599</v>
      </c>
      <c r="H11" s="9">
        <v>1.01640261263089</v>
      </c>
      <c r="I11" s="9">
        <v>3.73823132574043</v>
      </c>
      <c r="J11" s="10">
        <v>1.7062675113349399</v>
      </c>
      <c r="K11">
        <f t="shared" si="1"/>
        <v>11.073419260313198</v>
      </c>
      <c r="L11">
        <f t="shared" si="0"/>
        <v>0.13132984961779409</v>
      </c>
      <c r="U11" s="8">
        <v>110</v>
      </c>
      <c r="V11" s="9">
        <v>2</v>
      </c>
      <c r="W11" s="9">
        <v>1500</v>
      </c>
      <c r="X11" s="9">
        <v>14.237183619633299</v>
      </c>
      <c r="Y11" s="9">
        <v>41.639288495606003</v>
      </c>
      <c r="Z11" s="9">
        <v>1.34673078210956</v>
      </c>
      <c r="AA11" s="9">
        <v>1.2277035528868701</v>
      </c>
      <c r="AB11" s="9">
        <v>3.7475995846554802</v>
      </c>
      <c r="AC11" s="10">
        <v>1.42916325231605</v>
      </c>
      <c r="AD11">
        <f t="shared" si="2"/>
        <v>16.681722061771918</v>
      </c>
      <c r="AE11">
        <f t="shared" si="3"/>
        <v>5.9757681950935044</v>
      </c>
    </row>
    <row r="12" spans="1:36" x14ac:dyDescent="0.3">
      <c r="B12" s="5">
        <v>100</v>
      </c>
      <c r="C12" s="6">
        <v>2</v>
      </c>
      <c r="D12" s="6">
        <v>2000</v>
      </c>
      <c r="E12" s="6">
        <v>9.5302387812026605</v>
      </c>
      <c r="F12" s="6">
        <v>36.802862126818098</v>
      </c>
      <c r="G12" s="6">
        <v>1.8207042084874001</v>
      </c>
      <c r="H12" s="6">
        <v>0.79288552264530698</v>
      </c>
      <c r="I12" s="6">
        <v>3.4606612192424602</v>
      </c>
      <c r="J12" s="7">
        <v>1.8679472767974801</v>
      </c>
      <c r="K12">
        <f t="shared" si="1"/>
        <v>8.8591992133991173</v>
      </c>
      <c r="L12">
        <f t="shared" si="0"/>
        <v>0.45029410155796612</v>
      </c>
      <c r="U12" s="5">
        <v>110</v>
      </c>
      <c r="V12" s="6">
        <v>2</v>
      </c>
      <c r="W12" s="6">
        <v>2000</v>
      </c>
      <c r="X12" s="6">
        <v>13.908604489889999</v>
      </c>
      <c r="Y12" s="6">
        <v>36.8278655477272</v>
      </c>
      <c r="Z12" s="6">
        <v>1.8654282014749799</v>
      </c>
      <c r="AA12" s="6">
        <v>0.97630376102077798</v>
      </c>
      <c r="AB12" s="6">
        <v>3.4399342176330201</v>
      </c>
      <c r="AC12" s="7">
        <v>1.7345285214649</v>
      </c>
      <c r="AD12">
        <f t="shared" si="2"/>
        <v>12.936664631183632</v>
      </c>
      <c r="AE12">
        <f t="shared" si="3"/>
        <v>0.94466708894215312</v>
      </c>
    </row>
    <row r="13" spans="1:36" x14ac:dyDescent="0.3">
      <c r="A13" t="s">
        <v>20</v>
      </c>
      <c r="B13" s="8">
        <v>100</v>
      </c>
      <c r="C13" s="9">
        <v>2</v>
      </c>
      <c r="D13" s="9">
        <v>2500</v>
      </c>
      <c r="E13" s="9">
        <v>10.013526888477299</v>
      </c>
      <c r="F13" s="9">
        <v>33.105415840303003</v>
      </c>
      <c r="G13" s="9">
        <v>2.6691951839081001</v>
      </c>
      <c r="H13" s="9">
        <v>0.70347678721266305</v>
      </c>
      <c r="I13" s="9">
        <v>3.1608122907983001</v>
      </c>
      <c r="J13" s="10">
        <v>2.4366614934508699</v>
      </c>
      <c r="K13">
        <f t="shared" si="1"/>
        <v>7.0877304342644019</v>
      </c>
      <c r="L13">
        <f t="shared" si="0"/>
        <v>8.5602848914847645</v>
      </c>
      <c r="U13" s="8">
        <v>110</v>
      </c>
      <c r="V13" s="9">
        <v>2</v>
      </c>
      <c r="W13" s="9">
        <v>2500</v>
      </c>
      <c r="X13" s="9">
        <v>11.400694755451401</v>
      </c>
      <c r="Y13" s="9">
        <v>32.920906616969603</v>
      </c>
      <c r="Z13" s="9">
        <v>1.82191980185842</v>
      </c>
      <c r="AA13" s="9">
        <v>0.73595834237968005</v>
      </c>
      <c r="AB13" s="9">
        <v>3.1161673525534099</v>
      </c>
      <c r="AC13" s="10">
        <v>1.7257716809789001</v>
      </c>
      <c r="AD13">
        <f t="shared" si="2"/>
        <v>10.032375024592696</v>
      </c>
      <c r="AE13">
        <f t="shared" si="3"/>
        <v>1.8722988858572382</v>
      </c>
    </row>
    <row r="14" spans="1:36" x14ac:dyDescent="0.3">
      <c r="A14" t="s">
        <v>24</v>
      </c>
      <c r="B14" s="5">
        <v>100</v>
      </c>
      <c r="C14" s="6">
        <v>3</v>
      </c>
      <c r="D14" s="6">
        <v>500</v>
      </c>
      <c r="E14" s="6">
        <v>7.7582738103185598</v>
      </c>
      <c r="F14" s="6">
        <v>43.6846300404545</v>
      </c>
      <c r="G14" s="6">
        <v>1.69209394815262</v>
      </c>
      <c r="H14" s="6">
        <v>1.33891259050426</v>
      </c>
      <c r="I14" s="6">
        <v>3.8549523475830001</v>
      </c>
      <c r="J14" s="7">
        <v>1.5800188454213999</v>
      </c>
      <c r="K14">
        <f t="shared" si="1"/>
        <v>7.4283024238333271</v>
      </c>
      <c r="L14">
        <f t="shared" si="0"/>
        <v>0.10888111589898682</v>
      </c>
      <c r="U14" s="5">
        <v>110</v>
      </c>
      <c r="V14" s="6">
        <v>3</v>
      </c>
      <c r="W14" s="6">
        <v>500</v>
      </c>
      <c r="X14" s="6">
        <v>15.680837448358799</v>
      </c>
      <c r="Y14" s="6">
        <v>43.764438158939399</v>
      </c>
      <c r="Z14" s="6">
        <v>2.1771258157546902</v>
      </c>
      <c r="AA14" s="6">
        <v>1.98065622473133</v>
      </c>
      <c r="AB14" s="6">
        <v>3.8643627782451899</v>
      </c>
      <c r="AC14" s="7">
        <v>2.3749907745095098</v>
      </c>
      <c r="AD14">
        <f t="shared" si="2"/>
        <v>14.508745180149077</v>
      </c>
      <c r="AE14">
        <f t="shared" si="3"/>
        <v>1.3738002851970113</v>
      </c>
    </row>
    <row r="15" spans="1:36" x14ac:dyDescent="0.3">
      <c r="B15" s="8">
        <v>100</v>
      </c>
      <c r="C15" s="9">
        <v>3</v>
      </c>
      <c r="D15" s="9">
        <v>1000</v>
      </c>
      <c r="E15" s="9">
        <v>6.57343200408088</v>
      </c>
      <c r="F15" s="9">
        <v>37.648316448333297</v>
      </c>
      <c r="G15" s="9">
        <v>1.9620784200538901</v>
      </c>
      <c r="H15" s="9">
        <v>1.0740450425230601</v>
      </c>
      <c r="I15" s="9">
        <v>3.5285528061407798</v>
      </c>
      <c r="J15" s="10">
        <v>1.75228054012568</v>
      </c>
      <c r="K15">
        <f t="shared" si="1"/>
        <v>5.9429530701480546</v>
      </c>
      <c r="L15">
        <f t="shared" si="0"/>
        <v>0.39750368613307202</v>
      </c>
      <c r="U15" s="8">
        <v>110</v>
      </c>
      <c r="V15" s="9">
        <v>3</v>
      </c>
      <c r="W15" s="9">
        <v>1000</v>
      </c>
      <c r="X15" s="9">
        <v>11.5141612395254</v>
      </c>
      <c r="Y15" s="9">
        <v>37.7315105795454</v>
      </c>
      <c r="Z15" s="9">
        <v>2.0887724737230799</v>
      </c>
      <c r="AA15" s="9">
        <v>1.5671124781375301</v>
      </c>
      <c r="AB15" s="9">
        <v>3.5275192877459798</v>
      </c>
      <c r="AC15" s="10">
        <v>2.0904653787392502</v>
      </c>
      <c r="AD15">
        <f t="shared" si="2"/>
        <v>11.251522469914223</v>
      </c>
      <c r="AE15">
        <f t="shared" si="3"/>
        <v>6.8979123302873105E-2</v>
      </c>
    </row>
    <row r="16" spans="1:36" x14ac:dyDescent="0.3">
      <c r="B16" s="5">
        <v>100</v>
      </c>
      <c r="C16" s="6">
        <v>3</v>
      </c>
      <c r="D16" s="6">
        <v>1500</v>
      </c>
      <c r="E16" s="6">
        <v>4.9960232850488699</v>
      </c>
      <c r="F16" s="6">
        <v>32.414257819090899</v>
      </c>
      <c r="G16" s="6">
        <v>2.1209708774329799</v>
      </c>
      <c r="H16" s="6">
        <v>0.79689930934966602</v>
      </c>
      <c r="I16" s="6">
        <v>3.1969493628966599</v>
      </c>
      <c r="J16" s="7">
        <v>1.8557261190132299</v>
      </c>
      <c r="K16">
        <f t="shared" si="1"/>
        <v>4.754611374015143</v>
      </c>
      <c r="L16">
        <f t="shared" si="0"/>
        <v>5.8279710788956093E-2</v>
      </c>
      <c r="U16" s="5">
        <v>110</v>
      </c>
      <c r="V16" s="6">
        <v>3</v>
      </c>
      <c r="W16" s="6">
        <v>1500</v>
      </c>
      <c r="X16" s="6">
        <v>7.0103726034851501</v>
      </c>
      <c r="Y16" s="6">
        <v>32.583728399848397</v>
      </c>
      <c r="Z16" s="6">
        <v>1.8031873212866101</v>
      </c>
      <c r="AA16" s="6">
        <v>1.03946478552786</v>
      </c>
      <c r="AB16" s="6">
        <v>3.2084982031034102</v>
      </c>
      <c r="AC16" s="7">
        <v>1.6084584716921499</v>
      </c>
      <c r="AD16">
        <f t="shared" si="2"/>
        <v>8.7255483723151279</v>
      </c>
      <c r="AE16">
        <f t="shared" si="3"/>
        <v>2.9418279179815054</v>
      </c>
    </row>
    <row r="17" spans="2:36" x14ac:dyDescent="0.3">
      <c r="B17" s="8">
        <v>100</v>
      </c>
      <c r="C17" s="9">
        <v>3</v>
      </c>
      <c r="D17" s="9">
        <v>2000</v>
      </c>
      <c r="E17" s="9">
        <v>2.9305364867537098</v>
      </c>
      <c r="F17" s="9">
        <v>28.558953559393899</v>
      </c>
      <c r="G17" s="9">
        <v>2.17873207546595</v>
      </c>
      <c r="H17" s="9">
        <v>0.51862118385605305</v>
      </c>
      <c r="I17" s="9">
        <v>2.9504476336276202</v>
      </c>
      <c r="J17" s="10">
        <v>1.9680218520978201</v>
      </c>
      <c r="K17">
        <f t="shared" si="1"/>
        <v>3.8038882439552877</v>
      </c>
      <c r="L17">
        <f t="shared" si="0"/>
        <v>0.76274329180708378</v>
      </c>
      <c r="U17" s="8">
        <v>110</v>
      </c>
      <c r="V17" s="9">
        <v>3</v>
      </c>
      <c r="W17" s="9">
        <v>2000</v>
      </c>
      <c r="X17" s="9">
        <v>8.0664703720160293</v>
      </c>
      <c r="Y17" s="9">
        <v>28.682397553787801</v>
      </c>
      <c r="Z17" s="9">
        <v>2.1857902579310799</v>
      </c>
      <c r="AA17" s="9">
        <v>0.98087451540237203</v>
      </c>
      <c r="AB17" s="9">
        <v>2.9467332525354601</v>
      </c>
      <c r="AC17" s="10">
        <v>1.85597030853824</v>
      </c>
      <c r="AD17">
        <f t="shared" si="2"/>
        <v>6.7666570991784676</v>
      </c>
      <c r="AE17">
        <f t="shared" si="3"/>
        <v>1.6895145442446937</v>
      </c>
    </row>
    <row r="18" spans="2:36" x14ac:dyDescent="0.3">
      <c r="B18" s="5">
        <v>100</v>
      </c>
      <c r="C18" s="6">
        <v>3</v>
      </c>
      <c r="D18" s="6">
        <v>2500</v>
      </c>
      <c r="E18" s="6">
        <v>2.7709229587059001</v>
      </c>
      <c r="F18" s="6">
        <v>25.136572647727199</v>
      </c>
      <c r="G18" s="6">
        <v>2.5626585277727001</v>
      </c>
      <c r="H18" s="6">
        <v>0.46449383279055001</v>
      </c>
      <c r="I18" s="6">
        <v>2.69146716438381</v>
      </c>
      <c r="J18" s="7">
        <v>2.3207968657201001</v>
      </c>
      <c r="K18">
        <f t="shared" si="1"/>
        <v>3.0432699192998567</v>
      </c>
      <c r="L18">
        <f t="shared" si="0"/>
        <v>7.417286694476613E-2</v>
      </c>
      <c r="U18" s="5">
        <v>110</v>
      </c>
      <c r="V18" s="6">
        <v>3</v>
      </c>
      <c r="W18" s="6">
        <v>2500</v>
      </c>
      <c r="X18" s="6">
        <v>6.3015760126496199</v>
      </c>
      <c r="Y18" s="6">
        <v>25.507203677575699</v>
      </c>
      <c r="Z18" s="6">
        <v>2.4420614425269198</v>
      </c>
      <c r="AA18" s="6">
        <v>0.69350996440117196</v>
      </c>
      <c r="AB18" s="6">
        <v>2.7148923891940502</v>
      </c>
      <c r="AC18" s="7">
        <v>2.1630238105382098</v>
      </c>
      <c r="AD18">
        <f t="shared" si="2"/>
        <v>5.2475381883320713</v>
      </c>
      <c r="AE18">
        <f t="shared" si="3"/>
        <v>1.1109957350920714</v>
      </c>
    </row>
    <row r="19" spans="2:36" x14ac:dyDescent="0.3">
      <c r="B19" s="8">
        <v>100</v>
      </c>
      <c r="C19" s="9">
        <v>4</v>
      </c>
      <c r="D19" s="9">
        <v>500</v>
      </c>
      <c r="E19" s="9">
        <v>6.4722997312794099</v>
      </c>
      <c r="F19" s="9">
        <v>37.209898678787802</v>
      </c>
      <c r="G19" s="9">
        <v>2.1496440043624498</v>
      </c>
      <c r="H19" s="9">
        <v>1.39978383337849</v>
      </c>
      <c r="I19" s="9">
        <v>3.5183836489188001</v>
      </c>
      <c r="J19" s="10">
        <v>1.9070302809725299</v>
      </c>
      <c r="K19">
        <f t="shared" si="1"/>
        <v>3.1895018479579562</v>
      </c>
      <c r="L19">
        <f t="shared" si="0"/>
        <v>10.776761942739817</v>
      </c>
      <c r="U19" s="8">
        <v>110</v>
      </c>
      <c r="V19" s="9">
        <v>4</v>
      </c>
      <c r="W19" s="9">
        <v>500</v>
      </c>
      <c r="X19" s="9">
        <v>8.6403234385068099</v>
      </c>
      <c r="Y19" s="9">
        <v>37.295747593939303</v>
      </c>
      <c r="Z19" s="9">
        <v>2.2307611496558502</v>
      </c>
      <c r="AA19" s="9">
        <v>1.4522039845741801</v>
      </c>
      <c r="AB19" s="9">
        <v>3.5143489769496701</v>
      </c>
      <c r="AC19" s="10">
        <v>1.8703239363325299</v>
      </c>
      <c r="AD19">
        <f t="shared" si="2"/>
        <v>7.5889501948420373</v>
      </c>
      <c r="AE19">
        <f t="shared" si="3"/>
        <v>1.1053856974941856</v>
      </c>
    </row>
    <row r="20" spans="2:36" x14ac:dyDescent="0.3">
      <c r="B20" s="5">
        <v>100</v>
      </c>
      <c r="C20" s="6">
        <v>4</v>
      </c>
      <c r="D20" s="6">
        <v>1000</v>
      </c>
      <c r="E20" s="6">
        <v>4.8172790003394699</v>
      </c>
      <c r="F20" s="6">
        <v>31.911139860151501</v>
      </c>
      <c r="G20" s="6">
        <v>2.3364256688114402</v>
      </c>
      <c r="H20" s="6">
        <v>1.05070848753989</v>
      </c>
      <c r="I20" s="6">
        <v>3.2523060525854102</v>
      </c>
      <c r="J20" s="7">
        <v>2.0689651452311</v>
      </c>
      <c r="K20">
        <f t="shared" si="1"/>
        <v>2.551735069206162</v>
      </c>
      <c r="L20">
        <f t="shared" si="0"/>
        <v>5.1326893038949626</v>
      </c>
      <c r="U20" s="5">
        <v>110</v>
      </c>
      <c r="V20" s="6">
        <v>4</v>
      </c>
      <c r="W20" s="6">
        <v>1000</v>
      </c>
      <c r="X20" s="6">
        <v>7.4863922622541601</v>
      </c>
      <c r="Y20" s="6">
        <v>32.045970122575703</v>
      </c>
      <c r="Z20" s="6">
        <v>2.3494714868673099</v>
      </c>
      <c r="AA20" s="6">
        <v>1.3376697832860101</v>
      </c>
      <c r="AB20" s="6">
        <v>3.24130686371111</v>
      </c>
      <c r="AC20" s="7">
        <v>2.1644097021986601</v>
      </c>
      <c r="AD20">
        <f t="shared" si="2"/>
        <v>5.8852259502877118</v>
      </c>
      <c r="AE20">
        <f t="shared" si="3"/>
        <v>2.5637335585762377</v>
      </c>
    </row>
    <row r="21" spans="2:36" x14ac:dyDescent="0.3">
      <c r="B21" s="8">
        <v>100</v>
      </c>
      <c r="C21" s="9">
        <v>4</v>
      </c>
      <c r="D21" s="9">
        <v>1500</v>
      </c>
      <c r="E21" s="9">
        <v>3.3023887897462001</v>
      </c>
      <c r="F21" s="9">
        <v>27.4015136460606</v>
      </c>
      <c r="G21" s="9">
        <v>2.4922487904066601</v>
      </c>
      <c r="H21" s="9">
        <v>0.7089662863724</v>
      </c>
      <c r="I21" s="9">
        <v>2.9789941421977599</v>
      </c>
      <c r="J21" s="10">
        <v>2.1636276488749502</v>
      </c>
      <c r="K21">
        <f t="shared" si="1"/>
        <v>2.0414949336321593</v>
      </c>
      <c r="L21">
        <f t="shared" si="0"/>
        <v>1.5898533163861355</v>
      </c>
      <c r="U21" s="8">
        <v>110</v>
      </c>
      <c r="V21" s="9">
        <v>4</v>
      </c>
      <c r="W21" s="9">
        <v>1500</v>
      </c>
      <c r="X21" s="9">
        <v>5.3881873237563402</v>
      </c>
      <c r="Y21" s="9">
        <v>27.6151055918181</v>
      </c>
      <c r="Z21" s="9">
        <v>2.31390130435652</v>
      </c>
      <c r="AA21" s="9">
        <v>0.99311152509896905</v>
      </c>
      <c r="AB21" s="9">
        <v>2.9749875643070598</v>
      </c>
      <c r="AC21" s="10">
        <v>2.0130874146964302</v>
      </c>
      <c r="AD21">
        <f t="shared" si="2"/>
        <v>4.5639889044838897</v>
      </c>
      <c r="AE21">
        <f t="shared" si="3"/>
        <v>0.67930303433120609</v>
      </c>
    </row>
    <row r="22" spans="2:36" x14ac:dyDescent="0.3">
      <c r="B22" s="5">
        <v>100</v>
      </c>
      <c r="C22" s="6">
        <v>4</v>
      </c>
      <c r="D22" s="6">
        <v>2000</v>
      </c>
      <c r="E22" s="6">
        <v>1.3450059512694701</v>
      </c>
      <c r="F22" s="6">
        <v>24.008469821060601</v>
      </c>
      <c r="G22" s="6">
        <v>2.6235122738626102</v>
      </c>
      <c r="H22" s="6">
        <v>0.348569685825595</v>
      </c>
      <c r="I22" s="6">
        <v>2.71829570073464</v>
      </c>
      <c r="J22" s="7">
        <v>2.24910715449955</v>
      </c>
      <c r="K22">
        <f t="shared" si="1"/>
        <v>1.6332814539960578</v>
      </c>
      <c r="L22">
        <f t="shared" si="0"/>
        <v>8.3102765472266901E-2</v>
      </c>
      <c r="U22" s="5">
        <v>110</v>
      </c>
      <c r="V22" s="6">
        <v>4</v>
      </c>
      <c r="W22" s="6">
        <v>2000</v>
      </c>
      <c r="X22" s="6">
        <v>4.4819066287711804</v>
      </c>
      <c r="Y22" s="6">
        <v>24.284387221666599</v>
      </c>
      <c r="Z22" s="6">
        <v>2.5066143811223598</v>
      </c>
      <c r="AA22" s="6">
        <v>0.79638290010602197</v>
      </c>
      <c r="AB22" s="6">
        <v>2.7267401132220899</v>
      </c>
      <c r="AC22" s="7">
        <v>2.2240596970790301</v>
      </c>
      <c r="AD22">
        <f t="shared" si="2"/>
        <v>3.539370433047476</v>
      </c>
      <c r="AE22">
        <f t="shared" si="3"/>
        <v>0.8883744802493132</v>
      </c>
    </row>
    <row r="23" spans="2:36" x14ac:dyDescent="0.3">
      <c r="B23" s="8">
        <v>100</v>
      </c>
      <c r="C23" s="9">
        <v>4</v>
      </c>
      <c r="D23" s="9">
        <v>2500</v>
      </c>
      <c r="E23" s="9">
        <v>1.3022767583499999</v>
      </c>
      <c r="F23" s="9">
        <v>21.139661948030302</v>
      </c>
      <c r="G23" s="9">
        <v>2.9820756376031898</v>
      </c>
      <c r="H23" s="9">
        <v>0.33471296296296199</v>
      </c>
      <c r="I23" s="9">
        <v>2.5102488722876002</v>
      </c>
      <c r="J23" s="10">
        <v>2.6883749253830702</v>
      </c>
      <c r="K23">
        <f t="shared" si="1"/>
        <v>1.3066935724505373</v>
      </c>
      <c r="L23">
        <f t="shared" si="0"/>
        <v>1.9508246798706028E-5</v>
      </c>
      <c r="U23" s="8">
        <v>110</v>
      </c>
      <c r="V23" s="9">
        <v>4</v>
      </c>
      <c r="W23" s="9">
        <v>2500</v>
      </c>
      <c r="X23" s="9">
        <v>3.84190099003421</v>
      </c>
      <c r="Y23" s="9">
        <v>21.5010230271212</v>
      </c>
      <c r="Z23" s="9">
        <v>2.6940043156601399</v>
      </c>
      <c r="AA23" s="9">
        <v>0.62146177945828096</v>
      </c>
      <c r="AB23" s="9">
        <v>2.5151068939545098</v>
      </c>
      <c r="AC23" s="10">
        <v>2.4262134399034898</v>
      </c>
      <c r="AD23">
        <f t="shared" si="2"/>
        <v>2.7447794735047188</v>
      </c>
      <c r="AE23">
        <f t="shared" si="3"/>
        <v>1.2036756220319706</v>
      </c>
    </row>
    <row r="25" spans="2:36" x14ac:dyDescent="0.3">
      <c r="H25" s="1"/>
    </row>
    <row r="26" spans="2:36" x14ac:dyDescent="0.3">
      <c r="O26" t="s">
        <v>11</v>
      </c>
      <c r="P26" t="s">
        <v>12</v>
      </c>
      <c r="Q26" t="s">
        <v>13</v>
      </c>
      <c r="AH26" t="s">
        <v>11</v>
      </c>
      <c r="AI26" t="s">
        <v>12</v>
      </c>
      <c r="AJ26" t="s">
        <v>13</v>
      </c>
    </row>
    <row r="27" spans="2:36" x14ac:dyDescent="0.3">
      <c r="B27" s="2" t="s">
        <v>2</v>
      </c>
      <c r="C27" s="3" t="s">
        <v>3</v>
      </c>
      <c r="D27" s="3" t="s">
        <v>4</v>
      </c>
      <c r="E27" s="3" t="s">
        <v>5</v>
      </c>
      <c r="F27" s="3" t="s">
        <v>6</v>
      </c>
      <c r="G27" s="3" t="s">
        <v>7</v>
      </c>
      <c r="H27" s="3" t="s">
        <v>1</v>
      </c>
      <c r="I27" s="3" t="s">
        <v>0</v>
      </c>
      <c r="J27" s="4" t="s">
        <v>8</v>
      </c>
      <c r="K27" s="11" t="s">
        <v>14</v>
      </c>
      <c r="L27" s="11" t="s">
        <v>15</v>
      </c>
      <c r="M27" s="11" t="s">
        <v>16</v>
      </c>
      <c r="N27" s="11" t="s">
        <v>17</v>
      </c>
      <c r="O27">
        <v>1714.917635217412</v>
      </c>
      <c r="P27">
        <v>0.83985055963648947</v>
      </c>
      <c r="Q27">
        <v>0.46635263782221503</v>
      </c>
      <c r="U27" s="2" t="s">
        <v>2</v>
      </c>
      <c r="V27" s="3" t="s">
        <v>3</v>
      </c>
      <c r="W27" s="3" t="s">
        <v>4</v>
      </c>
      <c r="X27" s="3" t="s">
        <v>5</v>
      </c>
      <c r="Y27" s="3" t="s">
        <v>6</v>
      </c>
      <c r="Z27" s="3" t="s">
        <v>7</v>
      </c>
      <c r="AA27" s="3" t="s">
        <v>1</v>
      </c>
      <c r="AB27" s="3" t="s">
        <v>0</v>
      </c>
      <c r="AC27" s="4" t="s">
        <v>8</v>
      </c>
      <c r="AD27" s="11" t="s">
        <v>14</v>
      </c>
      <c r="AE27" s="11" t="s">
        <v>15</v>
      </c>
      <c r="AF27" s="11" t="s">
        <v>16</v>
      </c>
      <c r="AG27" s="11" t="s">
        <v>17</v>
      </c>
      <c r="AH27">
        <v>3628.6457984187477</v>
      </c>
      <c r="AI27">
        <v>0.64967831490550143</v>
      </c>
      <c r="AJ27">
        <v>0.56764270571653275</v>
      </c>
    </row>
    <row r="28" spans="2:36" x14ac:dyDescent="0.3">
      <c r="B28" s="5">
        <v>100</v>
      </c>
      <c r="C28" s="6">
        <v>1</v>
      </c>
      <c r="D28" s="6">
        <v>500</v>
      </c>
      <c r="E28" s="6">
        <v>38.987904843554098</v>
      </c>
      <c r="F28" s="6">
        <v>88.051904233454493</v>
      </c>
      <c r="G28" s="6">
        <v>0.61602232172104499</v>
      </c>
      <c r="H28" s="6">
        <v>1.7805269034751501</v>
      </c>
      <c r="I28" s="6">
        <v>5.7174463924963899</v>
      </c>
      <c r="J28" s="7">
        <v>1.0588650288078501</v>
      </c>
      <c r="K28">
        <f>$O$27*EXP(-$P$27*C28)*D28^(-$Q$27)</f>
        <v>40.815866595898299</v>
      </c>
      <c r="L28">
        <f t="shared" ref="L28:L47" si="4">(K28-E28)^2</f>
        <v>3.3414441680332834</v>
      </c>
      <c r="M28">
        <f>SUM(L28:L47)</f>
        <v>143.26283740656518</v>
      </c>
      <c r="N28">
        <f>RSQ(E28:E47,K28:K47)</f>
        <v>0.93772165003706254</v>
      </c>
      <c r="U28" s="5">
        <v>110</v>
      </c>
      <c r="V28" s="6">
        <v>1</v>
      </c>
      <c r="W28" s="6">
        <v>500</v>
      </c>
      <c r="X28" s="6">
        <v>57.282114061772397</v>
      </c>
      <c r="Y28" s="6">
        <v>86.600729920272698</v>
      </c>
      <c r="Z28" s="6">
        <v>1.0312647741452401</v>
      </c>
      <c r="AA28" s="6">
        <v>2.5886822361941402</v>
      </c>
      <c r="AB28" s="6">
        <v>5.83584206677161</v>
      </c>
      <c r="AC28" s="7">
        <v>1.7439489115946001</v>
      </c>
      <c r="AD28">
        <f t="shared" ref="AD28:AD47" si="5">$AH$27*EXP(-$AI$27*V28)*W28^(-$AJ$27)</f>
        <v>55.659876012423076</v>
      </c>
      <c r="AE28">
        <f>(AD28-X28)^2</f>
        <v>2.6316562887566883</v>
      </c>
      <c r="AF28">
        <f>SUM(AE28:AE47)</f>
        <v>32.247745025401414</v>
      </c>
      <c r="AG28">
        <f>RSQ(X28:X47,AD28:AD47)</f>
        <v>0.99104121550775515</v>
      </c>
    </row>
    <row r="29" spans="2:36" x14ac:dyDescent="0.3">
      <c r="B29" s="8">
        <v>100</v>
      </c>
      <c r="C29" s="9">
        <v>1</v>
      </c>
      <c r="D29" s="9">
        <v>1000</v>
      </c>
      <c r="E29" s="9">
        <v>36.549487136239101</v>
      </c>
      <c r="F29" s="9">
        <v>76.838578092363605</v>
      </c>
      <c r="G29" s="9">
        <v>0.90900473903045798</v>
      </c>
      <c r="H29" s="9">
        <v>1.52448359526946</v>
      </c>
      <c r="I29" s="9">
        <v>5.4619033090646703</v>
      </c>
      <c r="J29" s="10">
        <v>1.24498258477945</v>
      </c>
      <c r="K29">
        <f t="shared" ref="K29:K47" si="6">$O$27*EXP(-$P$27*C29)*D29^(-$Q$27)</f>
        <v>29.542203760618335</v>
      </c>
      <c r="L29">
        <f t="shared" si="4"/>
        <v>49.102020306251156</v>
      </c>
      <c r="U29" s="8">
        <v>110</v>
      </c>
      <c r="V29" s="9">
        <v>1</v>
      </c>
      <c r="W29" s="9">
        <v>1000</v>
      </c>
      <c r="X29" s="9">
        <v>37.486742154701602</v>
      </c>
      <c r="Y29" s="9">
        <v>77.167960525181797</v>
      </c>
      <c r="Z29" s="9">
        <v>0.73926540807119001</v>
      </c>
      <c r="AA29" s="9">
        <v>1.6681911472192399</v>
      </c>
      <c r="AB29" s="9">
        <v>5.4113362160566698</v>
      </c>
      <c r="AC29" s="10">
        <v>1.27635381978995</v>
      </c>
      <c r="AD29">
        <f t="shared" si="5"/>
        <v>37.554739456929894</v>
      </c>
      <c r="AE29">
        <f t="shared" ref="AE29:AE47" si="7">(AD29-X29)^2</f>
        <v>4.6236331103257193E-3</v>
      </c>
    </row>
    <row r="30" spans="2:36" x14ac:dyDescent="0.3">
      <c r="B30" s="5">
        <v>100</v>
      </c>
      <c r="C30" s="6">
        <v>1</v>
      </c>
      <c r="D30" s="6">
        <v>1500</v>
      </c>
      <c r="E30" s="6">
        <v>26.994950335905699</v>
      </c>
      <c r="F30" s="6">
        <v>68.538763993909001</v>
      </c>
      <c r="G30" s="6">
        <v>0.77971835079028595</v>
      </c>
      <c r="H30" s="6">
        <v>1.05270746011517</v>
      </c>
      <c r="I30" s="6">
        <v>4.9417855011150396</v>
      </c>
      <c r="J30" s="7">
        <v>1.17828101475251</v>
      </c>
      <c r="K30">
        <f t="shared" si="6"/>
        <v>24.452443613105949</v>
      </c>
      <c r="L30">
        <f t="shared" si="4"/>
        <v>6.4643404354819261</v>
      </c>
      <c r="U30" s="5">
        <v>110</v>
      </c>
      <c r="V30" s="6">
        <v>1</v>
      </c>
      <c r="W30" s="6">
        <v>1500</v>
      </c>
      <c r="X30" s="6">
        <v>29.761861465604099</v>
      </c>
      <c r="Y30" s="6">
        <v>69.371188460090906</v>
      </c>
      <c r="Z30" s="6">
        <v>0.79821700722667299</v>
      </c>
      <c r="AA30" s="6">
        <v>1.29195428868517</v>
      </c>
      <c r="AB30" s="6">
        <v>5.0469736422668197</v>
      </c>
      <c r="AC30" s="7">
        <v>1.1870163692771201</v>
      </c>
      <c r="AD30">
        <f t="shared" si="5"/>
        <v>29.833749207559848</v>
      </c>
      <c r="AE30">
        <f t="shared" si="7"/>
        <v>5.1678474434963054E-3</v>
      </c>
    </row>
    <row r="31" spans="2:36" x14ac:dyDescent="0.3">
      <c r="B31" s="8">
        <v>100</v>
      </c>
      <c r="C31" s="9">
        <v>1</v>
      </c>
      <c r="D31" s="9">
        <v>2000</v>
      </c>
      <c r="E31" s="9">
        <v>19.553108798739299</v>
      </c>
      <c r="F31" s="9">
        <v>63.490942324909099</v>
      </c>
      <c r="G31" s="9">
        <v>0.90509577673152797</v>
      </c>
      <c r="H31" s="9">
        <v>0.78681743658388403</v>
      </c>
      <c r="I31" s="9">
        <v>4.6280308277581002</v>
      </c>
      <c r="J31" s="10">
        <v>1.44797915088444</v>
      </c>
      <c r="K31">
        <f t="shared" si="6"/>
        <v>21.382415119947414</v>
      </c>
      <c r="L31">
        <f t="shared" si="4"/>
        <v>3.3463616168119676</v>
      </c>
      <c r="U31" s="8">
        <v>110</v>
      </c>
      <c r="V31" s="9">
        <v>1</v>
      </c>
      <c r="W31" s="9">
        <v>2000</v>
      </c>
      <c r="X31" s="9">
        <v>25.361730066887599</v>
      </c>
      <c r="Y31" s="9">
        <v>63.423271751727199</v>
      </c>
      <c r="Z31" s="9">
        <v>0.83943070478818405</v>
      </c>
      <c r="AA31" s="9">
        <v>1.05080714795866</v>
      </c>
      <c r="AB31" s="9">
        <v>4.6836377508854703</v>
      </c>
      <c r="AC31" s="10">
        <v>1.2559956537835</v>
      </c>
      <c r="AD31">
        <f t="shared" si="5"/>
        <v>25.338871674149988</v>
      </c>
      <c r="AE31">
        <f t="shared" si="7"/>
        <v>5.225061185468536E-4</v>
      </c>
    </row>
    <row r="32" spans="2:36" x14ac:dyDescent="0.3">
      <c r="B32" s="5">
        <v>100</v>
      </c>
      <c r="C32" s="6">
        <v>1</v>
      </c>
      <c r="D32" s="6">
        <v>2500</v>
      </c>
      <c r="E32" s="6">
        <v>13.1516507988825</v>
      </c>
      <c r="F32" s="6">
        <v>56.859420649</v>
      </c>
      <c r="G32" s="6">
        <v>1.60925803027996</v>
      </c>
      <c r="H32" s="6">
        <v>0.61247407166907097</v>
      </c>
      <c r="I32" s="6">
        <v>4.2249616822571303</v>
      </c>
      <c r="J32" s="7">
        <v>1.86439953983776</v>
      </c>
      <c r="K32">
        <f t="shared" si="6"/>
        <v>19.269148182050625</v>
      </c>
      <c r="L32">
        <f t="shared" si="4"/>
        <v>37.423774233068855</v>
      </c>
      <c r="U32" s="5">
        <v>110</v>
      </c>
      <c r="V32" s="6">
        <v>1</v>
      </c>
      <c r="W32" s="6">
        <v>2500</v>
      </c>
      <c r="X32" s="6">
        <v>21.835551091972899</v>
      </c>
      <c r="Y32" s="6">
        <v>57.584859685181797</v>
      </c>
      <c r="Z32" s="6">
        <v>1.01519197215941</v>
      </c>
      <c r="AA32" s="6">
        <v>1.0006699945887401</v>
      </c>
      <c r="AB32" s="6">
        <v>4.23501931654204</v>
      </c>
      <c r="AC32" s="7">
        <v>1.35253992325525</v>
      </c>
      <c r="AD32">
        <f t="shared" si="5"/>
        <v>22.324256823106548</v>
      </c>
      <c r="AE32">
        <f t="shared" si="7"/>
        <v>0.23883329164287453</v>
      </c>
    </row>
    <row r="33" spans="1:31" x14ac:dyDescent="0.3">
      <c r="B33" s="8">
        <v>100</v>
      </c>
      <c r="C33" s="9">
        <v>2</v>
      </c>
      <c r="D33" s="9">
        <v>500</v>
      </c>
      <c r="E33" s="9">
        <v>13.3547971639351</v>
      </c>
      <c r="F33" s="9">
        <v>56.212994217575698</v>
      </c>
      <c r="G33" s="9">
        <v>1.3230710714705101</v>
      </c>
      <c r="H33" s="9">
        <v>1.4353258976085499</v>
      </c>
      <c r="I33" s="9">
        <v>4.4933293849343903</v>
      </c>
      <c r="J33" s="10">
        <v>1.4206104886524999</v>
      </c>
      <c r="K33">
        <f t="shared" si="6"/>
        <v>17.623272563809543</v>
      </c>
      <c r="L33">
        <f t="shared" si="4"/>
        <v>18.219882239333288</v>
      </c>
      <c r="U33" s="8">
        <v>110</v>
      </c>
      <c r="V33" s="9">
        <v>2</v>
      </c>
      <c r="W33" s="9">
        <v>500</v>
      </c>
      <c r="X33" s="9">
        <v>25.206654469418599</v>
      </c>
      <c r="Y33" s="9">
        <v>56.245464272727197</v>
      </c>
      <c r="Z33" s="9">
        <v>1.7590441166728701</v>
      </c>
      <c r="AA33" s="9">
        <v>2.1167485383282001</v>
      </c>
      <c r="AB33" s="9">
        <v>4.5018395086386596</v>
      </c>
      <c r="AC33" s="10">
        <v>1.99997147662459</v>
      </c>
      <c r="AD33">
        <f t="shared" si="5"/>
        <v>29.066351915739297</v>
      </c>
      <c r="AE33">
        <f t="shared" si="7"/>
        <v>14.897264377134521</v>
      </c>
    </row>
    <row r="34" spans="1:31" x14ac:dyDescent="0.3">
      <c r="B34" s="5">
        <v>100</v>
      </c>
      <c r="C34" s="6">
        <v>2</v>
      </c>
      <c r="D34" s="6">
        <v>1000</v>
      </c>
      <c r="E34" s="6">
        <v>12.1156014384801</v>
      </c>
      <c r="F34" s="6">
        <v>48.526996635303</v>
      </c>
      <c r="G34" s="6">
        <v>1.59016333434984</v>
      </c>
      <c r="H34" s="6">
        <v>1.1983958301855899</v>
      </c>
      <c r="I34" s="6">
        <v>4.1407165728614199</v>
      </c>
      <c r="J34" s="7">
        <v>1.57593520260021</v>
      </c>
      <c r="K34">
        <f t="shared" si="6"/>
        <v>12.755586305774917</v>
      </c>
      <c r="L34">
        <f t="shared" si="4"/>
        <v>0.40958063036636505</v>
      </c>
      <c r="U34" s="5">
        <v>110</v>
      </c>
      <c r="V34" s="6">
        <v>2</v>
      </c>
      <c r="W34" s="6">
        <v>1000</v>
      </c>
      <c r="X34" s="6">
        <v>19.8142490225679</v>
      </c>
      <c r="Y34" s="6">
        <v>48.242304509696901</v>
      </c>
      <c r="Z34" s="6">
        <v>1.71642862674407</v>
      </c>
      <c r="AA34" s="6">
        <v>1.7719903046463199</v>
      </c>
      <c r="AB34" s="6">
        <v>4.0859314651361798</v>
      </c>
      <c r="AC34" s="7">
        <v>1.8463729498725401</v>
      </c>
      <c r="AD34">
        <f t="shared" si="5"/>
        <v>19.611600875923401</v>
      </c>
      <c r="AE34">
        <f t="shared" si="7"/>
        <v>4.1066271338450429E-2</v>
      </c>
    </row>
    <row r="35" spans="1:31" x14ac:dyDescent="0.3">
      <c r="B35" s="8">
        <v>100</v>
      </c>
      <c r="C35" s="9">
        <v>2</v>
      </c>
      <c r="D35" s="9">
        <v>1500</v>
      </c>
      <c r="E35" s="9">
        <v>11.435813865154101</v>
      </c>
      <c r="F35" s="9">
        <v>41.5902465345454</v>
      </c>
      <c r="G35" s="9">
        <v>1.7959888232993599</v>
      </c>
      <c r="H35" s="9">
        <v>1.01640261263089</v>
      </c>
      <c r="I35" s="9">
        <v>3.73823132574043</v>
      </c>
      <c r="J35" s="10">
        <v>1.7062675113349399</v>
      </c>
      <c r="K35">
        <f t="shared" si="6"/>
        <v>10.557954898065439</v>
      </c>
      <c r="L35">
        <f t="shared" si="4"/>
        <v>0.77063636609797148</v>
      </c>
      <c r="U35" s="8">
        <v>110</v>
      </c>
      <c r="V35" s="9">
        <v>2</v>
      </c>
      <c r="W35" s="9">
        <v>1500</v>
      </c>
      <c r="X35" s="9">
        <v>14.237183619633299</v>
      </c>
      <c r="Y35" s="9">
        <v>41.639288495606003</v>
      </c>
      <c r="Z35" s="9">
        <v>1.34673078210956</v>
      </c>
      <c r="AA35" s="9">
        <v>1.2277035528868701</v>
      </c>
      <c r="AB35" s="9">
        <v>3.7475995846554802</v>
      </c>
      <c r="AC35" s="10">
        <v>1.42916325231605</v>
      </c>
      <c r="AD35">
        <f t="shared" si="5"/>
        <v>15.579593695812337</v>
      </c>
      <c r="AE35">
        <f t="shared" si="7"/>
        <v>1.8020648126270089</v>
      </c>
    </row>
    <row r="36" spans="1:31" x14ac:dyDescent="0.3">
      <c r="B36" s="5">
        <v>100</v>
      </c>
      <c r="C36" s="6">
        <v>2</v>
      </c>
      <c r="D36" s="6">
        <v>2000</v>
      </c>
      <c r="E36" s="6">
        <v>9.5302387812026605</v>
      </c>
      <c r="F36" s="6">
        <v>36.802862126818098</v>
      </c>
      <c r="G36" s="6">
        <v>1.8207042084874001</v>
      </c>
      <c r="H36" s="6">
        <v>0.79288552264530698</v>
      </c>
      <c r="I36" s="6">
        <v>3.4606612192424602</v>
      </c>
      <c r="J36" s="7">
        <v>1.8679472767974801</v>
      </c>
      <c r="K36">
        <f t="shared" si="6"/>
        <v>9.23239321272243</v>
      </c>
      <c r="L36">
        <f t="shared" si="4"/>
        <v>8.871198266331172E-2</v>
      </c>
      <c r="U36" s="5">
        <v>110</v>
      </c>
      <c r="V36" s="6">
        <v>2</v>
      </c>
      <c r="W36" s="6">
        <v>2000</v>
      </c>
      <c r="X36" s="6">
        <v>13.908604489889999</v>
      </c>
      <c r="Y36" s="6">
        <v>36.8278655477272</v>
      </c>
      <c r="Z36" s="6">
        <v>1.8654282014749799</v>
      </c>
      <c r="AA36" s="6">
        <v>0.97630376102077798</v>
      </c>
      <c r="AB36" s="6">
        <v>3.4399342176330201</v>
      </c>
      <c r="AC36" s="7">
        <v>1.7345285214649</v>
      </c>
      <c r="AD36">
        <f t="shared" si="5"/>
        <v>13.232306896699081</v>
      </c>
      <c r="AE36">
        <f t="shared" si="7"/>
        <v>0.45737843455582916</v>
      </c>
    </row>
    <row r="37" spans="1:31" x14ac:dyDescent="0.3">
      <c r="A37" t="s">
        <v>22</v>
      </c>
      <c r="B37" s="8">
        <v>100</v>
      </c>
      <c r="C37" s="9">
        <v>2</v>
      </c>
      <c r="D37" s="9">
        <v>2500</v>
      </c>
      <c r="E37" s="9">
        <v>10.013526888477299</v>
      </c>
      <c r="F37" s="9">
        <v>33.105415840303003</v>
      </c>
      <c r="G37" s="9">
        <v>2.6691951839081001</v>
      </c>
      <c r="H37" s="9">
        <v>0.70347678721266305</v>
      </c>
      <c r="I37" s="9">
        <v>3.1608122907983001</v>
      </c>
      <c r="J37" s="10">
        <v>2.4366614934508699</v>
      </c>
      <c r="K37">
        <f t="shared" si="6"/>
        <v>8.3199372892609187</v>
      </c>
      <c r="L37">
        <f t="shared" si="4"/>
        <v>2.8682457305739013</v>
      </c>
      <c r="U37" s="8">
        <v>110</v>
      </c>
      <c r="V37" s="9">
        <v>2</v>
      </c>
      <c r="W37" s="9">
        <v>2500</v>
      </c>
      <c r="X37" s="9">
        <v>11.400694755451401</v>
      </c>
      <c r="Y37" s="9">
        <v>32.920906616969603</v>
      </c>
      <c r="Z37" s="9">
        <v>1.82191980185842</v>
      </c>
      <c r="AA37" s="9">
        <v>0.73595834237968005</v>
      </c>
      <c r="AB37" s="9">
        <v>3.1161673525534099</v>
      </c>
      <c r="AC37" s="10">
        <v>1.7257716809789001</v>
      </c>
      <c r="AD37">
        <f t="shared" si="5"/>
        <v>11.658033606343832</v>
      </c>
      <c r="AE37">
        <f t="shared" si="7"/>
        <v>6.6223284178636849E-2</v>
      </c>
    </row>
    <row r="38" spans="1:31" x14ac:dyDescent="0.3">
      <c r="B38" s="5">
        <v>100</v>
      </c>
      <c r="C38" s="6">
        <v>3</v>
      </c>
      <c r="D38" s="6">
        <v>500</v>
      </c>
      <c r="E38" s="6">
        <v>7.7582738103185598</v>
      </c>
      <c r="F38" s="6">
        <v>43.6846300404545</v>
      </c>
      <c r="G38" s="6">
        <v>1.69209394815262</v>
      </c>
      <c r="H38" s="6">
        <v>1.33891259050426</v>
      </c>
      <c r="I38" s="6">
        <v>3.8549523475830001</v>
      </c>
      <c r="J38" s="7">
        <v>1.5800188454213999</v>
      </c>
      <c r="K38">
        <f t="shared" si="6"/>
        <v>7.6092892730478798</v>
      </c>
      <c r="L38">
        <f t="shared" si="4"/>
        <v>2.2196392345758622E-2</v>
      </c>
      <c r="U38" s="5">
        <v>110</v>
      </c>
      <c r="V38" s="6">
        <v>3</v>
      </c>
      <c r="W38" s="6">
        <v>500</v>
      </c>
      <c r="X38" s="6">
        <v>15.680837448358799</v>
      </c>
      <c r="Y38" s="6">
        <v>43.764438158939399</v>
      </c>
      <c r="Z38" s="6">
        <v>2.1771258157546902</v>
      </c>
      <c r="AA38" s="6">
        <v>1.98065622473133</v>
      </c>
      <c r="AB38" s="6">
        <v>3.8643627782451899</v>
      </c>
      <c r="AC38" s="7">
        <v>2.3749907745095098</v>
      </c>
      <c r="AD38">
        <f t="shared" si="5"/>
        <v>15.17884828742762</v>
      </c>
      <c r="AE38">
        <f t="shared" si="7"/>
        <v>0.25199311769238963</v>
      </c>
    </row>
    <row r="39" spans="1:31" x14ac:dyDescent="0.3">
      <c r="B39" s="8">
        <v>100</v>
      </c>
      <c r="C39" s="9">
        <v>3</v>
      </c>
      <c r="D39" s="9">
        <v>1000</v>
      </c>
      <c r="E39" s="9">
        <v>6.57343200408088</v>
      </c>
      <c r="F39" s="9">
        <v>37.648316448333297</v>
      </c>
      <c r="G39" s="9">
        <v>1.9620784200538901</v>
      </c>
      <c r="H39" s="9">
        <v>1.0740450425230601</v>
      </c>
      <c r="I39" s="9">
        <v>3.5285528061407798</v>
      </c>
      <c r="J39" s="10">
        <v>1.75228054012568</v>
      </c>
      <c r="K39">
        <f t="shared" si="6"/>
        <v>5.5075438285673473</v>
      </c>
      <c r="L39">
        <f t="shared" si="4"/>
        <v>1.1361176026995676</v>
      </c>
      <c r="U39" s="8">
        <v>110</v>
      </c>
      <c r="V39" s="9">
        <v>3</v>
      </c>
      <c r="W39" s="9">
        <v>1000</v>
      </c>
      <c r="X39" s="9">
        <v>11.5141612395254</v>
      </c>
      <c r="Y39" s="9">
        <v>37.7315105795454</v>
      </c>
      <c r="Z39" s="9">
        <v>2.0887724737230799</v>
      </c>
      <c r="AA39" s="9">
        <v>1.5671124781375301</v>
      </c>
      <c r="AB39" s="9">
        <v>3.5275192877459798</v>
      </c>
      <c r="AC39" s="10">
        <v>2.0904653787392502</v>
      </c>
      <c r="AD39">
        <f t="shared" si="5"/>
        <v>10.241447403932062</v>
      </c>
      <c r="AE39">
        <f t="shared" si="7"/>
        <v>1.6198005073107062</v>
      </c>
    </row>
    <row r="40" spans="1:31" x14ac:dyDescent="0.3">
      <c r="B40" s="5">
        <v>100</v>
      </c>
      <c r="C40" s="6">
        <v>3</v>
      </c>
      <c r="D40" s="6">
        <v>1500</v>
      </c>
      <c r="E40" s="6">
        <v>4.9960232850488699</v>
      </c>
      <c r="F40" s="6">
        <v>32.414257819090899</v>
      </c>
      <c r="G40" s="6">
        <v>2.1209708774329799</v>
      </c>
      <c r="H40" s="6">
        <v>0.79689930934966602</v>
      </c>
      <c r="I40" s="6">
        <v>3.1969493628966599</v>
      </c>
      <c r="J40" s="7">
        <v>1.8557261190132299</v>
      </c>
      <c r="K40">
        <f t="shared" si="6"/>
        <v>4.558661432505601</v>
      </c>
      <c r="L40">
        <f t="shared" si="4"/>
        <v>0.19128539006008016</v>
      </c>
      <c r="U40" s="5">
        <v>110</v>
      </c>
      <c r="V40" s="6">
        <v>3</v>
      </c>
      <c r="W40" s="6">
        <v>1500</v>
      </c>
      <c r="X40" s="6">
        <v>7.0103726034851501</v>
      </c>
      <c r="Y40" s="6">
        <v>32.583728399848397</v>
      </c>
      <c r="Z40" s="6">
        <v>1.8031873212866101</v>
      </c>
      <c r="AA40" s="6">
        <v>1.03946478552786</v>
      </c>
      <c r="AB40" s="6">
        <v>3.2084982031034102</v>
      </c>
      <c r="AC40" s="7">
        <v>1.6084584716921499</v>
      </c>
      <c r="AD40">
        <f t="shared" si="5"/>
        <v>8.1358778622798624</v>
      </c>
      <c r="AE40">
        <f t="shared" si="7"/>
        <v>1.2667620875745522</v>
      </c>
    </row>
    <row r="41" spans="1:31" x14ac:dyDescent="0.3">
      <c r="B41" s="8">
        <v>100</v>
      </c>
      <c r="C41" s="9">
        <v>3</v>
      </c>
      <c r="D41" s="9">
        <v>2000</v>
      </c>
      <c r="E41" s="9">
        <v>2.9305364867537098</v>
      </c>
      <c r="F41" s="9">
        <v>28.558953559393899</v>
      </c>
      <c r="G41" s="9">
        <v>2.17873207546595</v>
      </c>
      <c r="H41" s="9">
        <v>0.51862118385605305</v>
      </c>
      <c r="I41" s="9">
        <v>2.9504476336276202</v>
      </c>
      <c r="J41" s="10">
        <v>1.9680218520978201</v>
      </c>
      <c r="K41">
        <f t="shared" si="6"/>
        <v>3.9863169785159807</v>
      </c>
      <c r="L41">
        <f t="shared" si="4"/>
        <v>1.1146724467857825</v>
      </c>
      <c r="U41" s="8">
        <v>110</v>
      </c>
      <c r="V41" s="9">
        <v>3</v>
      </c>
      <c r="W41" s="9">
        <v>2000</v>
      </c>
      <c r="X41" s="9">
        <v>8.0664703720160293</v>
      </c>
      <c r="Y41" s="9">
        <v>28.682397553787801</v>
      </c>
      <c r="Z41" s="9">
        <v>2.1857902579310799</v>
      </c>
      <c r="AA41" s="9">
        <v>0.98087451540237203</v>
      </c>
      <c r="AB41" s="9">
        <v>2.9467332525354601</v>
      </c>
      <c r="AC41" s="10">
        <v>1.85597030853824</v>
      </c>
      <c r="AD41">
        <f t="shared" si="5"/>
        <v>6.9100924484753632</v>
      </c>
      <c r="AE41">
        <f t="shared" si="7"/>
        <v>1.3372099020522228</v>
      </c>
    </row>
    <row r="42" spans="1:31" x14ac:dyDescent="0.3">
      <c r="B42" s="5">
        <v>100</v>
      </c>
      <c r="C42" s="6">
        <v>3</v>
      </c>
      <c r="D42" s="6">
        <v>2500</v>
      </c>
      <c r="E42" s="6">
        <v>2.7709229587059001</v>
      </c>
      <c r="F42" s="6">
        <v>25.136572647727199</v>
      </c>
      <c r="G42" s="6">
        <v>2.5626585277727001</v>
      </c>
      <c r="H42" s="6">
        <v>0.46449383279055001</v>
      </c>
      <c r="I42" s="6">
        <v>2.69146716438381</v>
      </c>
      <c r="J42" s="7">
        <v>2.3207968657201001</v>
      </c>
      <c r="K42">
        <f t="shared" si="6"/>
        <v>3.5923412827202497</v>
      </c>
      <c r="L42">
        <f t="shared" si="4"/>
        <v>0.67472806302654298</v>
      </c>
      <c r="U42" s="5">
        <v>110</v>
      </c>
      <c r="V42" s="6">
        <v>3</v>
      </c>
      <c r="W42" s="6">
        <v>2500</v>
      </c>
      <c r="X42" s="6">
        <v>6.3015760126496199</v>
      </c>
      <c r="Y42" s="6">
        <v>25.507203677575699</v>
      </c>
      <c r="Z42" s="6">
        <v>2.4420614425269198</v>
      </c>
      <c r="AA42" s="6">
        <v>0.69350996440117196</v>
      </c>
      <c r="AB42" s="6">
        <v>2.7148923891940502</v>
      </c>
      <c r="AC42" s="7">
        <v>2.1630238105382098</v>
      </c>
      <c r="AD42">
        <f t="shared" si="5"/>
        <v>6.0879853086965854</v>
      </c>
      <c r="AE42">
        <f t="shared" si="7"/>
        <v>4.5620988815152821E-2</v>
      </c>
    </row>
    <row r="43" spans="1:31" x14ac:dyDescent="0.3">
      <c r="B43" s="8">
        <v>100</v>
      </c>
      <c r="C43" s="9">
        <v>4</v>
      </c>
      <c r="D43" s="9">
        <v>500</v>
      </c>
      <c r="E43" s="9">
        <v>6.4722997312794099</v>
      </c>
      <c r="F43" s="9">
        <v>37.209898678787802</v>
      </c>
      <c r="G43" s="9">
        <v>2.1496440043624498</v>
      </c>
      <c r="H43" s="9">
        <v>1.39978383337849</v>
      </c>
      <c r="I43" s="9">
        <v>3.5183836489188001</v>
      </c>
      <c r="J43" s="10">
        <v>1.9070302809725299</v>
      </c>
      <c r="K43">
        <f t="shared" si="6"/>
        <v>3.2855012048003687</v>
      </c>
      <c r="L43">
        <f t="shared" si="4"/>
        <v>10.155684848368988</v>
      </c>
      <c r="U43" s="8">
        <v>110</v>
      </c>
      <c r="V43" s="9">
        <v>4</v>
      </c>
      <c r="W43" s="9">
        <v>500</v>
      </c>
      <c r="X43" s="9">
        <v>8.6403234385068099</v>
      </c>
      <c r="Y43" s="9">
        <v>37.295747593939303</v>
      </c>
      <c r="Z43" s="9">
        <v>2.2307611496558502</v>
      </c>
      <c r="AA43" s="9">
        <v>1.4522039845741801</v>
      </c>
      <c r="AB43" s="9">
        <v>3.5143489769496701</v>
      </c>
      <c r="AC43" s="10">
        <v>1.8703239363325299</v>
      </c>
      <c r="AD43">
        <f t="shared" si="5"/>
        <v>7.9266031045328793</v>
      </c>
      <c r="AE43">
        <f t="shared" si="7"/>
        <v>0.50939671512785911</v>
      </c>
    </row>
    <row r="44" spans="1:31" x14ac:dyDescent="0.3">
      <c r="B44" s="5">
        <v>100</v>
      </c>
      <c r="C44" s="6">
        <v>4</v>
      </c>
      <c r="D44" s="6">
        <v>1000</v>
      </c>
      <c r="E44" s="6">
        <v>4.8172790003394699</v>
      </c>
      <c r="F44" s="6">
        <v>31.911139860151501</v>
      </c>
      <c r="G44" s="6">
        <v>2.3364256688114402</v>
      </c>
      <c r="H44" s="6">
        <v>1.05070848753989</v>
      </c>
      <c r="I44" s="6">
        <v>3.2523060525854102</v>
      </c>
      <c r="J44" s="7">
        <v>2.0689651452311</v>
      </c>
      <c r="K44">
        <f t="shared" si="6"/>
        <v>2.3780199746567048</v>
      </c>
      <c r="L44">
        <f t="shared" si="4"/>
        <v>5.9499845943748326</v>
      </c>
      <c r="U44" s="5">
        <v>110</v>
      </c>
      <c r="V44" s="6">
        <v>4</v>
      </c>
      <c r="W44" s="6">
        <v>1000</v>
      </c>
      <c r="X44" s="6">
        <v>7.4863922622541601</v>
      </c>
      <c r="Y44" s="6">
        <v>32.045970122575703</v>
      </c>
      <c r="Z44" s="6">
        <v>2.3494714868673099</v>
      </c>
      <c r="AA44" s="6">
        <v>1.3376697832860101</v>
      </c>
      <c r="AB44" s="6">
        <v>3.24130686371111</v>
      </c>
      <c r="AC44" s="7">
        <v>2.1644097021986601</v>
      </c>
      <c r="AD44">
        <f t="shared" si="5"/>
        <v>5.348224532566018</v>
      </c>
      <c r="AE44">
        <f t="shared" si="7"/>
        <v>4.5717612402797441</v>
      </c>
    </row>
    <row r="45" spans="1:31" x14ac:dyDescent="0.3">
      <c r="B45" s="8">
        <v>100</v>
      </c>
      <c r="C45" s="9">
        <v>4</v>
      </c>
      <c r="D45" s="9">
        <v>1500</v>
      </c>
      <c r="E45" s="9">
        <v>3.3023887897462001</v>
      </c>
      <c r="F45" s="9">
        <v>27.4015136460606</v>
      </c>
      <c r="G45" s="9">
        <v>2.4922487904066601</v>
      </c>
      <c r="H45" s="9">
        <v>0.7089662863724</v>
      </c>
      <c r="I45" s="9">
        <v>2.9789941421977599</v>
      </c>
      <c r="J45" s="10">
        <v>2.1636276488749502</v>
      </c>
      <c r="K45">
        <f t="shared" si="6"/>
        <v>1.9683162370793843</v>
      </c>
      <c r="L45">
        <f t="shared" si="4"/>
        <v>1.7797495757789541</v>
      </c>
      <c r="U45" s="8">
        <v>110</v>
      </c>
      <c r="V45" s="9">
        <v>4</v>
      </c>
      <c r="W45" s="9">
        <v>1500</v>
      </c>
      <c r="X45" s="9">
        <v>5.3881873237563402</v>
      </c>
      <c r="Y45" s="9">
        <v>27.6151055918181</v>
      </c>
      <c r="Z45" s="9">
        <v>2.31390130435652</v>
      </c>
      <c r="AA45" s="9">
        <v>0.99311152509896905</v>
      </c>
      <c r="AB45" s="9">
        <v>2.9749875643070598</v>
      </c>
      <c r="AC45" s="10">
        <v>2.0130874146964302</v>
      </c>
      <c r="AD45">
        <f t="shared" si="5"/>
        <v>4.2486671913483542</v>
      </c>
      <c r="AE45">
        <f t="shared" si="7"/>
        <v>1.2985061321631139</v>
      </c>
    </row>
    <row r="46" spans="1:31" x14ac:dyDescent="0.3">
      <c r="B46" s="5">
        <v>100</v>
      </c>
      <c r="C46" s="6">
        <v>4</v>
      </c>
      <c r="D46" s="6">
        <v>2000</v>
      </c>
      <c r="E46" s="6">
        <v>1.3450059512694701</v>
      </c>
      <c r="F46" s="6">
        <v>24.008469821060601</v>
      </c>
      <c r="G46" s="6">
        <v>2.6235122738626102</v>
      </c>
      <c r="H46" s="6">
        <v>0.348569685825595</v>
      </c>
      <c r="I46" s="6">
        <v>2.71829570073464</v>
      </c>
      <c r="J46" s="7">
        <v>2.24910715449955</v>
      </c>
      <c r="K46">
        <f t="shared" si="6"/>
        <v>1.7211921857170285</v>
      </c>
      <c r="L46">
        <f t="shared" si="4"/>
        <v>0.14151608298783336</v>
      </c>
      <c r="U46" s="5">
        <v>110</v>
      </c>
      <c r="V46" s="6">
        <v>4</v>
      </c>
      <c r="W46" s="6">
        <v>2000</v>
      </c>
      <c r="X46" s="6">
        <v>4.4819066287711804</v>
      </c>
      <c r="Y46" s="6">
        <v>24.284387221666599</v>
      </c>
      <c r="Z46" s="6">
        <v>2.5066143811223598</v>
      </c>
      <c r="AA46" s="6">
        <v>0.79638290010602197</v>
      </c>
      <c r="AB46" s="6">
        <v>2.7267401132220899</v>
      </c>
      <c r="AC46" s="7">
        <v>2.2240596970790301</v>
      </c>
      <c r="AD46">
        <f t="shared" si="5"/>
        <v>3.6085452082726217</v>
      </c>
      <c r="AE46">
        <f t="shared" si="7"/>
        <v>0.76276017081526026</v>
      </c>
    </row>
    <row r="47" spans="1:31" x14ac:dyDescent="0.3">
      <c r="B47" s="8">
        <v>100</v>
      </c>
      <c r="C47" s="9">
        <v>4</v>
      </c>
      <c r="D47" s="9">
        <v>2500</v>
      </c>
      <c r="E47" s="9">
        <v>1.3022767583499999</v>
      </c>
      <c r="F47" s="9">
        <v>21.139661948030302</v>
      </c>
      <c r="G47" s="9">
        <v>2.9820756376031898</v>
      </c>
      <c r="H47" s="9">
        <v>0.33471296296296199</v>
      </c>
      <c r="I47" s="9">
        <v>2.5102488722876002</v>
      </c>
      <c r="J47" s="10">
        <v>2.6883749253830702</v>
      </c>
      <c r="K47">
        <f t="shared" si="6"/>
        <v>1.5510833126342647</v>
      </c>
      <c r="L47">
        <f t="shared" si="4"/>
        <v>6.1904701454808801E-2</v>
      </c>
      <c r="U47" s="8">
        <v>110</v>
      </c>
      <c r="V47" s="9">
        <v>4</v>
      </c>
      <c r="W47" s="9">
        <v>2500</v>
      </c>
      <c r="X47" s="9">
        <v>3.84190099003421</v>
      </c>
      <c r="Y47" s="9">
        <v>21.5010230271212</v>
      </c>
      <c r="Z47" s="9">
        <v>2.6940043156601399</v>
      </c>
      <c r="AA47" s="9">
        <v>0.62146177945828096</v>
      </c>
      <c r="AB47" s="9">
        <v>2.5151068939545098</v>
      </c>
      <c r="AC47" s="10">
        <v>2.4262134399034898</v>
      </c>
      <c r="AD47">
        <f t="shared" si="5"/>
        <v>3.179229565673662</v>
      </c>
      <c r="AE47">
        <f t="shared" si="7"/>
        <v>0.43913341666403755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B297-E58F-4CCC-8FBE-7ED48D700578}">
  <dimension ref="A1:K46"/>
  <sheetViews>
    <sheetView workbookViewId="0">
      <selection activeCell="K1" sqref="K1"/>
    </sheetView>
  </sheetViews>
  <sheetFormatPr defaultRowHeight="14.4" x14ac:dyDescent="0.3"/>
  <sheetData>
    <row r="1" spans="1:11" ht="316.8" customHeight="1" x14ac:dyDescent="0.3"/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  <c r="J2" t="s">
        <v>25</v>
      </c>
      <c r="K2" t="s">
        <v>9</v>
      </c>
    </row>
    <row r="3" spans="1:11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  <c r="J3">
        <f>LN(Table15[[#This Row],[Pb]])</f>
        <v>4.4779264614369749</v>
      </c>
      <c r="K3">
        <f>LN(Table15[[#This Row],[R(ao)]])</f>
        <v>0</v>
      </c>
    </row>
    <row r="4" spans="1:11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  <c r="J4">
        <f>LN(Table15[[#This Row],[Pb]])</f>
        <v>4.3417068329447002</v>
      </c>
      <c r="K4">
        <f>LN(Table15[[#This Row],[R(ao)]])</f>
        <v>0</v>
      </c>
    </row>
    <row r="5" spans="1:11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  <c r="J5">
        <f>LN(Table15[[#This Row],[Pb]])</f>
        <v>4.2273994829297452</v>
      </c>
      <c r="K5">
        <f>LN(Table15[[#This Row],[R(ao)]])</f>
        <v>0</v>
      </c>
    </row>
    <row r="6" spans="1:11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  <c r="J6">
        <f>LN(Table15[[#This Row],[Pb]])</f>
        <v>4.1508972551719019</v>
      </c>
      <c r="K6">
        <f>LN(Table15[[#This Row],[R(ao)]])</f>
        <v>0</v>
      </c>
    </row>
    <row r="7" spans="1:11" hidden="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  <c r="J7">
        <f>LN(Table15[[#This Row],[Pb]])</f>
        <v>4.0405819170925064</v>
      </c>
      <c r="K7">
        <f>LN(Table15[[#This Row],[R(ao)]])</f>
        <v>0</v>
      </c>
    </row>
    <row r="8" spans="1:11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  <c r="J8">
        <f>LN(Table15[[#This Row],[Pb]])</f>
        <v>4.0291479440097122</v>
      </c>
      <c r="K8">
        <f>LN(Table15[[#This Row],[R(ao)]])</f>
        <v>0.69314718055994529</v>
      </c>
    </row>
    <row r="9" spans="1:11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  <c r="J9">
        <f>LN(Table15[[#This Row],[Pb]])</f>
        <v>3.8821202747372343</v>
      </c>
      <c r="K9">
        <f>LN(Table15[[#This Row],[R(ao)]])</f>
        <v>0.69314718055994529</v>
      </c>
    </row>
    <row r="10" spans="1:11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  <c r="J10">
        <f>LN(Table15[[#This Row],[Pb]])</f>
        <v>3.7278656814733755</v>
      </c>
      <c r="K10">
        <f>LN(Table15[[#This Row],[R(ao)]])</f>
        <v>0.69314718055994529</v>
      </c>
    </row>
    <row r="11" spans="1:11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  <c r="J11">
        <f>LN(Table15[[#This Row],[Pb]])</f>
        <v>3.6055756173358269</v>
      </c>
      <c r="K11">
        <f>LN(Table15[[#This Row],[R(ao)]])</f>
        <v>0.69314718055994529</v>
      </c>
    </row>
    <row r="12" spans="1:11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  <c r="J12">
        <f>LN(Table15[[#This Row],[Pb]])</f>
        <v>3.4996968895515952</v>
      </c>
      <c r="K12">
        <f>LN(Table15[[#This Row],[R(ao)]])</f>
        <v>0.69314718055994529</v>
      </c>
    </row>
    <row r="13" spans="1:11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  <c r="J13">
        <f>LN(Table15[[#This Row],[Pb]])</f>
        <v>3.7769963249137968</v>
      </c>
      <c r="K13">
        <f>LN(Table15[[#This Row],[R(ao)]])</f>
        <v>1.0986122886681098</v>
      </c>
    </row>
    <row r="14" spans="1:11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  <c r="J14">
        <f>LN(Table15[[#This Row],[Pb]])</f>
        <v>3.6282882373983982</v>
      </c>
      <c r="K14">
        <f>LN(Table15[[#This Row],[R(ao)]])</f>
        <v>1.0986122886681098</v>
      </c>
    </row>
    <row r="15" spans="1:11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  <c r="J15">
        <f>LN(Table15[[#This Row],[Pb]])</f>
        <v>3.4785983821467554</v>
      </c>
      <c r="K15">
        <f>LN(Table15[[#This Row],[R(ao)]])</f>
        <v>1.0986122886681098</v>
      </c>
    </row>
    <row r="16" spans="1:11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  <c r="J16">
        <f>LN(Table15[[#This Row],[Pb]])</f>
        <v>3.3519704967228754</v>
      </c>
      <c r="K16">
        <f>LN(Table15[[#This Row],[R(ao)]])</f>
        <v>1.0986122886681098</v>
      </c>
    </row>
    <row r="17" spans="1:11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  <c r="J17">
        <f>LN(Table15[[#This Row],[Pb]])</f>
        <v>3.2243238632289031</v>
      </c>
      <c r="K17">
        <f>LN(Table15[[#This Row],[R(ao)]])</f>
        <v>1.0986122886681098</v>
      </c>
    </row>
    <row r="18" spans="1:11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  <c r="J18">
        <f>LN(Table15[[#This Row],[Pb]])</f>
        <v>3.6165748193983016</v>
      </c>
      <c r="K18">
        <f>LN(Table15[[#This Row],[R(ao)]])</f>
        <v>1.3862943611198906</v>
      </c>
    </row>
    <row r="19" spans="1:11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  <c r="J19">
        <f>LN(Table15[[#This Row],[Pb]])</f>
        <v>3.4629551607474838</v>
      </c>
      <c r="K19">
        <f>LN(Table15[[#This Row],[R(ao)]])</f>
        <v>1.3862943611198906</v>
      </c>
    </row>
    <row r="20" spans="1:11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  <c r="J20">
        <f>LN(Table15[[#This Row],[Pb]])</f>
        <v>3.3105982544251669</v>
      </c>
      <c r="K20">
        <f>LN(Table15[[#This Row],[R(ao)]])</f>
        <v>1.3862943611198906</v>
      </c>
    </row>
    <row r="21" spans="1:11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  <c r="J21">
        <f>LN(Table15[[#This Row],[Pb]])</f>
        <v>3.1784066773009956</v>
      </c>
      <c r="K21">
        <f>LN(Table15[[#This Row],[R(ao)]])</f>
        <v>1.3862943611198906</v>
      </c>
    </row>
    <row r="22" spans="1:11" hidden="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  <c r="J22">
        <f>LN(Table15[[#This Row],[Pb]])</f>
        <v>3.0511509892087596</v>
      </c>
      <c r="K22">
        <f>LN(Table15[[#This Row],[R(ao)]])</f>
        <v>1.3862943611198906</v>
      </c>
    </row>
    <row r="23" spans="1:11" hidden="1" x14ac:dyDescent="0.3">
      <c r="A23">
        <v>100</v>
      </c>
      <c r="B23">
        <v>5</v>
      </c>
      <c r="C23">
        <v>500</v>
      </c>
      <c r="E23">
        <v>32.475539339999997</v>
      </c>
      <c r="H23">
        <v>3.2692510372910299</v>
      </c>
      <c r="J23">
        <f>LN(Table15[[#This Row],[Pb]])</f>
        <v>3.4804871702709481</v>
      </c>
      <c r="K23">
        <f>LN(Table15[[#This Row],[R(ao)]])</f>
        <v>1.6094379124341003</v>
      </c>
    </row>
    <row r="24" spans="1:11" hidden="1" x14ac:dyDescent="0.3">
      <c r="A24">
        <v>100</v>
      </c>
      <c r="B24">
        <v>5</v>
      </c>
      <c r="C24">
        <v>2500</v>
      </c>
      <c r="E24">
        <v>18.448552741111101</v>
      </c>
      <c r="H24">
        <v>2.3282538582025598</v>
      </c>
      <c r="J24">
        <f>LN(Table15[[#This Row],[Pb]])</f>
        <v>2.9149859251935841</v>
      </c>
      <c r="K24">
        <f>LN(Table15[[#This Row],[R(ao)]])</f>
        <v>1.6094379124341003</v>
      </c>
    </row>
    <row r="25" spans="1:11" hidden="1" x14ac:dyDescent="0.3">
      <c r="A25">
        <v>100</v>
      </c>
      <c r="B25">
        <v>6</v>
      </c>
      <c r="C25">
        <v>500</v>
      </c>
      <c r="E25">
        <v>27.079947847777699</v>
      </c>
      <c r="H25">
        <v>2.9615035911824501</v>
      </c>
      <c r="J25">
        <f>LN(Table15[[#This Row],[Pb]])</f>
        <v>3.2987935221846754</v>
      </c>
      <c r="K25">
        <f>LN(Table15[[#This Row],[R(ao)]])</f>
        <v>1.791759469228055</v>
      </c>
    </row>
    <row r="26" spans="1:11" hidden="1" x14ac:dyDescent="0.3">
      <c r="A26">
        <v>100</v>
      </c>
      <c r="B26">
        <v>6</v>
      </c>
      <c r="C26">
        <v>2500</v>
      </c>
      <c r="E26">
        <v>16.522505253888799</v>
      </c>
      <c r="H26">
        <v>2.1977976354319599</v>
      </c>
      <c r="J26">
        <f>LN(Table15[[#This Row],[Pb]])</f>
        <v>2.8047234063463087</v>
      </c>
      <c r="K26">
        <f>LN(Table15[[#This Row],[R(ao)]])</f>
        <v>1.791759469228055</v>
      </c>
    </row>
    <row r="27" spans="1:1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1.0312647741452401</v>
      </c>
      <c r="G27">
        <v>2.5886822361941402</v>
      </c>
      <c r="H27">
        <v>5.83584206677161</v>
      </c>
      <c r="I27">
        <v>1.7439489115946001</v>
      </c>
      <c r="J27">
        <f>LN(Table15[[#This Row],[Pb]])</f>
        <v>4.4613082441734306</v>
      </c>
      <c r="K27">
        <f>LN(Table15[[#This Row],[R(ao)]])</f>
        <v>0</v>
      </c>
    </row>
    <row r="28" spans="1:11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0.73926540807119001</v>
      </c>
      <c r="G28">
        <v>1.6681911472192399</v>
      </c>
      <c r="H28">
        <v>5.4113362160566698</v>
      </c>
      <c r="I28">
        <v>1.27635381978995</v>
      </c>
      <c r="J28">
        <f>LN(Table15[[#This Row],[Pb]])</f>
        <v>4.3459843517826044</v>
      </c>
      <c r="K28">
        <f>LN(Table15[[#This Row],[R(ao)]])</f>
        <v>0</v>
      </c>
    </row>
    <row r="29" spans="1:11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0.79821700722667299</v>
      </c>
      <c r="G29">
        <v>1.29195428868517</v>
      </c>
      <c r="H29">
        <v>5.0469736422668197</v>
      </c>
      <c r="I29">
        <v>1.1870163692771201</v>
      </c>
      <c r="J29">
        <f>LN(Table15[[#This Row],[Pb]])</f>
        <v>4.2394716294414732</v>
      </c>
      <c r="K29">
        <f>LN(Table15[[#This Row],[R(ao)]])</f>
        <v>0</v>
      </c>
    </row>
    <row r="30" spans="1:11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0.83943070478818405</v>
      </c>
      <c r="G30">
        <v>1.05080714795866</v>
      </c>
      <c r="H30">
        <v>4.6836377508854703</v>
      </c>
      <c r="I30">
        <v>1.2559956537835</v>
      </c>
      <c r="J30">
        <f>LN(Table15[[#This Row],[Pb]])</f>
        <v>4.1498308564223656</v>
      </c>
      <c r="K30">
        <f>LN(Table15[[#This Row],[R(ao)]])</f>
        <v>0</v>
      </c>
    </row>
    <row r="31" spans="1:11" hidden="1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1.01519197215941</v>
      </c>
      <c r="G31">
        <v>1.0006699945887401</v>
      </c>
      <c r="H31">
        <v>4.23501931654204</v>
      </c>
      <c r="I31">
        <v>1.35253992325525</v>
      </c>
      <c r="J31">
        <f>LN(Table15[[#This Row],[Pb]])</f>
        <v>4.0532596804622072</v>
      </c>
      <c r="K31">
        <f>LN(Table15[[#This Row],[R(ao)]])</f>
        <v>0</v>
      </c>
    </row>
    <row r="32" spans="1:11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1.7590441166728701</v>
      </c>
      <c r="G32">
        <v>2.1167485383282001</v>
      </c>
      <c r="H32">
        <v>4.5018395086386596</v>
      </c>
      <c r="I32">
        <v>1.99997147662459</v>
      </c>
      <c r="J32">
        <f>LN(Table15[[#This Row],[Pb]])</f>
        <v>4.0297254026818248</v>
      </c>
      <c r="K32">
        <f>LN(Table15[[#This Row],[R(ao)]])</f>
        <v>0.69314718055994529</v>
      </c>
    </row>
    <row r="33" spans="1:11" hidden="1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1.71642862674407</v>
      </c>
      <c r="G33">
        <v>1.7719903046463199</v>
      </c>
      <c r="H33">
        <v>4.0859314651361798</v>
      </c>
      <c r="I33">
        <v>1.8463729498725401</v>
      </c>
      <c r="J33">
        <f>LN(Table15[[#This Row],[Pb]])</f>
        <v>3.8762363230377819</v>
      </c>
      <c r="K33">
        <f>LN(Table15[[#This Row],[R(ao)]])</f>
        <v>0.69314718055994529</v>
      </c>
    </row>
    <row r="34" spans="1:11" hidden="1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1.34673078210956</v>
      </c>
      <c r="G34">
        <v>1.2277035528868701</v>
      </c>
      <c r="H34">
        <v>3.7475995846554802</v>
      </c>
      <c r="I34">
        <v>1.42916325231605</v>
      </c>
      <c r="J34">
        <f>LN(Table15[[#This Row],[Pb]])</f>
        <v>3.7290441565596208</v>
      </c>
      <c r="K34">
        <f>LN(Table15[[#This Row],[R(ao)]])</f>
        <v>0.69314718055994529</v>
      </c>
    </row>
    <row r="35" spans="1:11" hidden="1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1.8654282014749799</v>
      </c>
      <c r="G35">
        <v>0.97630376102077798</v>
      </c>
      <c r="H35">
        <v>3.4399342176330201</v>
      </c>
      <c r="I35">
        <v>1.7345285214649</v>
      </c>
      <c r="J35">
        <f>LN(Table15[[#This Row],[Pb]])</f>
        <v>3.6062547746023608</v>
      </c>
      <c r="K35">
        <f>LN(Table15[[#This Row],[R(ao)]])</f>
        <v>0.69314718055994529</v>
      </c>
    </row>
    <row r="36" spans="1:11" hidden="1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1.82191980185842</v>
      </c>
      <c r="G36">
        <v>0.73595834237968005</v>
      </c>
      <c r="H36">
        <v>3.1161673525534099</v>
      </c>
      <c r="I36">
        <v>1.7257716809789001</v>
      </c>
      <c r="J36">
        <f>LN(Table15[[#This Row],[Pb]])</f>
        <v>3.4941079154348023</v>
      </c>
      <c r="K36">
        <f>LN(Table15[[#This Row],[R(ao)]])</f>
        <v>0.69314718055994529</v>
      </c>
    </row>
    <row r="37" spans="1:1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2.1771258157546902</v>
      </c>
      <c r="G37">
        <v>1.98065622473133</v>
      </c>
      <c r="H37">
        <v>3.8643627782451899</v>
      </c>
      <c r="I37">
        <v>2.3749907745095098</v>
      </c>
      <c r="J37">
        <f>LN(Table15[[#This Row],[Pb]])</f>
        <v>3.7788215734221029</v>
      </c>
      <c r="K37">
        <f>LN(Table15[[#This Row],[R(ao)]])</f>
        <v>1.0986122886681098</v>
      </c>
    </row>
    <row r="38" spans="1:11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2.0887724737230799</v>
      </c>
      <c r="G38">
        <v>1.5671124781375301</v>
      </c>
      <c r="H38">
        <v>3.5275192877459798</v>
      </c>
      <c r="I38">
        <v>2.0904653787392502</v>
      </c>
      <c r="J38">
        <f>LN(Table15[[#This Row],[Pb]])</f>
        <v>3.6304955697383976</v>
      </c>
      <c r="K38">
        <f>LN(Table15[[#This Row],[R(ao)]])</f>
        <v>1.0986122886681098</v>
      </c>
    </row>
    <row r="39" spans="1:11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1.8031873212866101</v>
      </c>
      <c r="G39">
        <v>1.03946478552786</v>
      </c>
      <c r="H39">
        <v>3.2084982031034102</v>
      </c>
      <c r="I39">
        <v>1.6084584716921499</v>
      </c>
      <c r="J39">
        <f>LN(Table15[[#This Row],[Pb]])</f>
        <v>3.4838130349273921</v>
      </c>
      <c r="K39">
        <f>LN(Table15[[#This Row],[R(ao)]])</f>
        <v>1.0986122886681098</v>
      </c>
    </row>
    <row r="40" spans="1:11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2.1857902579310799</v>
      </c>
      <c r="G40">
        <v>0.98087451540237203</v>
      </c>
      <c r="H40">
        <v>2.9467332525354601</v>
      </c>
      <c r="I40">
        <v>1.85597030853824</v>
      </c>
      <c r="J40">
        <f>LN(Table15[[#This Row],[Pb]])</f>
        <v>3.3562836089524648</v>
      </c>
      <c r="K40">
        <f>LN(Table15[[#This Row],[R(ao)]])</f>
        <v>1.0986122886681098</v>
      </c>
    </row>
    <row r="41" spans="1:11" hidden="1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2.4420614425269198</v>
      </c>
      <c r="G41">
        <v>0.69350996440117196</v>
      </c>
      <c r="H41">
        <v>2.7148923891940502</v>
      </c>
      <c r="I41">
        <v>2.1630238105382098</v>
      </c>
      <c r="J41">
        <f>LN(Table15[[#This Row],[Pb]])</f>
        <v>3.2389609094294025</v>
      </c>
      <c r="K41">
        <f>LN(Table15[[#This Row],[R(ao)]])</f>
        <v>1.0986122886681098</v>
      </c>
    </row>
    <row r="42" spans="1:11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2.2307611496558502</v>
      </c>
      <c r="G42">
        <v>1.4522039845741801</v>
      </c>
      <c r="H42">
        <v>3.5143489769496701</v>
      </c>
      <c r="I42">
        <v>1.8703239363325299</v>
      </c>
      <c r="J42">
        <f>LN(Table15[[#This Row],[Pb]])</f>
        <v>3.6188793146262306</v>
      </c>
      <c r="K42">
        <f>LN(Table15[[#This Row],[R(ao)]])</f>
        <v>1.3862943611198906</v>
      </c>
    </row>
    <row r="43" spans="1:11" hidden="1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2.3494714868673099</v>
      </c>
      <c r="G43">
        <v>1.3376697832860101</v>
      </c>
      <c r="H43">
        <v>3.24130686371111</v>
      </c>
      <c r="I43">
        <v>2.1644097021986601</v>
      </c>
      <c r="J43">
        <f>LN(Table15[[#This Row],[Pb]])</f>
        <v>3.4671714382559675</v>
      </c>
      <c r="K43">
        <f>LN(Table15[[#This Row],[R(ao)]])</f>
        <v>1.3862943611198906</v>
      </c>
    </row>
    <row r="44" spans="1:11" hidden="1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2.31390130435652</v>
      </c>
      <c r="G44">
        <v>0.99311152509896905</v>
      </c>
      <c r="H44">
        <v>2.9749875643070598</v>
      </c>
      <c r="I44">
        <v>2.0130874146964302</v>
      </c>
      <c r="J44">
        <f>LN(Table15[[#This Row],[Pb]])</f>
        <v>3.3183629270582466</v>
      </c>
      <c r="K44">
        <f>LN(Table15[[#This Row],[R(ao)]])</f>
        <v>1.3862943611198906</v>
      </c>
    </row>
    <row r="45" spans="1:11" hidden="1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2.5066143811223598</v>
      </c>
      <c r="G45">
        <v>0.79638290010602197</v>
      </c>
      <c r="H45">
        <v>2.7267401132220899</v>
      </c>
      <c r="I45">
        <v>2.2240596970790301</v>
      </c>
      <c r="J45">
        <f>LN(Table15[[#This Row],[Pb]])</f>
        <v>3.1898336426881926</v>
      </c>
      <c r="K45">
        <f>LN(Table15[[#This Row],[R(ao)]])</f>
        <v>1.3862943611198906</v>
      </c>
    </row>
    <row r="46" spans="1:11" hidden="1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2.6940043156601399</v>
      </c>
      <c r="G46">
        <v>0.62146177945828096</v>
      </c>
      <c r="H46">
        <v>2.5151068939545098</v>
      </c>
      <c r="I46">
        <v>2.4262134399034898</v>
      </c>
      <c r="J46">
        <f>LN(Table15[[#This Row],[Pb]])</f>
        <v>3.0681005166583986</v>
      </c>
      <c r="K46">
        <f>LN(Table15[[#This Row],[R(ao)]])</f>
        <v>1.3862943611198906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CBDD-78D7-4026-9003-FCD4ADE6F92C}">
  <dimension ref="A1:K46"/>
  <sheetViews>
    <sheetView workbookViewId="0">
      <selection activeCell="Q1" sqref="Q1"/>
    </sheetView>
  </sheetViews>
  <sheetFormatPr defaultRowHeight="14.4" x14ac:dyDescent="0.3"/>
  <sheetData>
    <row r="1" spans="1:11" ht="276" customHeight="1" x14ac:dyDescent="0.3"/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  <c r="J2" t="s">
        <v>25</v>
      </c>
      <c r="K2" t="s">
        <v>18</v>
      </c>
    </row>
    <row r="3" spans="1:1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  <c r="J3">
        <f>LN(Table17[[#This Row],[Pb]])</f>
        <v>4.4779264614369749</v>
      </c>
      <c r="K3">
        <f>LN(Table17[[#This Row],[T(K)]])</f>
        <v>6.2146080984221914</v>
      </c>
    </row>
    <row r="4" spans="1:1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  <c r="J4">
        <f>LN(Table17[[#This Row],[Pb]])</f>
        <v>4.3417068329447002</v>
      </c>
      <c r="K4">
        <f>LN(Table17[[#This Row],[T(K)]])</f>
        <v>6.9077552789821368</v>
      </c>
    </row>
    <row r="5" spans="1:1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  <c r="J5">
        <f>LN(Table17[[#This Row],[Pb]])</f>
        <v>4.2273994829297452</v>
      </c>
      <c r="K5">
        <f>LN(Table17[[#This Row],[T(K)]])</f>
        <v>7.3132203870903014</v>
      </c>
    </row>
    <row r="6" spans="1:1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  <c r="J6">
        <f>LN(Table17[[#This Row],[Pb]])</f>
        <v>4.1508972551719019</v>
      </c>
      <c r="K6">
        <f>LN(Table17[[#This Row],[T(K)]])</f>
        <v>7.6009024595420822</v>
      </c>
    </row>
    <row r="7" spans="1:1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  <c r="J7">
        <f>LN(Table17[[#This Row],[Pb]])</f>
        <v>4.0405819170925064</v>
      </c>
      <c r="K7">
        <f>LN(Table17[[#This Row],[T(K)]])</f>
        <v>7.8240460108562919</v>
      </c>
    </row>
    <row r="8" spans="1:11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  <c r="J8">
        <f>LN(Table17[[#This Row],[Pb]])</f>
        <v>4.0291479440097122</v>
      </c>
      <c r="K8">
        <f>LN(Table17[[#This Row],[T(K)]])</f>
        <v>6.2146080984221914</v>
      </c>
    </row>
    <row r="9" spans="1:11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  <c r="J9">
        <f>LN(Table17[[#This Row],[Pb]])</f>
        <v>3.8821202747372343</v>
      </c>
      <c r="K9">
        <f>LN(Table17[[#This Row],[T(K)]])</f>
        <v>6.9077552789821368</v>
      </c>
    </row>
    <row r="10" spans="1:11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  <c r="J10">
        <f>LN(Table17[[#This Row],[Pb]])</f>
        <v>3.7278656814733755</v>
      </c>
      <c r="K10">
        <f>LN(Table17[[#This Row],[T(K)]])</f>
        <v>7.3132203870903014</v>
      </c>
    </row>
    <row r="11" spans="1:11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  <c r="J11">
        <f>LN(Table17[[#This Row],[Pb]])</f>
        <v>3.6055756173358269</v>
      </c>
      <c r="K11">
        <f>LN(Table17[[#This Row],[T(K)]])</f>
        <v>7.6009024595420822</v>
      </c>
    </row>
    <row r="12" spans="1:11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  <c r="J12">
        <f>LN(Table17[[#This Row],[Pb]])</f>
        <v>3.4996968895515952</v>
      </c>
      <c r="K12">
        <f>LN(Table17[[#This Row],[T(K)]])</f>
        <v>7.8240460108562919</v>
      </c>
    </row>
    <row r="13" spans="1:11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  <c r="J13">
        <f>LN(Table17[[#This Row],[Pb]])</f>
        <v>3.7769963249137968</v>
      </c>
      <c r="K13">
        <f>LN(Table17[[#This Row],[T(K)]])</f>
        <v>6.2146080984221914</v>
      </c>
    </row>
    <row r="14" spans="1:11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  <c r="J14">
        <f>LN(Table17[[#This Row],[Pb]])</f>
        <v>3.6282882373983982</v>
      </c>
      <c r="K14">
        <f>LN(Table17[[#This Row],[T(K)]])</f>
        <v>6.9077552789821368</v>
      </c>
    </row>
    <row r="15" spans="1:11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  <c r="J15">
        <f>LN(Table17[[#This Row],[Pb]])</f>
        <v>3.4785983821467554</v>
      </c>
      <c r="K15">
        <f>LN(Table17[[#This Row],[T(K)]])</f>
        <v>7.3132203870903014</v>
      </c>
    </row>
    <row r="16" spans="1:11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  <c r="J16">
        <f>LN(Table17[[#This Row],[Pb]])</f>
        <v>3.3519704967228754</v>
      </c>
      <c r="K16">
        <f>LN(Table17[[#This Row],[T(K)]])</f>
        <v>7.6009024595420822</v>
      </c>
    </row>
    <row r="17" spans="1:11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  <c r="J17">
        <f>LN(Table17[[#This Row],[Pb]])</f>
        <v>3.2243238632289031</v>
      </c>
      <c r="K17">
        <f>LN(Table17[[#This Row],[T(K)]])</f>
        <v>7.8240460108562919</v>
      </c>
    </row>
    <row r="18" spans="1:11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  <c r="J18">
        <f>LN(Table17[[#This Row],[Pb]])</f>
        <v>3.6165748193983016</v>
      </c>
      <c r="K18">
        <f>LN(Table17[[#This Row],[T(K)]])</f>
        <v>6.2146080984221914</v>
      </c>
    </row>
    <row r="19" spans="1:11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  <c r="J19">
        <f>LN(Table17[[#This Row],[Pb]])</f>
        <v>3.4629551607474838</v>
      </c>
      <c r="K19">
        <f>LN(Table17[[#This Row],[T(K)]])</f>
        <v>6.9077552789821368</v>
      </c>
    </row>
    <row r="20" spans="1:11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  <c r="J20">
        <f>LN(Table17[[#This Row],[Pb]])</f>
        <v>3.3105982544251669</v>
      </c>
      <c r="K20">
        <f>LN(Table17[[#This Row],[T(K)]])</f>
        <v>7.3132203870903014</v>
      </c>
    </row>
    <row r="21" spans="1:11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  <c r="J21">
        <f>LN(Table17[[#This Row],[Pb]])</f>
        <v>3.1784066773009956</v>
      </c>
      <c r="K21">
        <f>LN(Table17[[#This Row],[T(K)]])</f>
        <v>7.6009024595420822</v>
      </c>
    </row>
    <row r="22" spans="1:11" hidden="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  <c r="J22">
        <f>LN(Table17[[#This Row],[Pb]])</f>
        <v>3.0511509892087596</v>
      </c>
      <c r="K22">
        <f>LN(Table17[[#This Row],[T(K)]])</f>
        <v>7.8240460108562919</v>
      </c>
    </row>
    <row r="23" spans="1:11" hidden="1" x14ac:dyDescent="0.3">
      <c r="A23">
        <v>100</v>
      </c>
      <c r="B23">
        <v>5</v>
      </c>
      <c r="C23">
        <v>500</v>
      </c>
      <c r="E23">
        <v>32.475539339999997</v>
      </c>
      <c r="H23">
        <v>3.2692510372910299</v>
      </c>
      <c r="J23">
        <f>LN(Table17[[#This Row],[Pb]])</f>
        <v>3.4804871702709481</v>
      </c>
      <c r="K23">
        <f>LN(Table17[[#This Row],[T(K)]])</f>
        <v>6.2146080984221914</v>
      </c>
    </row>
    <row r="24" spans="1:11" hidden="1" x14ac:dyDescent="0.3">
      <c r="A24">
        <v>100</v>
      </c>
      <c r="B24">
        <v>5</v>
      </c>
      <c r="C24">
        <v>2500</v>
      </c>
      <c r="E24">
        <v>18.448552741111101</v>
      </c>
      <c r="H24">
        <v>2.3282538582025598</v>
      </c>
      <c r="J24">
        <f>LN(Table17[[#This Row],[Pb]])</f>
        <v>2.9149859251935841</v>
      </c>
      <c r="K24">
        <f>LN(Table17[[#This Row],[T(K)]])</f>
        <v>7.8240460108562919</v>
      </c>
    </row>
    <row r="25" spans="1:11" hidden="1" x14ac:dyDescent="0.3">
      <c r="A25">
        <v>100</v>
      </c>
      <c r="B25">
        <v>6</v>
      </c>
      <c r="C25">
        <v>500</v>
      </c>
      <c r="E25">
        <v>27.079947847777699</v>
      </c>
      <c r="H25">
        <v>2.9615035911824501</v>
      </c>
      <c r="J25">
        <f>LN(Table17[[#This Row],[Pb]])</f>
        <v>3.2987935221846754</v>
      </c>
      <c r="K25">
        <f>LN(Table17[[#This Row],[T(K)]])</f>
        <v>6.2146080984221914</v>
      </c>
    </row>
    <row r="26" spans="1:11" hidden="1" x14ac:dyDescent="0.3">
      <c r="A26">
        <v>100</v>
      </c>
      <c r="B26">
        <v>6</v>
      </c>
      <c r="C26">
        <v>2500</v>
      </c>
      <c r="E26">
        <v>16.522505253888799</v>
      </c>
      <c r="H26">
        <v>2.1977976354319599</v>
      </c>
      <c r="J26">
        <f>LN(Table17[[#This Row],[Pb]])</f>
        <v>2.8047234063463087</v>
      </c>
      <c r="K26">
        <f>LN(Table17[[#This Row],[T(K)]])</f>
        <v>7.8240460108562919</v>
      </c>
    </row>
    <row r="27" spans="1:11" hidden="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1.0312647741452401</v>
      </c>
      <c r="G27">
        <v>2.5886822361941402</v>
      </c>
      <c r="H27">
        <v>5.83584206677161</v>
      </c>
      <c r="I27">
        <v>1.7439489115946001</v>
      </c>
      <c r="J27">
        <f>LN(Table17[[#This Row],[Pb]])</f>
        <v>4.4613082441734306</v>
      </c>
      <c r="K27">
        <f>LN(Table17[[#This Row],[T(K)]])</f>
        <v>6.2146080984221914</v>
      </c>
    </row>
    <row r="28" spans="1:11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0.73926540807119001</v>
      </c>
      <c r="G28">
        <v>1.6681911472192399</v>
      </c>
      <c r="H28">
        <v>5.4113362160566698</v>
      </c>
      <c r="I28">
        <v>1.27635381978995</v>
      </c>
      <c r="J28">
        <f>LN(Table17[[#This Row],[Pb]])</f>
        <v>4.3459843517826044</v>
      </c>
      <c r="K28">
        <f>LN(Table17[[#This Row],[T(K)]])</f>
        <v>6.9077552789821368</v>
      </c>
    </row>
    <row r="29" spans="1:11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0.79821700722667299</v>
      </c>
      <c r="G29">
        <v>1.29195428868517</v>
      </c>
      <c r="H29">
        <v>5.0469736422668197</v>
      </c>
      <c r="I29">
        <v>1.1870163692771201</v>
      </c>
      <c r="J29">
        <f>LN(Table17[[#This Row],[Pb]])</f>
        <v>4.2394716294414732</v>
      </c>
      <c r="K29">
        <f>LN(Table17[[#This Row],[T(K)]])</f>
        <v>7.3132203870903014</v>
      </c>
    </row>
    <row r="30" spans="1:11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0.83943070478818405</v>
      </c>
      <c r="G30">
        <v>1.05080714795866</v>
      </c>
      <c r="H30">
        <v>4.6836377508854703</v>
      </c>
      <c r="I30">
        <v>1.2559956537835</v>
      </c>
      <c r="J30">
        <f>LN(Table17[[#This Row],[Pb]])</f>
        <v>4.1498308564223656</v>
      </c>
      <c r="K30">
        <f>LN(Table17[[#This Row],[T(K)]])</f>
        <v>7.6009024595420822</v>
      </c>
    </row>
    <row r="31" spans="1:11" hidden="1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1.01519197215941</v>
      </c>
      <c r="G31">
        <v>1.0006699945887401</v>
      </c>
      <c r="H31">
        <v>4.23501931654204</v>
      </c>
      <c r="I31">
        <v>1.35253992325525</v>
      </c>
      <c r="J31">
        <f>LN(Table17[[#This Row],[Pb]])</f>
        <v>4.0532596804622072</v>
      </c>
      <c r="K31">
        <f>LN(Table17[[#This Row],[T(K)]])</f>
        <v>7.8240460108562919</v>
      </c>
    </row>
    <row r="32" spans="1:11" hidden="1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1.7590441166728701</v>
      </c>
      <c r="G32">
        <v>2.1167485383282001</v>
      </c>
      <c r="H32">
        <v>4.5018395086386596</v>
      </c>
      <c r="I32">
        <v>1.99997147662459</v>
      </c>
      <c r="J32">
        <f>LN(Table17[[#This Row],[Pb]])</f>
        <v>4.0297254026818248</v>
      </c>
      <c r="K32">
        <f>LN(Table17[[#This Row],[T(K)]])</f>
        <v>6.2146080984221914</v>
      </c>
    </row>
    <row r="33" spans="1:11" hidden="1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1.71642862674407</v>
      </c>
      <c r="G33">
        <v>1.7719903046463199</v>
      </c>
      <c r="H33">
        <v>4.0859314651361798</v>
      </c>
      <c r="I33">
        <v>1.8463729498725401</v>
      </c>
      <c r="J33">
        <f>LN(Table17[[#This Row],[Pb]])</f>
        <v>3.8762363230377819</v>
      </c>
      <c r="K33">
        <f>LN(Table17[[#This Row],[T(K)]])</f>
        <v>6.9077552789821368</v>
      </c>
    </row>
    <row r="34" spans="1:11" hidden="1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1.34673078210956</v>
      </c>
      <c r="G34">
        <v>1.2277035528868701</v>
      </c>
      <c r="H34">
        <v>3.7475995846554802</v>
      </c>
      <c r="I34">
        <v>1.42916325231605</v>
      </c>
      <c r="J34">
        <f>LN(Table17[[#This Row],[Pb]])</f>
        <v>3.7290441565596208</v>
      </c>
      <c r="K34">
        <f>LN(Table17[[#This Row],[T(K)]])</f>
        <v>7.3132203870903014</v>
      </c>
    </row>
    <row r="35" spans="1:11" hidden="1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1.8654282014749799</v>
      </c>
      <c r="G35">
        <v>0.97630376102077798</v>
      </c>
      <c r="H35">
        <v>3.4399342176330201</v>
      </c>
      <c r="I35">
        <v>1.7345285214649</v>
      </c>
      <c r="J35">
        <f>LN(Table17[[#This Row],[Pb]])</f>
        <v>3.6062547746023608</v>
      </c>
      <c r="K35">
        <f>LN(Table17[[#This Row],[T(K)]])</f>
        <v>7.6009024595420822</v>
      </c>
    </row>
    <row r="36" spans="1:11" hidden="1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1.82191980185842</v>
      </c>
      <c r="G36">
        <v>0.73595834237968005</v>
      </c>
      <c r="H36">
        <v>3.1161673525534099</v>
      </c>
      <c r="I36">
        <v>1.7257716809789001</v>
      </c>
      <c r="J36">
        <f>LN(Table17[[#This Row],[Pb]])</f>
        <v>3.4941079154348023</v>
      </c>
      <c r="K36">
        <f>LN(Table17[[#This Row],[T(K)]])</f>
        <v>7.8240460108562919</v>
      </c>
    </row>
    <row r="37" spans="1:11" hidden="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2.1771258157546902</v>
      </c>
      <c r="G37">
        <v>1.98065622473133</v>
      </c>
      <c r="H37">
        <v>3.8643627782451899</v>
      </c>
      <c r="I37">
        <v>2.3749907745095098</v>
      </c>
      <c r="J37">
        <f>LN(Table17[[#This Row],[Pb]])</f>
        <v>3.7788215734221029</v>
      </c>
      <c r="K37">
        <f>LN(Table17[[#This Row],[T(K)]])</f>
        <v>6.2146080984221914</v>
      </c>
    </row>
    <row r="38" spans="1:11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2.0887724737230799</v>
      </c>
      <c r="G38">
        <v>1.5671124781375301</v>
      </c>
      <c r="H38">
        <v>3.5275192877459798</v>
      </c>
      <c r="I38">
        <v>2.0904653787392502</v>
      </c>
      <c r="J38">
        <f>LN(Table17[[#This Row],[Pb]])</f>
        <v>3.6304955697383976</v>
      </c>
      <c r="K38">
        <f>LN(Table17[[#This Row],[T(K)]])</f>
        <v>6.9077552789821368</v>
      </c>
    </row>
    <row r="39" spans="1:11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1.8031873212866101</v>
      </c>
      <c r="G39">
        <v>1.03946478552786</v>
      </c>
      <c r="H39">
        <v>3.2084982031034102</v>
      </c>
      <c r="I39">
        <v>1.6084584716921499</v>
      </c>
      <c r="J39">
        <f>LN(Table17[[#This Row],[Pb]])</f>
        <v>3.4838130349273921</v>
      </c>
      <c r="K39">
        <f>LN(Table17[[#This Row],[T(K)]])</f>
        <v>7.3132203870903014</v>
      </c>
    </row>
    <row r="40" spans="1:11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2.1857902579310799</v>
      </c>
      <c r="G40">
        <v>0.98087451540237203</v>
      </c>
      <c r="H40">
        <v>2.9467332525354601</v>
      </c>
      <c r="I40">
        <v>1.85597030853824</v>
      </c>
      <c r="J40">
        <f>LN(Table17[[#This Row],[Pb]])</f>
        <v>3.3562836089524648</v>
      </c>
      <c r="K40">
        <f>LN(Table17[[#This Row],[T(K)]])</f>
        <v>7.6009024595420822</v>
      </c>
    </row>
    <row r="41" spans="1:11" hidden="1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2.4420614425269198</v>
      </c>
      <c r="G41">
        <v>0.69350996440117196</v>
      </c>
      <c r="H41">
        <v>2.7148923891940502</v>
      </c>
      <c r="I41">
        <v>2.1630238105382098</v>
      </c>
      <c r="J41">
        <f>LN(Table17[[#This Row],[Pb]])</f>
        <v>3.2389609094294025</v>
      </c>
      <c r="K41">
        <f>LN(Table17[[#This Row],[T(K)]])</f>
        <v>7.8240460108562919</v>
      </c>
    </row>
    <row r="42" spans="1:11" hidden="1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2.2307611496558502</v>
      </c>
      <c r="G42">
        <v>1.4522039845741801</v>
      </c>
      <c r="H42">
        <v>3.5143489769496701</v>
      </c>
      <c r="I42">
        <v>1.8703239363325299</v>
      </c>
      <c r="J42">
        <f>LN(Table17[[#This Row],[Pb]])</f>
        <v>3.6188793146262306</v>
      </c>
      <c r="K42">
        <f>LN(Table17[[#This Row],[T(K)]])</f>
        <v>6.2146080984221914</v>
      </c>
    </row>
    <row r="43" spans="1:11" hidden="1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2.3494714868673099</v>
      </c>
      <c r="G43">
        <v>1.3376697832860101</v>
      </c>
      <c r="H43">
        <v>3.24130686371111</v>
      </c>
      <c r="I43">
        <v>2.1644097021986601</v>
      </c>
      <c r="J43">
        <f>LN(Table17[[#This Row],[Pb]])</f>
        <v>3.4671714382559675</v>
      </c>
      <c r="K43">
        <f>LN(Table17[[#This Row],[T(K)]])</f>
        <v>6.9077552789821368</v>
      </c>
    </row>
    <row r="44" spans="1:11" hidden="1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2.31390130435652</v>
      </c>
      <c r="G44">
        <v>0.99311152509896905</v>
      </c>
      <c r="H44">
        <v>2.9749875643070598</v>
      </c>
      <c r="I44">
        <v>2.0130874146964302</v>
      </c>
      <c r="J44">
        <f>LN(Table17[[#This Row],[Pb]])</f>
        <v>3.3183629270582466</v>
      </c>
      <c r="K44">
        <f>LN(Table17[[#This Row],[T(K)]])</f>
        <v>7.3132203870903014</v>
      </c>
    </row>
    <row r="45" spans="1:11" hidden="1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2.5066143811223598</v>
      </c>
      <c r="G45">
        <v>0.79638290010602197</v>
      </c>
      <c r="H45">
        <v>2.7267401132220899</v>
      </c>
      <c r="I45">
        <v>2.2240596970790301</v>
      </c>
      <c r="J45">
        <f>LN(Table17[[#This Row],[Pb]])</f>
        <v>3.1898336426881926</v>
      </c>
      <c r="K45">
        <f>LN(Table17[[#This Row],[T(K)]])</f>
        <v>7.6009024595420822</v>
      </c>
    </row>
    <row r="46" spans="1:11" hidden="1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2.6940043156601399</v>
      </c>
      <c r="G46">
        <v>0.62146177945828096</v>
      </c>
      <c r="H46">
        <v>2.5151068939545098</v>
      </c>
      <c r="I46">
        <v>2.4262134399034898</v>
      </c>
      <c r="J46">
        <f>LN(Table17[[#This Row],[Pb]])</f>
        <v>3.0681005166583986</v>
      </c>
      <c r="K46">
        <f>LN(Table17[[#This Row],[T(K)]])</f>
        <v>7.8240460108562919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A652-AE1C-4C0C-AF5C-4A4ECD13CA18}">
  <dimension ref="A1:AJ27"/>
  <sheetViews>
    <sheetView workbookViewId="0">
      <selection activeCell="A24" sqref="A24"/>
    </sheetView>
  </sheetViews>
  <sheetFormatPr defaultRowHeight="14.4" x14ac:dyDescent="0.3"/>
  <cols>
    <col min="1" max="1" width="20.109375" customWidth="1"/>
  </cols>
  <sheetData>
    <row r="1" spans="1:36" x14ac:dyDescent="0.3">
      <c r="H1" s="1" t="s">
        <v>21</v>
      </c>
      <c r="AA1" s="1" t="s">
        <v>23</v>
      </c>
    </row>
    <row r="2" spans="1:36" x14ac:dyDescent="0.3">
      <c r="O2" t="s">
        <v>11</v>
      </c>
      <c r="P2" t="s">
        <v>12</v>
      </c>
      <c r="Q2" t="s">
        <v>13</v>
      </c>
      <c r="AH2" t="s">
        <v>11</v>
      </c>
      <c r="AI2" t="s">
        <v>12</v>
      </c>
      <c r="AJ2" t="s">
        <v>13</v>
      </c>
    </row>
    <row r="3" spans="1:36" x14ac:dyDescent="0.3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1</v>
      </c>
      <c r="I3" s="3" t="s">
        <v>0</v>
      </c>
      <c r="J3" s="4" t="s">
        <v>8</v>
      </c>
      <c r="K3" s="11" t="s">
        <v>26</v>
      </c>
      <c r="L3" s="11" t="s">
        <v>27</v>
      </c>
      <c r="M3" s="11" t="s">
        <v>16</v>
      </c>
      <c r="N3" s="11" t="s">
        <v>17</v>
      </c>
      <c r="O3">
        <v>99.985607757447184</v>
      </c>
      <c r="P3">
        <v>0.66271871027622742</v>
      </c>
      <c r="Q3">
        <v>2.4630340203343889E-4</v>
      </c>
      <c r="U3" s="2" t="s">
        <v>2</v>
      </c>
      <c r="V3" s="3" t="s">
        <v>3</v>
      </c>
      <c r="W3" s="3" t="s">
        <v>4</v>
      </c>
      <c r="X3" s="3" t="s">
        <v>5</v>
      </c>
      <c r="Y3" s="3" t="s">
        <v>6</v>
      </c>
      <c r="Z3" s="3" t="s">
        <v>7</v>
      </c>
      <c r="AA3" s="3" t="s">
        <v>1</v>
      </c>
      <c r="AB3" s="3" t="s">
        <v>0</v>
      </c>
      <c r="AC3" s="4" t="s">
        <v>8</v>
      </c>
      <c r="AD3" s="11" t="s">
        <v>26</v>
      </c>
      <c r="AE3" s="11" t="s">
        <v>27</v>
      </c>
      <c r="AF3" s="11" t="s">
        <v>16</v>
      </c>
      <c r="AG3" s="11" t="s">
        <v>17</v>
      </c>
      <c r="AH3">
        <v>98.68941030282798</v>
      </c>
      <c r="AI3">
        <v>0.6658508051226355</v>
      </c>
      <c r="AJ3">
        <v>2.3555223055943378E-4</v>
      </c>
    </row>
    <row r="4" spans="1:36" x14ac:dyDescent="0.3">
      <c r="B4" s="5">
        <v>100</v>
      </c>
      <c r="C4" s="6">
        <v>1</v>
      </c>
      <c r="D4" s="6">
        <v>500</v>
      </c>
      <c r="E4" s="6">
        <v>38.987904843554098</v>
      </c>
      <c r="F4" s="6">
        <v>88.051904233454493</v>
      </c>
      <c r="G4" s="6">
        <v>0.61602232172104499</v>
      </c>
      <c r="H4" s="6">
        <v>1.7805269034751501</v>
      </c>
      <c r="I4" s="6">
        <v>5.7174463924963899</v>
      </c>
      <c r="J4" s="7">
        <v>1.0588650288078501</v>
      </c>
      <c r="K4">
        <f>$O$3*C4^(-$P$3)*EXP(-$Q$3*D4)</f>
        <v>88.400228297221503</v>
      </c>
      <c r="L4">
        <f>(K4-F4)^2</f>
        <v>0.12132965339916356</v>
      </c>
      <c r="M4">
        <f>SUM(L4:L27)</f>
        <v>37.875444133967214</v>
      </c>
      <c r="N4">
        <f>RSQ(F4:F27,K4:K27)</f>
        <v>0.99539645218698058</v>
      </c>
      <c r="U4" s="5">
        <v>110</v>
      </c>
      <c r="V4" s="6">
        <v>1</v>
      </c>
      <c r="W4" s="6">
        <v>500</v>
      </c>
      <c r="X4" s="6">
        <v>57.282114061772397</v>
      </c>
      <c r="Y4" s="6">
        <v>86.600729920272698</v>
      </c>
      <c r="Z4" s="6">
        <v>1.0312647741452401</v>
      </c>
      <c r="AA4" s="6">
        <v>2.5886822361941402</v>
      </c>
      <c r="AB4" s="6">
        <v>5.83584206677161</v>
      </c>
      <c r="AC4" s="7">
        <v>1.7439489115946001</v>
      </c>
      <c r="AD4">
        <f>$AH$3*V4^(-$AI$3)*EXP(-$AJ$3*W4)</f>
        <v>87.724527353851983</v>
      </c>
      <c r="AE4">
        <f>(AD4-Y4)^2</f>
        <v>1.2629206717193857</v>
      </c>
      <c r="AF4">
        <f>SUM(AE4:AE23)</f>
        <v>37.569429343344083</v>
      </c>
      <c r="AG4">
        <f>RSQ(Y4:Y23,AD4:AD23)</f>
        <v>0.99429386487999627</v>
      </c>
    </row>
    <row r="5" spans="1:36" x14ac:dyDescent="0.3">
      <c r="B5" s="8">
        <v>100</v>
      </c>
      <c r="C5" s="9">
        <v>1</v>
      </c>
      <c r="D5" s="9">
        <v>1000</v>
      </c>
      <c r="E5" s="9">
        <v>36.549487136239101</v>
      </c>
      <c r="F5" s="9">
        <v>76.838578092363605</v>
      </c>
      <c r="G5" s="9">
        <v>0.90900473903045798</v>
      </c>
      <c r="H5" s="9">
        <v>1.52448359526946</v>
      </c>
      <c r="I5" s="9">
        <v>5.4619033090646703</v>
      </c>
      <c r="J5" s="10">
        <v>1.24498258477945</v>
      </c>
      <c r="K5">
        <f t="shared" ref="K5:K27" si="0">$O$3*C5^(-$P$3)*EXP(-$Q$3*D5)</f>
        <v>78.157252211319701</v>
      </c>
      <c r="L5">
        <f t="shared" ref="L5:L27" si="1">(K5-F5)^2</f>
        <v>1.7389014320046365</v>
      </c>
      <c r="U5" s="8">
        <v>110</v>
      </c>
      <c r="V5" s="9">
        <v>1</v>
      </c>
      <c r="W5" s="9">
        <v>1000</v>
      </c>
      <c r="X5" s="9">
        <v>37.486742154701602</v>
      </c>
      <c r="Y5" s="9">
        <v>77.167960525181797</v>
      </c>
      <c r="Z5" s="9">
        <v>0.73926540807119001</v>
      </c>
      <c r="AA5" s="9">
        <v>1.6681911472192399</v>
      </c>
      <c r="AB5" s="9">
        <v>5.4113362160566698</v>
      </c>
      <c r="AC5" s="10">
        <v>1.27635381978995</v>
      </c>
      <c r="AD5">
        <f t="shared" ref="AD5:AD23" si="2">$AH$3*V5^(-$AI$3)*EXP(-$AJ$3*W5)</f>
        <v>77.977897282422049</v>
      </c>
      <c r="AE5">
        <f t="shared" ref="AE5:AE23" si="3">(AD5-Y5)^2</f>
        <v>0.65599755072885391</v>
      </c>
    </row>
    <row r="6" spans="1:36" x14ac:dyDescent="0.3">
      <c r="B6" s="5">
        <v>100</v>
      </c>
      <c r="C6" s="6">
        <v>1</v>
      </c>
      <c r="D6" s="6">
        <v>1500</v>
      </c>
      <c r="E6" s="6">
        <v>26.994950335905699</v>
      </c>
      <c r="F6" s="6">
        <v>68.538763993909001</v>
      </c>
      <c r="G6" s="6">
        <v>0.77971835079028595</v>
      </c>
      <c r="H6" s="6">
        <v>1.05270746011517</v>
      </c>
      <c r="I6" s="6">
        <v>4.9417855011150396</v>
      </c>
      <c r="J6" s="7">
        <v>1.17828101475251</v>
      </c>
      <c r="K6">
        <f t="shared" si="0"/>
        <v>69.101134588538557</v>
      </c>
      <c r="L6">
        <f t="shared" si="1"/>
        <v>0.31626068570400023</v>
      </c>
      <c r="U6" s="5">
        <v>110</v>
      </c>
      <c r="V6" s="6">
        <v>1</v>
      </c>
      <c r="W6" s="6">
        <v>1500</v>
      </c>
      <c r="X6" s="6">
        <v>29.761861465604099</v>
      </c>
      <c r="Y6" s="6">
        <v>69.371188460090906</v>
      </c>
      <c r="Z6" s="6">
        <v>0.79821700722667299</v>
      </c>
      <c r="AA6" s="6">
        <v>1.29195428868517</v>
      </c>
      <c r="AB6" s="6">
        <v>5.0469736422668197</v>
      </c>
      <c r="AC6" s="7">
        <v>1.1870163692771201</v>
      </c>
      <c r="AD6">
        <f t="shared" si="2"/>
        <v>69.314166151742356</v>
      </c>
      <c r="AE6">
        <f t="shared" si="3"/>
        <v>3.2515436493971328E-3</v>
      </c>
    </row>
    <row r="7" spans="1:36" x14ac:dyDescent="0.3">
      <c r="B7" s="8">
        <v>100</v>
      </c>
      <c r="C7" s="9">
        <v>1</v>
      </c>
      <c r="D7" s="9">
        <v>2000</v>
      </c>
      <c r="E7" s="9">
        <v>19.553108798739299</v>
      </c>
      <c r="F7" s="9">
        <v>63.490942324909099</v>
      </c>
      <c r="G7" s="9">
        <v>0.90509577673152797</v>
      </c>
      <c r="H7" s="9">
        <v>0.78681743658388403</v>
      </c>
      <c r="I7" s="9">
        <v>4.6280308277581002</v>
      </c>
      <c r="J7" s="10">
        <v>1.44797915088444</v>
      </c>
      <c r="K7">
        <f t="shared" si="0"/>
        <v>61.094353579791665</v>
      </c>
      <c r="L7">
        <f t="shared" si="1"/>
        <v>5.7436376132235569</v>
      </c>
      <c r="U7" s="8">
        <v>110</v>
      </c>
      <c r="V7" s="9">
        <v>1</v>
      </c>
      <c r="W7" s="9">
        <v>2000</v>
      </c>
      <c r="X7" s="9">
        <v>25.361730066887599</v>
      </c>
      <c r="Y7" s="9">
        <v>63.423271751727199</v>
      </c>
      <c r="Z7" s="9">
        <v>0.83943070478818405</v>
      </c>
      <c r="AA7" s="9">
        <v>1.05080714795866</v>
      </c>
      <c r="AB7" s="9">
        <v>4.6836377508854703</v>
      </c>
      <c r="AC7" s="10">
        <v>1.2559956537835</v>
      </c>
      <c r="AD7">
        <f t="shared" si="2"/>
        <v>61.61301851870244</v>
      </c>
      <c r="AE7">
        <f t="shared" si="3"/>
        <v>3.2770167676765953</v>
      </c>
    </row>
    <row r="8" spans="1:36" x14ac:dyDescent="0.3">
      <c r="B8" s="5">
        <v>100</v>
      </c>
      <c r="C8" s="6">
        <v>1</v>
      </c>
      <c r="D8" s="6">
        <v>2500</v>
      </c>
      <c r="E8" s="6">
        <v>13.1516507988825</v>
      </c>
      <c r="F8" s="6">
        <v>56.859420649</v>
      </c>
      <c r="G8" s="6">
        <v>1.60925803027996</v>
      </c>
      <c r="H8" s="6">
        <v>0.61247407166907097</v>
      </c>
      <c r="I8" s="6">
        <v>4.2249616822571303</v>
      </c>
      <c r="J8" s="7">
        <v>1.86439953983776</v>
      </c>
      <c r="K8">
        <f t="shared" si="0"/>
        <v>54.015322057413748</v>
      </c>
      <c r="L8">
        <f t="shared" si="1"/>
        <v>8.0888967986629066</v>
      </c>
      <c r="U8" s="5">
        <v>110</v>
      </c>
      <c r="V8" s="6">
        <v>1</v>
      </c>
      <c r="W8" s="6">
        <v>2500</v>
      </c>
      <c r="X8" s="6">
        <v>21.835551091972899</v>
      </c>
      <c r="Y8" s="6">
        <v>57.584859685181797</v>
      </c>
      <c r="Z8" s="6">
        <v>1.01519197215941</v>
      </c>
      <c r="AA8" s="6">
        <v>1.0006699945887401</v>
      </c>
      <c r="AB8" s="6">
        <v>4.23501931654204</v>
      </c>
      <c r="AC8" s="7">
        <v>1.35253992325525</v>
      </c>
      <c r="AD8">
        <f t="shared" si="2"/>
        <v>54.767506582643136</v>
      </c>
      <c r="AE8">
        <f t="shared" si="3"/>
        <v>7.9374785043842184</v>
      </c>
    </row>
    <row r="9" spans="1:36" x14ac:dyDescent="0.3">
      <c r="B9" s="8">
        <v>100</v>
      </c>
      <c r="C9" s="9">
        <v>2</v>
      </c>
      <c r="D9" s="9">
        <v>500</v>
      </c>
      <c r="E9" s="9">
        <v>13.3547971639351</v>
      </c>
      <c r="F9" s="9">
        <v>56.212994217575698</v>
      </c>
      <c r="G9" s="9">
        <v>1.3230710714705101</v>
      </c>
      <c r="H9" s="9">
        <v>1.4353258976085499</v>
      </c>
      <c r="I9" s="9">
        <v>4.4933293849343903</v>
      </c>
      <c r="J9" s="10">
        <v>1.4206104886524999</v>
      </c>
      <c r="K9">
        <f t="shared" si="0"/>
        <v>55.841255755297702</v>
      </c>
      <c r="L9">
        <f t="shared" si="1"/>
        <v>0.13818948433680905</v>
      </c>
      <c r="U9" s="8">
        <v>110</v>
      </c>
      <c r="V9" s="9">
        <v>2</v>
      </c>
      <c r="W9" s="9">
        <v>500</v>
      </c>
      <c r="X9" s="9">
        <v>25.206654469418599</v>
      </c>
      <c r="Y9" s="9">
        <v>56.245464272727197</v>
      </c>
      <c r="Z9" s="9">
        <v>1.7590441166728701</v>
      </c>
      <c r="AA9" s="9">
        <v>2.1167485383282001</v>
      </c>
      <c r="AB9" s="9">
        <v>4.5018395086386596</v>
      </c>
      <c r="AC9" s="10">
        <v>1.99997147662459</v>
      </c>
      <c r="AD9">
        <f t="shared" si="2"/>
        <v>55.294250031659864</v>
      </c>
      <c r="AE9">
        <f t="shared" si="3"/>
        <v>0.90480853240930315</v>
      </c>
    </row>
    <row r="10" spans="1:36" x14ac:dyDescent="0.3">
      <c r="B10" s="5">
        <v>100</v>
      </c>
      <c r="C10" s="6">
        <v>2</v>
      </c>
      <c r="D10" s="6">
        <v>1000</v>
      </c>
      <c r="E10" s="6">
        <v>12.1156014384801</v>
      </c>
      <c r="F10" s="6">
        <v>48.526996635303</v>
      </c>
      <c r="G10" s="6">
        <v>1.59016333434984</v>
      </c>
      <c r="H10" s="6">
        <v>1.1983958301855899</v>
      </c>
      <c r="I10" s="6">
        <v>4.1407165728614199</v>
      </c>
      <c r="J10" s="7">
        <v>1.57593520260021</v>
      </c>
      <c r="K10">
        <f t="shared" si="0"/>
        <v>49.370903151850655</v>
      </c>
      <c r="L10">
        <f t="shared" si="1"/>
        <v>0.71217820867159731</v>
      </c>
      <c r="U10" s="5">
        <v>110</v>
      </c>
      <c r="V10" s="6">
        <v>2</v>
      </c>
      <c r="W10" s="6">
        <v>1000</v>
      </c>
      <c r="X10" s="6">
        <v>19.8142490225679</v>
      </c>
      <c r="Y10" s="6">
        <v>48.242304509696901</v>
      </c>
      <c r="Z10" s="6">
        <v>1.71642862674407</v>
      </c>
      <c r="AA10" s="6">
        <v>1.7719903046463199</v>
      </c>
      <c r="AB10" s="6">
        <v>4.0859314651361798</v>
      </c>
      <c r="AC10" s="7">
        <v>1.8463729498725401</v>
      </c>
      <c r="AD10">
        <f t="shared" si="2"/>
        <v>49.150784613352577</v>
      </c>
      <c r="AE10">
        <f t="shared" si="3"/>
        <v>0.82533609873822944</v>
      </c>
    </row>
    <row r="11" spans="1:36" x14ac:dyDescent="0.3">
      <c r="B11" s="8">
        <v>100</v>
      </c>
      <c r="C11" s="9">
        <v>2</v>
      </c>
      <c r="D11" s="9">
        <v>1500</v>
      </c>
      <c r="E11" s="9">
        <v>11.435813865154101</v>
      </c>
      <c r="F11" s="9">
        <v>41.5902465345454</v>
      </c>
      <c r="G11" s="9">
        <v>1.7959888232993599</v>
      </c>
      <c r="H11" s="9">
        <v>1.01640261263089</v>
      </c>
      <c r="I11" s="9">
        <v>3.73823132574043</v>
      </c>
      <c r="J11" s="10">
        <v>1.7062675113349399</v>
      </c>
      <c r="K11">
        <f t="shared" si="0"/>
        <v>43.650273351851872</v>
      </c>
      <c r="L11">
        <f t="shared" si="1"/>
        <v>4.2437104880218328</v>
      </c>
      <c r="U11" s="8">
        <v>110</v>
      </c>
      <c r="V11" s="9">
        <v>2</v>
      </c>
      <c r="W11" s="9">
        <v>1500</v>
      </c>
      <c r="X11" s="9">
        <v>14.237183619633299</v>
      </c>
      <c r="Y11" s="9">
        <v>41.639288495606003</v>
      </c>
      <c r="Z11" s="9">
        <v>1.34673078210956</v>
      </c>
      <c r="AA11" s="9">
        <v>1.2277035528868701</v>
      </c>
      <c r="AB11" s="9">
        <v>3.7475995846554802</v>
      </c>
      <c r="AC11" s="10">
        <v>1.42916325231605</v>
      </c>
      <c r="AD11">
        <f t="shared" si="2"/>
        <v>43.689888672420011</v>
      </c>
      <c r="AE11">
        <f t="shared" si="3"/>
        <v>4.2049610851496411</v>
      </c>
    </row>
    <row r="12" spans="1:36" x14ac:dyDescent="0.3">
      <c r="B12" s="5">
        <v>100</v>
      </c>
      <c r="C12" s="6">
        <v>2</v>
      </c>
      <c r="D12" s="6">
        <v>2000</v>
      </c>
      <c r="E12" s="6">
        <v>9.5302387812026605</v>
      </c>
      <c r="F12" s="6">
        <v>36.802862126818098</v>
      </c>
      <c r="G12" s="6">
        <v>1.8207042084874001</v>
      </c>
      <c r="H12" s="6">
        <v>0.79288552264530698</v>
      </c>
      <c r="I12" s="6">
        <v>3.4606612192424602</v>
      </c>
      <c r="J12" s="7">
        <v>1.8679472767974801</v>
      </c>
      <c r="K12">
        <f t="shared" si="0"/>
        <v>38.592495620975257</v>
      </c>
      <c r="L12">
        <f t="shared" si="1"/>
        <v>3.2027880434091589</v>
      </c>
      <c r="U12" s="5">
        <v>110</v>
      </c>
      <c r="V12" s="6">
        <v>2</v>
      </c>
      <c r="W12" s="6">
        <v>2000</v>
      </c>
      <c r="X12" s="6">
        <v>13.908604489889999</v>
      </c>
      <c r="Y12" s="6">
        <v>36.8278655477272</v>
      </c>
      <c r="Z12" s="6">
        <v>1.8654282014749799</v>
      </c>
      <c r="AA12" s="6">
        <v>0.97630376102077798</v>
      </c>
      <c r="AB12" s="6">
        <v>3.4399342176330201</v>
      </c>
      <c r="AC12" s="7">
        <v>1.7345285214649</v>
      </c>
      <c r="AD12">
        <f t="shared" si="2"/>
        <v>38.835725354624302</v>
      </c>
      <c r="AE12">
        <f t="shared" si="3"/>
        <v>4.0315010041528669</v>
      </c>
    </row>
    <row r="13" spans="1:36" x14ac:dyDescent="0.3">
      <c r="A13" t="s">
        <v>28</v>
      </c>
      <c r="B13" s="8">
        <v>100</v>
      </c>
      <c r="C13" s="9">
        <v>2</v>
      </c>
      <c r="D13" s="9">
        <v>2500</v>
      </c>
      <c r="E13" s="9">
        <v>10.013526888477299</v>
      </c>
      <c r="F13" s="9">
        <v>33.105415840303003</v>
      </c>
      <c r="G13" s="9">
        <v>2.6691951839081001</v>
      </c>
      <c r="H13" s="9">
        <v>0.70347678721266305</v>
      </c>
      <c r="I13" s="9">
        <v>3.1608122907983001</v>
      </c>
      <c r="J13" s="10">
        <v>2.4366614934508699</v>
      </c>
      <c r="K13">
        <f t="shared" si="0"/>
        <v>34.120764977793826</v>
      </c>
      <c r="L13">
        <f t="shared" si="1"/>
        <v>1.0309338710033578</v>
      </c>
      <c r="U13" s="8">
        <v>110</v>
      </c>
      <c r="V13" s="9">
        <v>2</v>
      </c>
      <c r="W13" s="9">
        <v>2500</v>
      </c>
      <c r="X13" s="9">
        <v>11.400694755451401</v>
      </c>
      <c r="Y13" s="9">
        <v>32.920906616969603</v>
      </c>
      <c r="Z13" s="9">
        <v>1.82191980185842</v>
      </c>
      <c r="AA13" s="9">
        <v>0.73595834237968005</v>
      </c>
      <c r="AB13" s="9">
        <v>3.1161673525534099</v>
      </c>
      <c r="AC13" s="10">
        <v>1.7257716809789001</v>
      </c>
      <c r="AD13">
        <f t="shared" si="2"/>
        <v>34.520883656357178</v>
      </c>
      <c r="AE13">
        <f t="shared" si="3"/>
        <v>2.5599265265674296</v>
      </c>
    </row>
    <row r="14" spans="1:36" x14ac:dyDescent="0.3">
      <c r="A14" t="s">
        <v>29</v>
      </c>
      <c r="B14" s="5">
        <v>100</v>
      </c>
      <c r="C14" s="6">
        <v>3</v>
      </c>
      <c r="D14" s="6">
        <v>500</v>
      </c>
      <c r="E14" s="6">
        <v>7.7582738103185598</v>
      </c>
      <c r="F14" s="6">
        <v>43.6846300404545</v>
      </c>
      <c r="G14" s="6">
        <v>1.69209394815262</v>
      </c>
      <c r="H14" s="6">
        <v>1.33891259050426</v>
      </c>
      <c r="I14" s="6">
        <v>3.8549523475830001</v>
      </c>
      <c r="J14" s="7">
        <v>1.5800188454213999</v>
      </c>
      <c r="K14">
        <f t="shared" si="0"/>
        <v>42.683124576952892</v>
      </c>
      <c r="L14">
        <f t="shared" si="1"/>
        <v>1.0030131934235718</v>
      </c>
      <c r="U14" s="5">
        <v>110</v>
      </c>
      <c r="V14" s="6">
        <v>3</v>
      </c>
      <c r="W14" s="6">
        <v>500</v>
      </c>
      <c r="X14" s="6">
        <v>15.680837448358799</v>
      </c>
      <c r="Y14" s="6">
        <v>43.764438158939399</v>
      </c>
      <c r="Z14" s="6">
        <v>2.1771258157546902</v>
      </c>
      <c r="AA14" s="6">
        <v>1.98065622473133</v>
      </c>
      <c r="AB14" s="6">
        <v>3.8643627782451899</v>
      </c>
      <c r="AC14" s="7">
        <v>2.3749907745095098</v>
      </c>
      <c r="AD14">
        <f t="shared" si="2"/>
        <v>42.211371717162997</v>
      </c>
      <c r="AE14">
        <f t="shared" si="3"/>
        <v>2.4120153725720126</v>
      </c>
    </row>
    <row r="15" spans="1:36" x14ac:dyDescent="0.3">
      <c r="A15" t="s">
        <v>30</v>
      </c>
      <c r="B15" s="8">
        <v>100</v>
      </c>
      <c r="C15" s="9">
        <v>3</v>
      </c>
      <c r="D15" s="9">
        <v>1000</v>
      </c>
      <c r="E15" s="9">
        <v>6.57343200408088</v>
      </c>
      <c r="F15" s="9">
        <v>37.648316448333297</v>
      </c>
      <c r="G15" s="9">
        <v>1.9620784200538901</v>
      </c>
      <c r="H15" s="9">
        <v>1.0740450425230601</v>
      </c>
      <c r="I15" s="9">
        <v>3.5285528061407798</v>
      </c>
      <c r="J15" s="10">
        <v>1.75228054012568</v>
      </c>
      <c r="K15">
        <f t="shared" si="0"/>
        <v>37.737410830113646</v>
      </c>
      <c r="L15">
        <f t="shared" si="1"/>
        <v>7.9378088648225653E-3</v>
      </c>
      <c r="U15" s="8">
        <v>110</v>
      </c>
      <c r="V15" s="9">
        <v>3</v>
      </c>
      <c r="W15" s="9">
        <v>1000</v>
      </c>
      <c r="X15" s="9">
        <v>11.5141612395254</v>
      </c>
      <c r="Y15" s="9">
        <v>37.7315105795454</v>
      </c>
      <c r="Z15" s="9">
        <v>2.0887724737230799</v>
      </c>
      <c r="AA15" s="9">
        <v>1.5671124781375301</v>
      </c>
      <c r="AB15" s="9">
        <v>3.5275192877459798</v>
      </c>
      <c r="AC15" s="10">
        <v>2.0904653787392502</v>
      </c>
      <c r="AD15">
        <f t="shared" si="2"/>
        <v>37.521478966013937</v>
      </c>
      <c r="AE15">
        <f t="shared" si="3"/>
        <v>4.4113278682629757E-2</v>
      </c>
    </row>
    <row r="16" spans="1:36" x14ac:dyDescent="0.3">
      <c r="A16" t="s">
        <v>31</v>
      </c>
      <c r="B16" s="5">
        <v>100</v>
      </c>
      <c r="C16" s="6">
        <v>3</v>
      </c>
      <c r="D16" s="6">
        <v>1500</v>
      </c>
      <c r="E16" s="6">
        <v>4.9960232850488699</v>
      </c>
      <c r="F16" s="6">
        <v>32.414257819090899</v>
      </c>
      <c r="G16" s="6">
        <v>2.1209708774329799</v>
      </c>
      <c r="H16" s="6">
        <v>0.79689930934966602</v>
      </c>
      <c r="I16" s="6">
        <v>3.1969493628966599</v>
      </c>
      <c r="J16" s="7">
        <v>1.8557261190132299</v>
      </c>
      <c r="K16">
        <f t="shared" si="0"/>
        <v>33.364759264361346</v>
      </c>
      <c r="L16">
        <f t="shared" si="1"/>
        <v>0.903452997461209</v>
      </c>
      <c r="U16" s="5">
        <v>110</v>
      </c>
      <c r="V16" s="6">
        <v>3</v>
      </c>
      <c r="W16" s="6">
        <v>1500</v>
      </c>
      <c r="X16" s="6">
        <v>7.0103726034851501</v>
      </c>
      <c r="Y16" s="6">
        <v>32.583728399848397</v>
      </c>
      <c r="Z16" s="6">
        <v>1.8031873212866101</v>
      </c>
      <c r="AA16" s="6">
        <v>1.03946478552786</v>
      </c>
      <c r="AB16" s="6">
        <v>3.2084982031034102</v>
      </c>
      <c r="AC16" s="7">
        <v>1.6084584716921499</v>
      </c>
      <c r="AD16">
        <f t="shared" si="2"/>
        <v>33.352656559715513</v>
      </c>
      <c r="AE16">
        <f t="shared" si="3"/>
        <v>0.59125051503662884</v>
      </c>
    </row>
    <row r="17" spans="1:31" x14ac:dyDescent="0.3">
      <c r="A17" t="s">
        <v>32</v>
      </c>
      <c r="B17" s="8">
        <v>100</v>
      </c>
      <c r="C17" s="9">
        <v>3</v>
      </c>
      <c r="D17" s="9">
        <v>2000</v>
      </c>
      <c r="E17" s="9">
        <v>2.9305364867537098</v>
      </c>
      <c r="F17" s="9">
        <v>28.558953559393899</v>
      </c>
      <c r="G17" s="9">
        <v>2.17873207546595</v>
      </c>
      <c r="H17" s="9">
        <v>0.51862118385605305</v>
      </c>
      <c r="I17" s="9">
        <v>2.9504476336276202</v>
      </c>
      <c r="J17" s="10">
        <v>1.9680218520978201</v>
      </c>
      <c r="K17">
        <f t="shared" si="0"/>
        <v>29.498768894883241</v>
      </c>
      <c r="L17">
        <f t="shared" si="1"/>
        <v>0.88325286482094512</v>
      </c>
      <c r="U17" s="8">
        <v>110</v>
      </c>
      <c r="V17" s="9">
        <v>3</v>
      </c>
      <c r="W17" s="9">
        <v>2000</v>
      </c>
      <c r="X17" s="9">
        <v>8.0664703720160293</v>
      </c>
      <c r="Y17" s="9">
        <v>28.682397553787801</v>
      </c>
      <c r="Z17" s="9">
        <v>2.1857902579310799</v>
      </c>
      <c r="AA17" s="9">
        <v>0.98087451540237203</v>
      </c>
      <c r="AB17" s="9">
        <v>2.9467332525354601</v>
      </c>
      <c r="AC17" s="10">
        <v>1.85597030853824</v>
      </c>
      <c r="AD17">
        <f t="shared" si="2"/>
        <v>29.647010998631462</v>
      </c>
      <c r="AE17">
        <f t="shared" si="3"/>
        <v>0.93047909797315365</v>
      </c>
    </row>
    <row r="18" spans="1:31" x14ac:dyDescent="0.3">
      <c r="A18" t="s">
        <v>59</v>
      </c>
      <c r="B18" s="5">
        <v>100</v>
      </c>
      <c r="C18" s="6">
        <v>3</v>
      </c>
      <c r="D18" s="6">
        <v>2500</v>
      </c>
      <c r="E18" s="6">
        <v>2.7709229587059001</v>
      </c>
      <c r="F18" s="6">
        <v>25.136572647727199</v>
      </c>
      <c r="G18" s="6">
        <v>2.5626585277727001</v>
      </c>
      <c r="H18" s="6">
        <v>0.46449383279055001</v>
      </c>
      <c r="I18" s="6">
        <v>2.69146716438381</v>
      </c>
      <c r="J18" s="7">
        <v>2.3207968657201001</v>
      </c>
      <c r="K18">
        <f t="shared" si="0"/>
        <v>26.080732650249132</v>
      </c>
      <c r="L18">
        <f t="shared" si="1"/>
        <v>0.89143811036221654</v>
      </c>
      <c r="U18" s="5">
        <v>110</v>
      </c>
      <c r="V18" s="6">
        <v>3</v>
      </c>
      <c r="W18" s="6">
        <v>2500</v>
      </c>
      <c r="X18" s="6">
        <v>6.3015760126496199</v>
      </c>
      <c r="Y18" s="6">
        <v>25.507203677575699</v>
      </c>
      <c r="Z18" s="6">
        <v>2.4420614425269198</v>
      </c>
      <c r="AA18" s="6">
        <v>0.69350996440117196</v>
      </c>
      <c r="AB18" s="6">
        <v>2.7148923891940502</v>
      </c>
      <c r="AC18" s="7">
        <v>2.1630238105382098</v>
      </c>
      <c r="AD18">
        <f t="shared" si="2"/>
        <v>26.35308103806625</v>
      </c>
      <c r="AE18">
        <f t="shared" si="3"/>
        <v>0.71550850899046148</v>
      </c>
    </row>
    <row r="19" spans="1:31" x14ac:dyDescent="0.3">
      <c r="A19" t="s">
        <v>11</v>
      </c>
      <c r="B19" s="8">
        <v>100</v>
      </c>
      <c r="C19" s="9">
        <v>4</v>
      </c>
      <c r="D19" s="9">
        <v>500</v>
      </c>
      <c r="E19" s="9">
        <v>6.4722997312794099</v>
      </c>
      <c r="F19" s="9">
        <v>37.209898678787802</v>
      </c>
      <c r="G19" s="9">
        <v>2.1496440043624498</v>
      </c>
      <c r="H19" s="9">
        <v>1.39978383337849</v>
      </c>
      <c r="I19" s="9">
        <v>3.5183836489188001</v>
      </c>
      <c r="J19" s="10">
        <v>1.9070302809725299</v>
      </c>
      <c r="K19">
        <f t="shared" si="0"/>
        <v>35.274183159847993</v>
      </c>
      <c r="L19">
        <f t="shared" si="1"/>
        <v>3.7469945702644121</v>
      </c>
      <c r="U19" s="8">
        <v>110</v>
      </c>
      <c r="V19" s="9">
        <v>4</v>
      </c>
      <c r="W19" s="9">
        <v>500</v>
      </c>
      <c r="X19" s="9">
        <v>8.6403234385068099</v>
      </c>
      <c r="Y19" s="9">
        <v>37.295747593939303</v>
      </c>
      <c r="Z19" s="9">
        <v>2.2307611496558502</v>
      </c>
      <c r="AA19" s="9">
        <v>1.4522039845741801</v>
      </c>
      <c r="AB19" s="9">
        <v>3.5143489769496701</v>
      </c>
      <c r="AC19" s="10">
        <v>1.8703239363325299</v>
      </c>
      <c r="AD19">
        <f t="shared" si="2"/>
        <v>34.8528989416033</v>
      </c>
      <c r="AE19">
        <f t="shared" si="3"/>
        <v>5.9675095382198284</v>
      </c>
    </row>
    <row r="20" spans="1:31" x14ac:dyDescent="0.3">
      <c r="A20">
        <f>AVERAGE(O3,AH3)</f>
        <v>99.337509030137582</v>
      </c>
      <c r="B20" s="5">
        <v>100</v>
      </c>
      <c r="C20" s="6">
        <v>4</v>
      </c>
      <c r="D20" s="6">
        <v>1000</v>
      </c>
      <c r="E20" s="6">
        <v>4.8172790003394699</v>
      </c>
      <c r="F20" s="6">
        <v>31.911139860151501</v>
      </c>
      <c r="G20" s="6">
        <v>2.3364256688114402</v>
      </c>
      <c r="H20" s="6">
        <v>1.05070848753989</v>
      </c>
      <c r="I20" s="6">
        <v>3.2523060525854102</v>
      </c>
      <c r="J20" s="7">
        <v>2.0689651452311</v>
      </c>
      <c r="K20">
        <f t="shared" si="0"/>
        <v>31.186946944334743</v>
      </c>
      <c r="L20">
        <f t="shared" si="1"/>
        <v>0.52445537931917785</v>
      </c>
      <c r="U20" s="5">
        <v>110</v>
      </c>
      <c r="V20" s="6">
        <v>4</v>
      </c>
      <c r="W20" s="6">
        <v>1000</v>
      </c>
      <c r="X20" s="6">
        <v>7.4863922622541601</v>
      </c>
      <c r="Y20" s="6">
        <v>32.045970122575703</v>
      </c>
      <c r="Z20" s="6">
        <v>2.3494714868673099</v>
      </c>
      <c r="AA20" s="6">
        <v>1.3376697832860101</v>
      </c>
      <c r="AB20" s="6">
        <v>3.24130686371111</v>
      </c>
      <c r="AC20" s="7">
        <v>2.1644097021986601</v>
      </c>
      <c r="AD20">
        <f t="shared" si="2"/>
        <v>30.98056901122354</v>
      </c>
      <c r="AE20">
        <f t="shared" si="3"/>
        <v>1.1350795280704233</v>
      </c>
    </row>
    <row r="21" spans="1:31" x14ac:dyDescent="0.3">
      <c r="A21" t="s">
        <v>12</v>
      </c>
      <c r="B21" s="8">
        <v>100</v>
      </c>
      <c r="C21" s="9">
        <v>4</v>
      </c>
      <c r="D21" s="9">
        <v>1500</v>
      </c>
      <c r="E21" s="9">
        <v>3.3023887897462001</v>
      </c>
      <c r="F21" s="9">
        <v>27.4015136460606</v>
      </c>
      <c r="G21" s="9">
        <v>2.4922487904066601</v>
      </c>
      <c r="H21" s="9">
        <v>0.7089662863724</v>
      </c>
      <c r="I21" s="9">
        <v>2.9789941421977599</v>
      </c>
      <c r="J21" s="10">
        <v>2.1636276488749502</v>
      </c>
      <c r="K21">
        <f t="shared" si="0"/>
        <v>27.573300714043842</v>
      </c>
      <c r="L21">
        <f t="shared" si="1"/>
        <v>2.9510796726279105E-2</v>
      </c>
      <c r="U21" s="8">
        <v>110</v>
      </c>
      <c r="V21" s="9">
        <v>4</v>
      </c>
      <c r="W21" s="9">
        <v>1500</v>
      </c>
      <c r="X21" s="9">
        <v>5.3881873237563402</v>
      </c>
      <c r="Y21" s="9">
        <v>27.6151055918181</v>
      </c>
      <c r="Z21" s="9">
        <v>2.31390130435652</v>
      </c>
      <c r="AA21" s="9">
        <v>0.99311152509896905</v>
      </c>
      <c r="AB21" s="9">
        <v>2.9749875643070598</v>
      </c>
      <c r="AC21" s="10">
        <v>2.0130874146964302</v>
      </c>
      <c r="AD21">
        <f t="shared" si="2"/>
        <v>27.538474141486486</v>
      </c>
      <c r="AE21">
        <f t="shared" si="3"/>
        <v>5.8723791799267094E-3</v>
      </c>
    </row>
    <row r="22" spans="1:31" x14ac:dyDescent="0.3">
      <c r="A22">
        <f>AVERAGE(P3,AI3)</f>
        <v>0.66428475769943152</v>
      </c>
      <c r="B22" s="5">
        <v>100</v>
      </c>
      <c r="C22" s="6">
        <v>4</v>
      </c>
      <c r="D22" s="6">
        <v>2000</v>
      </c>
      <c r="E22" s="6">
        <v>1.3450059512694701</v>
      </c>
      <c r="F22" s="6">
        <v>24.008469821060601</v>
      </c>
      <c r="G22" s="6">
        <v>2.6235122738626102</v>
      </c>
      <c r="H22" s="6">
        <v>0.348569685825595</v>
      </c>
      <c r="I22" s="6">
        <v>2.71829570073464</v>
      </c>
      <c r="J22" s="7">
        <v>2.24910715449955</v>
      </c>
      <c r="K22">
        <f t="shared" si="0"/>
        <v>24.378369374344945</v>
      </c>
      <c r="L22">
        <f t="shared" si="1"/>
        <v>0.1368256795199578</v>
      </c>
      <c r="U22" s="5">
        <v>110</v>
      </c>
      <c r="V22" s="6">
        <v>4</v>
      </c>
      <c r="W22" s="6">
        <v>2000</v>
      </c>
      <c r="X22" s="6">
        <v>4.4819066287711804</v>
      </c>
      <c r="Y22" s="6">
        <v>24.284387221666599</v>
      </c>
      <c r="Z22" s="6">
        <v>2.5066143811223598</v>
      </c>
      <c r="AA22" s="6">
        <v>0.79638290010602197</v>
      </c>
      <c r="AB22" s="6">
        <v>2.7267401132220899</v>
      </c>
      <c r="AC22" s="7">
        <v>2.2240596970790301</v>
      </c>
      <c r="AD22">
        <f t="shared" si="2"/>
        <v>24.478813083342043</v>
      </c>
      <c r="AE22">
        <f t="shared" si="3"/>
        <v>3.7801415688239123E-2</v>
      </c>
    </row>
    <row r="23" spans="1:31" x14ac:dyDescent="0.3">
      <c r="A23" t="s">
        <v>13</v>
      </c>
      <c r="B23" s="8">
        <v>100</v>
      </c>
      <c r="C23" s="9">
        <v>4</v>
      </c>
      <c r="D23" s="9">
        <v>2500</v>
      </c>
      <c r="E23" s="9">
        <v>1.3022767583499999</v>
      </c>
      <c r="F23" s="9">
        <v>21.139661948030302</v>
      </c>
      <c r="G23" s="9">
        <v>2.9820756376031898</v>
      </c>
      <c r="H23" s="9">
        <v>0.33471296296296199</v>
      </c>
      <c r="I23" s="9">
        <v>2.5102488722876002</v>
      </c>
      <c r="J23" s="10">
        <v>2.6883749253830702</v>
      </c>
      <c r="K23">
        <f t="shared" si="0"/>
        <v>21.553636233666566</v>
      </c>
      <c r="L23">
        <f t="shared" si="1"/>
        <v>0.1713747091680555</v>
      </c>
      <c r="U23" s="8">
        <v>110</v>
      </c>
      <c r="V23" s="9">
        <v>4</v>
      </c>
      <c r="W23" s="9">
        <v>2500</v>
      </c>
      <c r="X23" s="9">
        <v>3.84190099003421</v>
      </c>
      <c r="Y23" s="9">
        <v>21.5010230271212</v>
      </c>
      <c r="Z23" s="9">
        <v>2.6940043156601399</v>
      </c>
      <c r="AA23" s="9">
        <v>0.62146177945828096</v>
      </c>
      <c r="AB23" s="9">
        <v>2.5151068939545098</v>
      </c>
      <c r="AC23" s="10">
        <v>2.4262134399034898</v>
      </c>
      <c r="AD23">
        <f t="shared" si="2"/>
        <v>21.759095543586753</v>
      </c>
      <c r="AE23">
        <f t="shared" si="3"/>
        <v>6.6601423754863276E-2</v>
      </c>
    </row>
    <row r="24" spans="1:31" x14ac:dyDescent="0.3">
      <c r="A24">
        <f>AVERAGE(Q3,AJ3)</f>
        <v>2.4092781629643634E-4</v>
      </c>
      <c r="B24" s="5">
        <v>100</v>
      </c>
      <c r="C24" s="6">
        <v>5</v>
      </c>
      <c r="D24" s="6">
        <v>500</v>
      </c>
      <c r="E24" s="6"/>
      <c r="F24" s="6">
        <v>32.475539339999997</v>
      </c>
      <c r="G24" s="6"/>
      <c r="H24" s="6"/>
      <c r="I24" s="6">
        <v>3.2692510372910299</v>
      </c>
      <c r="J24" s="7"/>
      <c r="K24">
        <f t="shared" si="0"/>
        <v>30.425161122599192</v>
      </c>
      <c r="L24">
        <f t="shared" si="1"/>
        <v>4.2040508343917038</v>
      </c>
    </row>
    <row r="25" spans="1:31" x14ac:dyDescent="0.3">
      <c r="B25" s="8">
        <v>100</v>
      </c>
      <c r="C25" s="9">
        <v>5</v>
      </c>
      <c r="D25" s="9">
        <v>2500</v>
      </c>
      <c r="E25" s="9"/>
      <c r="F25" s="9">
        <v>18.448552741111101</v>
      </c>
      <c r="G25" s="9"/>
      <c r="H25" s="9"/>
      <c r="I25" s="9">
        <v>2.3282538582025598</v>
      </c>
      <c r="J25" s="10"/>
      <c r="K25">
        <f t="shared" si="0"/>
        <v>18.590731136579581</v>
      </c>
      <c r="L25">
        <f t="shared" si="1"/>
        <v>2.021469613799165E-2</v>
      </c>
    </row>
    <row r="26" spans="1:31" x14ac:dyDescent="0.3">
      <c r="B26" s="5">
        <v>100</v>
      </c>
      <c r="C26" s="6">
        <v>6</v>
      </c>
      <c r="D26" s="6">
        <v>500</v>
      </c>
      <c r="E26" s="6"/>
      <c r="F26" s="6">
        <v>27.079947847777699</v>
      </c>
      <c r="G26" s="6"/>
      <c r="H26" s="6"/>
      <c r="I26" s="6">
        <v>2.9615035911824501</v>
      </c>
      <c r="J26" s="7"/>
      <c r="K26">
        <f t="shared" si="0"/>
        <v>26.962365616557744</v>
      </c>
      <c r="L26">
        <f t="shared" si="1"/>
        <v>1.3825581098663125E-2</v>
      </c>
    </row>
    <row r="27" spans="1:31" x14ac:dyDescent="0.3">
      <c r="B27" s="8">
        <v>100</v>
      </c>
      <c r="C27" s="9">
        <v>6</v>
      </c>
      <c r="D27" s="9">
        <v>2500</v>
      </c>
      <c r="E27" s="9"/>
      <c r="F27" s="9">
        <v>16.522505253888799</v>
      </c>
      <c r="G27" s="9"/>
      <c r="H27" s="9"/>
      <c r="I27" s="9">
        <v>2.1977976354319599</v>
      </c>
      <c r="J27" s="10"/>
      <c r="K27">
        <f t="shared" si="0"/>
        <v>16.474854084215988</v>
      </c>
      <c r="L27">
        <f t="shared" si="1"/>
        <v>2.2706339711870251E-3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B0C7-71EE-41B5-A47C-CEA505049B32}">
  <dimension ref="A1:I46"/>
  <sheetViews>
    <sheetView workbookViewId="0">
      <selection activeCell="C30" sqref="C30"/>
    </sheetView>
  </sheetViews>
  <sheetFormatPr defaultRowHeight="14.4" x14ac:dyDescent="0.3"/>
  <sheetData>
    <row r="1" spans="1:9" ht="265.2" customHeight="1" x14ac:dyDescent="0.3"/>
    <row r="2" spans="1:9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0</v>
      </c>
      <c r="I2" t="s">
        <v>8</v>
      </c>
    </row>
    <row r="3" spans="1:9" hidden="1" x14ac:dyDescent="0.3">
      <c r="A3">
        <v>100</v>
      </c>
      <c r="B3">
        <v>1</v>
      </c>
      <c r="C3">
        <v>500</v>
      </c>
      <c r="D3">
        <v>38.987904843554098</v>
      </c>
      <c r="E3">
        <v>88.051904233454493</v>
      </c>
      <c r="F3">
        <v>0.61602232172104499</v>
      </c>
      <c r="G3">
        <v>1.7805269034751501</v>
      </c>
      <c r="H3">
        <v>5.7174463924963899</v>
      </c>
      <c r="I3">
        <v>1.0588650288078501</v>
      </c>
    </row>
    <row r="4" spans="1:9" hidden="1" x14ac:dyDescent="0.3">
      <c r="A4">
        <v>100</v>
      </c>
      <c r="B4">
        <v>1</v>
      </c>
      <c r="C4">
        <v>1000</v>
      </c>
      <c r="D4">
        <v>36.549487136239101</v>
      </c>
      <c r="E4">
        <v>76.838578092363605</v>
      </c>
      <c r="F4">
        <v>0.90900473903045798</v>
      </c>
      <c r="G4">
        <v>1.52448359526946</v>
      </c>
      <c r="H4">
        <v>5.4619033090646703</v>
      </c>
      <c r="I4">
        <v>1.24498258477945</v>
      </c>
    </row>
    <row r="5" spans="1:9" hidden="1" x14ac:dyDescent="0.3">
      <c r="A5">
        <v>100</v>
      </c>
      <c r="B5">
        <v>1</v>
      </c>
      <c r="C5">
        <v>1500</v>
      </c>
      <c r="D5">
        <v>26.994950335905699</v>
      </c>
      <c r="E5">
        <v>68.538763993909001</v>
      </c>
      <c r="F5">
        <v>0.77971835079028595</v>
      </c>
      <c r="G5">
        <v>1.05270746011517</v>
      </c>
      <c r="H5">
        <v>4.9417855011150396</v>
      </c>
      <c r="I5">
        <v>1.17828101475251</v>
      </c>
    </row>
    <row r="6" spans="1:9" hidden="1" x14ac:dyDescent="0.3">
      <c r="A6">
        <v>100</v>
      </c>
      <c r="B6">
        <v>1</v>
      </c>
      <c r="C6">
        <v>2000</v>
      </c>
      <c r="D6">
        <v>19.553108798739299</v>
      </c>
      <c r="E6">
        <v>63.490942324909099</v>
      </c>
      <c r="F6">
        <v>0.90509577673152797</v>
      </c>
      <c r="G6">
        <v>0.78681743658388403</v>
      </c>
      <c r="H6">
        <v>4.6280308277581002</v>
      </c>
      <c r="I6">
        <v>1.44797915088444</v>
      </c>
    </row>
    <row r="7" spans="1:9" hidden="1" x14ac:dyDescent="0.3">
      <c r="A7">
        <v>100</v>
      </c>
      <c r="B7">
        <v>1</v>
      </c>
      <c r="C7">
        <v>2500</v>
      </c>
      <c r="D7">
        <v>13.1516507988825</v>
      </c>
      <c r="E7">
        <v>56.859420649</v>
      </c>
      <c r="F7">
        <v>1.60925803027996</v>
      </c>
      <c r="G7">
        <v>0.61247407166907097</v>
      </c>
      <c r="H7">
        <v>4.2249616822571303</v>
      </c>
      <c r="I7">
        <v>1.86439953983776</v>
      </c>
    </row>
    <row r="8" spans="1:9" hidden="1" x14ac:dyDescent="0.3">
      <c r="A8">
        <v>100</v>
      </c>
      <c r="B8">
        <v>2</v>
      </c>
      <c r="C8">
        <v>500</v>
      </c>
      <c r="D8">
        <v>13.3547971639351</v>
      </c>
      <c r="E8">
        <v>56.212994217575698</v>
      </c>
      <c r="F8">
        <v>1.3230710714705101</v>
      </c>
      <c r="G8">
        <v>1.4353258976085499</v>
      </c>
      <c r="H8">
        <v>4.4933293849343903</v>
      </c>
      <c r="I8">
        <v>1.4206104886524999</v>
      </c>
    </row>
    <row r="9" spans="1:9" hidden="1" x14ac:dyDescent="0.3">
      <c r="A9">
        <v>100</v>
      </c>
      <c r="B9">
        <v>2</v>
      </c>
      <c r="C9">
        <v>1000</v>
      </c>
      <c r="D9">
        <v>12.1156014384801</v>
      </c>
      <c r="E9">
        <v>48.526996635303</v>
      </c>
      <c r="F9">
        <v>1.59016333434984</v>
      </c>
      <c r="G9">
        <v>1.1983958301855899</v>
      </c>
      <c r="H9">
        <v>4.1407165728614199</v>
      </c>
      <c r="I9">
        <v>1.57593520260021</v>
      </c>
    </row>
    <row r="10" spans="1:9" hidden="1" x14ac:dyDescent="0.3">
      <c r="A10">
        <v>100</v>
      </c>
      <c r="B10">
        <v>2</v>
      </c>
      <c r="C10">
        <v>1500</v>
      </c>
      <c r="D10">
        <v>11.435813865154101</v>
      </c>
      <c r="E10">
        <v>41.5902465345454</v>
      </c>
      <c r="F10">
        <v>1.7959888232993599</v>
      </c>
      <c r="G10">
        <v>1.01640261263089</v>
      </c>
      <c r="H10">
        <v>3.73823132574043</v>
      </c>
      <c r="I10">
        <v>1.7062675113349399</v>
      </c>
    </row>
    <row r="11" spans="1:9" hidden="1" x14ac:dyDescent="0.3">
      <c r="A11">
        <v>100</v>
      </c>
      <c r="B11">
        <v>2</v>
      </c>
      <c r="C11">
        <v>2000</v>
      </c>
      <c r="D11">
        <v>9.5302387812026605</v>
      </c>
      <c r="E11">
        <v>36.802862126818098</v>
      </c>
      <c r="F11">
        <v>1.8207042084874001</v>
      </c>
      <c r="G11">
        <v>0.79288552264530698</v>
      </c>
      <c r="H11">
        <v>3.4606612192424602</v>
      </c>
      <c r="I11">
        <v>1.8679472767974801</v>
      </c>
    </row>
    <row r="12" spans="1:9" hidden="1" x14ac:dyDescent="0.3">
      <c r="A12">
        <v>100</v>
      </c>
      <c r="B12">
        <v>2</v>
      </c>
      <c r="C12">
        <v>2500</v>
      </c>
      <c r="D12">
        <v>10.013526888477299</v>
      </c>
      <c r="E12">
        <v>33.105415840303003</v>
      </c>
      <c r="F12">
        <v>2.6691951839081001</v>
      </c>
      <c r="G12">
        <v>0.70347678721266305</v>
      </c>
      <c r="H12">
        <v>3.1608122907983001</v>
      </c>
      <c r="I12">
        <v>2.4366614934508699</v>
      </c>
    </row>
    <row r="13" spans="1:9" hidden="1" x14ac:dyDescent="0.3">
      <c r="A13">
        <v>100</v>
      </c>
      <c r="B13">
        <v>3</v>
      </c>
      <c r="C13">
        <v>500</v>
      </c>
      <c r="D13">
        <v>7.7582738103185598</v>
      </c>
      <c r="E13">
        <v>43.6846300404545</v>
      </c>
      <c r="F13">
        <v>1.69209394815262</v>
      </c>
      <c r="G13">
        <v>1.33891259050426</v>
      </c>
      <c r="H13">
        <v>3.8549523475830001</v>
      </c>
      <c r="I13">
        <v>1.5800188454213999</v>
      </c>
    </row>
    <row r="14" spans="1:9" hidden="1" x14ac:dyDescent="0.3">
      <c r="A14">
        <v>100</v>
      </c>
      <c r="B14">
        <v>3</v>
      </c>
      <c r="C14">
        <v>1000</v>
      </c>
      <c r="D14">
        <v>6.57343200408088</v>
      </c>
      <c r="E14">
        <v>37.648316448333297</v>
      </c>
      <c r="F14">
        <v>1.9620784200538901</v>
      </c>
      <c r="G14">
        <v>1.0740450425230601</v>
      </c>
      <c r="H14">
        <v>3.5285528061407798</v>
      </c>
      <c r="I14">
        <v>1.75228054012568</v>
      </c>
    </row>
    <row r="15" spans="1:9" hidden="1" x14ac:dyDescent="0.3">
      <c r="A15">
        <v>100</v>
      </c>
      <c r="B15">
        <v>3</v>
      </c>
      <c r="C15">
        <v>1500</v>
      </c>
      <c r="D15">
        <v>4.9960232850488699</v>
      </c>
      <c r="E15">
        <v>32.414257819090899</v>
      </c>
      <c r="F15">
        <v>2.1209708774329799</v>
      </c>
      <c r="G15">
        <v>0.79689930934966602</v>
      </c>
      <c r="H15">
        <v>3.1969493628966599</v>
      </c>
      <c r="I15">
        <v>1.8557261190132299</v>
      </c>
    </row>
    <row r="16" spans="1:9" hidden="1" x14ac:dyDescent="0.3">
      <c r="A16">
        <v>100</v>
      </c>
      <c r="B16">
        <v>3</v>
      </c>
      <c r="C16">
        <v>2000</v>
      </c>
      <c r="D16">
        <v>2.9305364867537098</v>
      </c>
      <c r="E16">
        <v>28.558953559393899</v>
      </c>
      <c r="F16">
        <v>2.17873207546595</v>
      </c>
      <c r="G16">
        <v>0.51862118385605305</v>
      </c>
      <c r="H16">
        <v>2.9504476336276202</v>
      </c>
      <c r="I16">
        <v>1.9680218520978201</v>
      </c>
    </row>
    <row r="17" spans="1:9" hidden="1" x14ac:dyDescent="0.3">
      <c r="A17">
        <v>100</v>
      </c>
      <c r="B17">
        <v>3</v>
      </c>
      <c r="C17">
        <v>2500</v>
      </c>
      <c r="D17">
        <v>2.7709229587059001</v>
      </c>
      <c r="E17">
        <v>25.136572647727199</v>
      </c>
      <c r="F17">
        <v>2.5626585277727001</v>
      </c>
      <c r="G17">
        <v>0.46449383279055001</v>
      </c>
      <c r="H17">
        <v>2.69146716438381</v>
      </c>
      <c r="I17">
        <v>2.3207968657201001</v>
      </c>
    </row>
    <row r="18" spans="1:9" hidden="1" x14ac:dyDescent="0.3">
      <c r="A18">
        <v>100</v>
      </c>
      <c r="B18">
        <v>4</v>
      </c>
      <c r="C18">
        <v>500</v>
      </c>
      <c r="D18">
        <v>6.4722997312794099</v>
      </c>
      <c r="E18">
        <v>37.209898678787802</v>
      </c>
      <c r="F18">
        <v>2.1496440043624498</v>
      </c>
      <c r="G18">
        <v>1.39978383337849</v>
      </c>
      <c r="H18">
        <v>3.5183836489188001</v>
      </c>
      <c r="I18">
        <v>1.9070302809725299</v>
      </c>
    </row>
    <row r="19" spans="1:9" hidden="1" x14ac:dyDescent="0.3">
      <c r="A19">
        <v>100</v>
      </c>
      <c r="B19">
        <v>4</v>
      </c>
      <c r="C19">
        <v>1000</v>
      </c>
      <c r="D19">
        <v>4.8172790003394699</v>
      </c>
      <c r="E19">
        <v>31.911139860151501</v>
      </c>
      <c r="F19">
        <v>2.3364256688114402</v>
      </c>
      <c r="G19">
        <v>1.05070848753989</v>
      </c>
      <c r="H19">
        <v>3.2523060525854102</v>
      </c>
      <c r="I19">
        <v>2.0689651452311</v>
      </c>
    </row>
    <row r="20" spans="1:9" hidden="1" x14ac:dyDescent="0.3">
      <c r="A20">
        <v>100</v>
      </c>
      <c r="B20">
        <v>4</v>
      </c>
      <c r="C20">
        <v>1500</v>
      </c>
      <c r="D20">
        <v>3.3023887897462001</v>
      </c>
      <c r="E20">
        <v>27.4015136460606</v>
      </c>
      <c r="F20">
        <v>2.4922487904066601</v>
      </c>
      <c r="G20">
        <v>0.7089662863724</v>
      </c>
      <c r="H20">
        <v>2.9789941421977599</v>
      </c>
      <c r="I20">
        <v>2.1636276488749502</v>
      </c>
    </row>
    <row r="21" spans="1:9" hidden="1" x14ac:dyDescent="0.3">
      <c r="A21">
        <v>100</v>
      </c>
      <c r="B21">
        <v>4</v>
      </c>
      <c r="C21">
        <v>2000</v>
      </c>
      <c r="D21">
        <v>1.3450059512694701</v>
      </c>
      <c r="E21">
        <v>24.008469821060601</v>
      </c>
      <c r="F21">
        <v>2.6235122738626102</v>
      </c>
      <c r="G21">
        <v>0.348569685825595</v>
      </c>
      <c r="H21">
        <v>2.71829570073464</v>
      </c>
      <c r="I21">
        <v>2.24910715449955</v>
      </c>
    </row>
    <row r="22" spans="1:9" hidden="1" x14ac:dyDescent="0.3">
      <c r="A22">
        <v>100</v>
      </c>
      <c r="B22">
        <v>4</v>
      </c>
      <c r="C22">
        <v>2500</v>
      </c>
      <c r="D22">
        <v>1.3022767583499999</v>
      </c>
      <c r="E22">
        <v>21.139661948030302</v>
      </c>
      <c r="F22">
        <v>2.9820756376031898</v>
      </c>
      <c r="G22">
        <v>0.33471296296296199</v>
      </c>
      <c r="H22">
        <v>2.5102488722876002</v>
      </c>
      <c r="I22">
        <v>2.6883749253830702</v>
      </c>
    </row>
    <row r="23" spans="1:9" hidden="1" x14ac:dyDescent="0.3">
      <c r="A23">
        <v>100</v>
      </c>
      <c r="B23">
        <v>5</v>
      </c>
      <c r="C23">
        <v>500</v>
      </c>
      <c r="E23">
        <v>32.475539339999997</v>
      </c>
      <c r="H23">
        <v>3.2692510372910299</v>
      </c>
    </row>
    <row r="24" spans="1:9" hidden="1" x14ac:dyDescent="0.3">
      <c r="A24">
        <v>100</v>
      </c>
      <c r="B24">
        <v>5</v>
      </c>
      <c r="C24">
        <v>2500</v>
      </c>
      <c r="E24">
        <v>18.448552741111101</v>
      </c>
      <c r="H24">
        <v>2.3282538582025598</v>
      </c>
    </row>
    <row r="25" spans="1:9" hidden="1" x14ac:dyDescent="0.3">
      <c r="A25">
        <v>100</v>
      </c>
      <c r="B25">
        <v>6</v>
      </c>
      <c r="C25">
        <v>500</v>
      </c>
      <c r="E25">
        <v>27.079947847777699</v>
      </c>
      <c r="H25">
        <v>2.9615035911824501</v>
      </c>
    </row>
    <row r="26" spans="1:9" hidden="1" x14ac:dyDescent="0.3">
      <c r="A26">
        <v>100</v>
      </c>
      <c r="B26">
        <v>6</v>
      </c>
      <c r="C26">
        <v>2500</v>
      </c>
      <c r="E26">
        <v>16.522505253888799</v>
      </c>
      <c r="H26">
        <v>2.1977976354319599</v>
      </c>
    </row>
    <row r="27" spans="1:9" hidden="1" x14ac:dyDescent="0.3">
      <c r="A27">
        <v>110</v>
      </c>
      <c r="B27">
        <v>1</v>
      </c>
      <c r="C27">
        <v>500</v>
      </c>
      <c r="D27">
        <v>57.282114061772397</v>
      </c>
      <c r="E27">
        <v>86.600729920272698</v>
      </c>
      <c r="F27">
        <v>1.0312647741452401</v>
      </c>
      <c r="G27">
        <v>2.5886822361941402</v>
      </c>
      <c r="H27">
        <v>5.83584206677161</v>
      </c>
      <c r="I27">
        <v>1.7439489115946001</v>
      </c>
    </row>
    <row r="28" spans="1:9" hidden="1" x14ac:dyDescent="0.3">
      <c r="A28">
        <v>110</v>
      </c>
      <c r="B28">
        <v>1</v>
      </c>
      <c r="C28">
        <v>1000</v>
      </c>
      <c r="D28">
        <v>37.486742154701602</v>
      </c>
      <c r="E28">
        <v>77.167960525181797</v>
      </c>
      <c r="F28">
        <v>0.73926540807119001</v>
      </c>
      <c r="G28">
        <v>1.6681911472192399</v>
      </c>
      <c r="H28">
        <v>5.4113362160566698</v>
      </c>
      <c r="I28">
        <v>1.27635381978995</v>
      </c>
    </row>
    <row r="29" spans="1:9" hidden="1" x14ac:dyDescent="0.3">
      <c r="A29">
        <v>110</v>
      </c>
      <c r="B29">
        <v>1</v>
      </c>
      <c r="C29">
        <v>1500</v>
      </c>
      <c r="D29">
        <v>29.761861465604099</v>
      </c>
      <c r="E29">
        <v>69.371188460090906</v>
      </c>
      <c r="F29">
        <v>0.79821700722667299</v>
      </c>
      <c r="G29">
        <v>1.29195428868517</v>
      </c>
      <c r="H29">
        <v>5.0469736422668197</v>
      </c>
      <c r="I29">
        <v>1.1870163692771201</v>
      </c>
    </row>
    <row r="30" spans="1:9" hidden="1" x14ac:dyDescent="0.3">
      <c r="A30">
        <v>110</v>
      </c>
      <c r="B30">
        <v>1</v>
      </c>
      <c r="C30">
        <v>2000</v>
      </c>
      <c r="D30">
        <v>25.361730066887599</v>
      </c>
      <c r="E30">
        <v>63.423271751727199</v>
      </c>
      <c r="F30">
        <v>0.83943070478818405</v>
      </c>
      <c r="G30">
        <v>1.05080714795866</v>
      </c>
      <c r="H30">
        <v>4.6836377508854703</v>
      </c>
      <c r="I30">
        <v>1.2559956537835</v>
      </c>
    </row>
    <row r="31" spans="1:9" x14ac:dyDescent="0.3">
      <c r="A31">
        <v>110</v>
      </c>
      <c r="B31">
        <v>1</v>
      </c>
      <c r="C31">
        <v>2500</v>
      </c>
      <c r="D31">
        <v>21.835551091972899</v>
      </c>
      <c r="E31">
        <v>57.584859685181797</v>
      </c>
      <c r="F31">
        <v>1.01519197215941</v>
      </c>
      <c r="G31">
        <v>1.0006699945887401</v>
      </c>
      <c r="H31">
        <v>4.23501931654204</v>
      </c>
      <c r="I31">
        <v>1.35253992325525</v>
      </c>
    </row>
    <row r="32" spans="1:9" hidden="1" x14ac:dyDescent="0.3">
      <c r="A32">
        <v>110</v>
      </c>
      <c r="B32">
        <v>2</v>
      </c>
      <c r="C32">
        <v>500</v>
      </c>
      <c r="D32">
        <v>25.206654469418599</v>
      </c>
      <c r="E32">
        <v>56.245464272727197</v>
      </c>
      <c r="F32">
        <v>1.7590441166728701</v>
      </c>
      <c r="G32">
        <v>2.1167485383282001</v>
      </c>
      <c r="H32">
        <v>4.5018395086386596</v>
      </c>
      <c r="I32">
        <v>1.99997147662459</v>
      </c>
    </row>
    <row r="33" spans="1:9" hidden="1" x14ac:dyDescent="0.3">
      <c r="A33">
        <v>110</v>
      </c>
      <c r="B33">
        <v>2</v>
      </c>
      <c r="C33">
        <v>1000</v>
      </c>
      <c r="D33">
        <v>19.8142490225679</v>
      </c>
      <c r="E33">
        <v>48.242304509696901</v>
      </c>
      <c r="F33">
        <v>1.71642862674407</v>
      </c>
      <c r="G33">
        <v>1.7719903046463199</v>
      </c>
      <c r="H33">
        <v>4.0859314651361798</v>
      </c>
      <c r="I33">
        <v>1.8463729498725401</v>
      </c>
    </row>
    <row r="34" spans="1:9" hidden="1" x14ac:dyDescent="0.3">
      <c r="A34">
        <v>110</v>
      </c>
      <c r="B34">
        <v>2</v>
      </c>
      <c r="C34">
        <v>1500</v>
      </c>
      <c r="D34">
        <v>14.237183619633299</v>
      </c>
      <c r="E34">
        <v>41.639288495606003</v>
      </c>
      <c r="F34">
        <v>1.34673078210956</v>
      </c>
      <c r="G34">
        <v>1.2277035528868701</v>
      </c>
      <c r="H34">
        <v>3.7475995846554802</v>
      </c>
      <c r="I34">
        <v>1.42916325231605</v>
      </c>
    </row>
    <row r="35" spans="1:9" hidden="1" x14ac:dyDescent="0.3">
      <c r="A35">
        <v>110</v>
      </c>
      <c r="B35">
        <v>2</v>
      </c>
      <c r="C35">
        <v>2000</v>
      </c>
      <c r="D35">
        <v>13.908604489889999</v>
      </c>
      <c r="E35">
        <v>36.8278655477272</v>
      </c>
      <c r="F35">
        <v>1.8654282014749799</v>
      </c>
      <c r="G35">
        <v>0.97630376102077798</v>
      </c>
      <c r="H35">
        <v>3.4399342176330201</v>
      </c>
      <c r="I35">
        <v>1.7345285214649</v>
      </c>
    </row>
    <row r="36" spans="1:9" x14ac:dyDescent="0.3">
      <c r="A36">
        <v>110</v>
      </c>
      <c r="B36">
        <v>2</v>
      </c>
      <c r="C36">
        <v>2500</v>
      </c>
      <c r="D36">
        <v>11.400694755451401</v>
      </c>
      <c r="E36">
        <v>32.920906616969603</v>
      </c>
      <c r="F36">
        <v>1.82191980185842</v>
      </c>
      <c r="G36">
        <v>0.73595834237968005</v>
      </c>
      <c r="H36">
        <v>3.1161673525534099</v>
      </c>
      <c r="I36">
        <v>1.7257716809789001</v>
      </c>
    </row>
    <row r="37" spans="1:9" hidden="1" x14ac:dyDescent="0.3">
      <c r="A37">
        <v>110</v>
      </c>
      <c r="B37">
        <v>3</v>
      </c>
      <c r="C37">
        <v>500</v>
      </c>
      <c r="D37">
        <v>15.680837448358799</v>
      </c>
      <c r="E37">
        <v>43.764438158939399</v>
      </c>
      <c r="F37">
        <v>2.1771258157546902</v>
      </c>
      <c r="G37">
        <v>1.98065622473133</v>
      </c>
      <c r="H37">
        <v>3.8643627782451899</v>
      </c>
      <c r="I37">
        <v>2.3749907745095098</v>
      </c>
    </row>
    <row r="38" spans="1:9" hidden="1" x14ac:dyDescent="0.3">
      <c r="A38">
        <v>110</v>
      </c>
      <c r="B38">
        <v>3</v>
      </c>
      <c r="C38">
        <v>1000</v>
      </c>
      <c r="D38">
        <v>11.5141612395254</v>
      </c>
      <c r="E38">
        <v>37.7315105795454</v>
      </c>
      <c r="F38">
        <v>2.0887724737230799</v>
      </c>
      <c r="G38">
        <v>1.5671124781375301</v>
      </c>
      <c r="H38">
        <v>3.5275192877459798</v>
      </c>
      <c r="I38">
        <v>2.0904653787392502</v>
      </c>
    </row>
    <row r="39" spans="1:9" hidden="1" x14ac:dyDescent="0.3">
      <c r="A39">
        <v>110</v>
      </c>
      <c r="B39">
        <v>3</v>
      </c>
      <c r="C39">
        <v>1500</v>
      </c>
      <c r="D39">
        <v>7.0103726034851501</v>
      </c>
      <c r="E39">
        <v>32.583728399848397</v>
      </c>
      <c r="F39">
        <v>1.8031873212866101</v>
      </c>
      <c r="G39">
        <v>1.03946478552786</v>
      </c>
      <c r="H39">
        <v>3.2084982031034102</v>
      </c>
      <c r="I39">
        <v>1.6084584716921499</v>
      </c>
    </row>
    <row r="40" spans="1:9" hidden="1" x14ac:dyDescent="0.3">
      <c r="A40">
        <v>110</v>
      </c>
      <c r="B40">
        <v>3</v>
      </c>
      <c r="C40">
        <v>2000</v>
      </c>
      <c r="D40">
        <v>8.0664703720160293</v>
      </c>
      <c r="E40">
        <v>28.682397553787801</v>
      </c>
      <c r="F40">
        <v>2.1857902579310799</v>
      </c>
      <c r="G40">
        <v>0.98087451540237203</v>
      </c>
      <c r="H40">
        <v>2.9467332525354601</v>
      </c>
      <c r="I40">
        <v>1.85597030853824</v>
      </c>
    </row>
    <row r="41" spans="1:9" x14ac:dyDescent="0.3">
      <c r="A41">
        <v>110</v>
      </c>
      <c r="B41">
        <v>3</v>
      </c>
      <c r="C41">
        <v>2500</v>
      </c>
      <c r="D41">
        <v>6.3015760126496199</v>
      </c>
      <c r="E41">
        <v>25.507203677575699</v>
      </c>
      <c r="F41">
        <v>2.4420614425269198</v>
      </c>
      <c r="G41">
        <v>0.69350996440117196</v>
      </c>
      <c r="H41">
        <v>2.7148923891940502</v>
      </c>
      <c r="I41">
        <v>2.1630238105382098</v>
      </c>
    </row>
    <row r="42" spans="1:9" hidden="1" x14ac:dyDescent="0.3">
      <c r="A42">
        <v>110</v>
      </c>
      <c r="B42">
        <v>4</v>
      </c>
      <c r="C42">
        <v>500</v>
      </c>
      <c r="D42">
        <v>8.6403234385068099</v>
      </c>
      <c r="E42">
        <v>37.295747593939303</v>
      </c>
      <c r="F42">
        <v>2.2307611496558502</v>
      </c>
      <c r="G42">
        <v>1.4522039845741801</v>
      </c>
      <c r="H42">
        <v>3.5143489769496701</v>
      </c>
      <c r="I42">
        <v>1.8703239363325299</v>
      </c>
    </row>
    <row r="43" spans="1:9" hidden="1" x14ac:dyDescent="0.3">
      <c r="A43">
        <v>110</v>
      </c>
      <c r="B43">
        <v>4</v>
      </c>
      <c r="C43">
        <v>1000</v>
      </c>
      <c r="D43">
        <v>7.4863922622541601</v>
      </c>
      <c r="E43">
        <v>32.045970122575703</v>
      </c>
      <c r="F43">
        <v>2.3494714868673099</v>
      </c>
      <c r="G43">
        <v>1.3376697832860101</v>
      </c>
      <c r="H43">
        <v>3.24130686371111</v>
      </c>
      <c r="I43">
        <v>2.1644097021986601</v>
      </c>
    </row>
    <row r="44" spans="1:9" hidden="1" x14ac:dyDescent="0.3">
      <c r="A44">
        <v>110</v>
      </c>
      <c r="B44">
        <v>4</v>
      </c>
      <c r="C44">
        <v>1500</v>
      </c>
      <c r="D44">
        <v>5.3881873237563402</v>
      </c>
      <c r="E44">
        <v>27.6151055918181</v>
      </c>
      <c r="F44">
        <v>2.31390130435652</v>
      </c>
      <c r="G44">
        <v>0.99311152509896905</v>
      </c>
      <c r="H44">
        <v>2.9749875643070598</v>
      </c>
      <c r="I44">
        <v>2.0130874146964302</v>
      </c>
    </row>
    <row r="45" spans="1:9" hidden="1" x14ac:dyDescent="0.3">
      <c r="A45">
        <v>110</v>
      </c>
      <c r="B45">
        <v>4</v>
      </c>
      <c r="C45">
        <v>2000</v>
      </c>
      <c r="D45">
        <v>4.4819066287711804</v>
      </c>
      <c r="E45">
        <v>24.284387221666599</v>
      </c>
      <c r="F45">
        <v>2.5066143811223598</v>
      </c>
      <c r="G45">
        <v>0.79638290010602197</v>
      </c>
      <c r="H45">
        <v>2.7267401132220899</v>
      </c>
      <c r="I45">
        <v>2.2240596970790301</v>
      </c>
    </row>
    <row r="46" spans="1:9" x14ac:dyDescent="0.3">
      <c r="A46">
        <v>110</v>
      </c>
      <c r="B46">
        <v>4</v>
      </c>
      <c r="C46">
        <v>2500</v>
      </c>
      <c r="D46">
        <v>3.84190099003421</v>
      </c>
      <c r="E46">
        <v>21.5010230271212</v>
      </c>
      <c r="F46">
        <v>2.6940043156601399</v>
      </c>
      <c r="G46">
        <v>0.62146177945828096</v>
      </c>
      <c r="H46">
        <v>2.5151068939545098</v>
      </c>
      <c r="I46">
        <v>2.4262134399034898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Source (new)</vt:lpstr>
      <vt:lpstr>Source (old)</vt:lpstr>
      <vt:lpstr>P0 vs R</vt:lpstr>
      <vt:lpstr>P0 vs T</vt:lpstr>
      <vt:lpstr>P0</vt:lpstr>
      <vt:lpstr>Pb vs R</vt:lpstr>
      <vt:lpstr>Pb vs T</vt:lpstr>
      <vt:lpstr>Pb</vt:lpstr>
      <vt:lpstr>a_P (new) vs R</vt:lpstr>
      <vt:lpstr>a_P (new) vs T</vt:lpstr>
      <vt:lpstr>a_P (new)</vt:lpstr>
      <vt:lpstr>a_P (old) vs R</vt:lpstr>
      <vt:lpstr>a_P (old) vs T</vt:lpstr>
      <vt:lpstr>a_P (old)</vt:lpstr>
      <vt:lpstr>rho_0 vs R</vt:lpstr>
      <vt:lpstr>rho_0 vs T</vt:lpstr>
      <vt:lpstr>rho_0</vt:lpstr>
      <vt:lpstr>rho_b vs R</vt:lpstr>
      <vt:lpstr>rho_b vs T</vt:lpstr>
      <vt:lpstr>rho_b</vt:lpstr>
      <vt:lpstr>a_rho (new) vs R</vt:lpstr>
      <vt:lpstr>a_rho (new) vs T</vt:lpstr>
      <vt:lpstr>a_rho (new)</vt:lpstr>
      <vt:lpstr>a_rho (old) vs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Lee</dc:creator>
  <cp:lastModifiedBy>Brandon Lee</cp:lastModifiedBy>
  <dcterms:created xsi:type="dcterms:W3CDTF">2020-10-29T01:06:23Z</dcterms:created>
  <dcterms:modified xsi:type="dcterms:W3CDTF">2020-12-31T05:26:40Z</dcterms:modified>
</cp:coreProperties>
</file>