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codeName="ThisWorkbook" defaultThemeVersion="124226"/>
  <mc:AlternateContent xmlns:mc="http://schemas.openxmlformats.org/markup-compatibility/2006">
    <mc:Choice Requires="x15">
      <x15ac:absPath xmlns:x15ac="http://schemas.microsoft.com/office/spreadsheetml/2010/11/ac" url="C:\Users\jesse\Downloads\"/>
    </mc:Choice>
  </mc:AlternateContent>
  <xr:revisionPtr revIDLastSave="0" documentId="13_ncr:1_{97B6B0BC-20F7-49EF-83CA-0FE0FBC5E8F8}" xr6:coauthVersionLast="41" xr6:coauthVersionMax="45" xr10:uidLastSave="{00000000-0000-0000-0000-000000000000}"/>
  <bookViews>
    <workbookView xWindow="6300" yWindow="360" windowWidth="21600" windowHeight="11325" activeTab="2" xr2:uid="{00000000-000D-0000-FFFF-FFFF00000000}"/>
  </bookViews>
  <sheets>
    <sheet name="Summary" sheetId="1" r:id="rId1"/>
    <sheet name="#1 Oct 23" sheetId="2" r:id="rId2"/>
    <sheet name="#2 Oct 31" sheetId="5" r:id="rId3"/>
    <sheet name="#3 Nov 7" sheetId="6" r:id="rId4"/>
    <sheet name="#4 Nov 14" sheetId="7" r:id="rId5"/>
    <sheet name="#5 Nov 21" sheetId="8" r:id="rId6"/>
    <sheet name="#6 Nov 28" sheetId="9" r:id="rId7"/>
    <sheet name="#7 Dec 5" sheetId="10" r:id="rId8"/>
    <sheet name="#8 Dec 12" sheetId="11" r:id="rId9"/>
    <sheet name="Sheet1" sheetId="4" r:id="rId10"/>
    <sheet name="Journal" sheetId="3" r:id="rId1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8" i="1" l="1"/>
  <c r="F15" i="5"/>
  <c r="G14" i="6"/>
  <c r="G15" i="2"/>
  <c r="D14" i="1" l="1"/>
  <c r="U48" i="11"/>
  <c r="P47" i="11"/>
  <c r="O47" i="11"/>
  <c r="I47" i="11"/>
  <c r="P46" i="11"/>
  <c r="O46" i="11"/>
  <c r="I46" i="11"/>
  <c r="P45" i="11"/>
  <c r="O45" i="11"/>
  <c r="I45" i="11"/>
  <c r="S44" i="11"/>
  <c r="P44" i="11"/>
  <c r="O44" i="11"/>
  <c r="I44" i="11"/>
  <c r="P43" i="11"/>
  <c r="O43" i="11"/>
  <c r="I43" i="11"/>
  <c r="S42" i="11"/>
  <c r="P42" i="11"/>
  <c r="O42" i="11"/>
  <c r="I42" i="11"/>
  <c r="U41" i="11"/>
  <c r="S41" i="11"/>
  <c r="P41" i="11"/>
  <c r="O41" i="11"/>
  <c r="I41" i="11"/>
  <c r="S40" i="11"/>
  <c r="P40" i="11"/>
  <c r="O40" i="11"/>
  <c r="I40" i="11"/>
  <c r="S39" i="11"/>
  <c r="P39" i="11"/>
  <c r="O39" i="11"/>
  <c r="I39" i="11"/>
  <c r="S38" i="11"/>
  <c r="P38" i="11"/>
  <c r="O38" i="11"/>
  <c r="I38" i="11"/>
  <c r="P33" i="11"/>
  <c r="O33" i="11"/>
  <c r="F33" i="11"/>
  <c r="D33" i="11"/>
  <c r="U29" i="11"/>
  <c r="S29" i="11"/>
  <c r="U28" i="11"/>
  <c r="S28" i="11"/>
  <c r="U27" i="11"/>
  <c r="S27" i="11"/>
  <c r="U25" i="11"/>
  <c r="S25" i="11"/>
  <c r="P25" i="11"/>
  <c r="O25" i="11"/>
  <c r="I25" i="11"/>
  <c r="P24" i="11"/>
  <c r="O24" i="11"/>
  <c r="I24" i="11"/>
  <c r="P23" i="11"/>
  <c r="O23" i="11"/>
  <c r="I23" i="11"/>
  <c r="P22" i="11"/>
  <c r="O22" i="11"/>
  <c r="I22" i="11"/>
  <c r="P21" i="11"/>
  <c r="O21" i="11"/>
  <c r="I21" i="11"/>
  <c r="U20" i="11"/>
  <c r="S20" i="11"/>
  <c r="P20" i="11"/>
  <c r="O20" i="11"/>
  <c r="I20" i="11"/>
  <c r="P16" i="11"/>
  <c r="O16" i="11"/>
  <c r="D16" i="11"/>
  <c r="C2" i="11"/>
  <c r="K42" i="11" s="1"/>
  <c r="L42" i="11" l="1"/>
  <c r="K25" i="11"/>
  <c r="L25" i="11" s="1"/>
  <c r="M25" i="11" s="1"/>
  <c r="J25" i="11" s="1"/>
  <c r="K37" i="11"/>
  <c r="K45" i="11"/>
  <c r="L45" i="11" s="1"/>
  <c r="K23" i="11"/>
  <c r="L23" i="11" s="1"/>
  <c r="K40" i="11"/>
  <c r="L40" i="11" s="1"/>
  <c r="K43" i="11"/>
  <c r="K46" i="11"/>
  <c r="K21" i="11"/>
  <c r="L21" i="11" s="1"/>
  <c r="K38" i="11"/>
  <c r="L38" i="11" s="1"/>
  <c r="C12" i="11"/>
  <c r="D12" i="11" s="1"/>
  <c r="K24" i="11"/>
  <c r="L24" i="11" s="1"/>
  <c r="K41" i="11"/>
  <c r="L41" i="11" s="1"/>
  <c r="M41" i="11" s="1"/>
  <c r="J41" i="11" s="1"/>
  <c r="K44" i="11"/>
  <c r="K20" i="11"/>
  <c r="K47" i="11"/>
  <c r="L47" i="11" s="1"/>
  <c r="K22" i="11"/>
  <c r="L22" i="11" s="1"/>
  <c r="K39" i="11"/>
  <c r="D13" i="1"/>
  <c r="B13" i="1"/>
  <c r="L47" i="10"/>
  <c r="U48" i="10"/>
  <c r="P47" i="10"/>
  <c r="O47" i="10"/>
  <c r="I47" i="10"/>
  <c r="P46" i="10"/>
  <c r="O46" i="10"/>
  <c r="I46" i="10"/>
  <c r="P45" i="10"/>
  <c r="O45" i="10"/>
  <c r="I45" i="10"/>
  <c r="S44" i="10"/>
  <c r="P44" i="10"/>
  <c r="O44" i="10"/>
  <c r="I44" i="10"/>
  <c r="P43" i="10"/>
  <c r="O43" i="10"/>
  <c r="I43" i="10"/>
  <c r="S42" i="10"/>
  <c r="P42" i="10"/>
  <c r="O42" i="10"/>
  <c r="I42" i="10"/>
  <c r="U41" i="10"/>
  <c r="S41" i="10"/>
  <c r="P41" i="10"/>
  <c r="O41" i="10"/>
  <c r="I41" i="10"/>
  <c r="S40" i="10"/>
  <c r="P40" i="10"/>
  <c r="O40" i="10"/>
  <c r="I40" i="10"/>
  <c r="S39" i="10"/>
  <c r="P39" i="10"/>
  <c r="O39" i="10"/>
  <c r="I39" i="10"/>
  <c r="S38" i="10"/>
  <c r="P38" i="10"/>
  <c r="O38" i="10"/>
  <c r="I38" i="10"/>
  <c r="N37" i="10"/>
  <c r="P33" i="10"/>
  <c r="O33" i="10"/>
  <c r="F33" i="10"/>
  <c r="D33" i="10"/>
  <c r="U29" i="10"/>
  <c r="S29" i="10"/>
  <c r="U28" i="10"/>
  <c r="S28" i="10"/>
  <c r="U27" i="10"/>
  <c r="S27" i="10"/>
  <c r="U25" i="10"/>
  <c r="S25" i="10"/>
  <c r="P25" i="10"/>
  <c r="O25" i="10"/>
  <c r="I25" i="10"/>
  <c r="P24" i="10"/>
  <c r="O24" i="10"/>
  <c r="I24" i="10"/>
  <c r="P23" i="10"/>
  <c r="O23" i="10"/>
  <c r="I23" i="10"/>
  <c r="P22" i="10"/>
  <c r="O22" i="10"/>
  <c r="I22" i="10"/>
  <c r="P21" i="10"/>
  <c r="O21" i="10"/>
  <c r="I21" i="10"/>
  <c r="U20" i="10"/>
  <c r="S20" i="10"/>
  <c r="P20" i="10"/>
  <c r="O20" i="10"/>
  <c r="I20" i="10"/>
  <c r="P16" i="10"/>
  <c r="O16" i="10"/>
  <c r="D16" i="10"/>
  <c r="C2" i="10"/>
  <c r="K42" i="10" s="1"/>
  <c r="T23" i="11" l="1"/>
  <c r="M23" i="11"/>
  <c r="L39" i="11"/>
  <c r="M38" i="11"/>
  <c r="T38" i="11"/>
  <c r="U38" i="11" s="1"/>
  <c r="L37" i="11"/>
  <c r="T45" i="11"/>
  <c r="U45" i="11" s="1"/>
  <c r="M45" i="11"/>
  <c r="M21" i="11"/>
  <c r="T21" i="11"/>
  <c r="T42" i="11"/>
  <c r="U42" i="11" s="1"/>
  <c r="M42" i="11"/>
  <c r="R42" i="11" s="1"/>
  <c r="T47" i="11"/>
  <c r="U47" i="11" s="1"/>
  <c r="M47" i="11"/>
  <c r="L44" i="11"/>
  <c r="L46" i="11"/>
  <c r="M24" i="11"/>
  <c r="T24" i="11"/>
  <c r="L43" i="11"/>
  <c r="T22" i="11"/>
  <c r="M22" i="11"/>
  <c r="T40" i="11"/>
  <c r="U40" i="11" s="1"/>
  <c r="M40" i="11"/>
  <c r="L42" i="10"/>
  <c r="K45" i="10"/>
  <c r="L45" i="10" s="1"/>
  <c r="K23" i="10"/>
  <c r="L23" i="10" s="1"/>
  <c r="K21" i="10"/>
  <c r="L21" i="10" s="1"/>
  <c r="K25" i="10"/>
  <c r="L25" i="10" s="1"/>
  <c r="M25" i="10" s="1"/>
  <c r="J25" i="10" s="1"/>
  <c r="K37" i="10"/>
  <c r="K40" i="10"/>
  <c r="L40" i="10" s="1"/>
  <c r="K43" i="10"/>
  <c r="K46" i="10"/>
  <c r="C12" i="10"/>
  <c r="D12" i="10" s="1"/>
  <c r="K44" i="10"/>
  <c r="K38" i="10"/>
  <c r="L38" i="10" s="1"/>
  <c r="K20" i="10"/>
  <c r="K24" i="10"/>
  <c r="L24" i="10" s="1"/>
  <c r="K47" i="10"/>
  <c r="K41" i="10"/>
  <c r="L41" i="10" s="1"/>
  <c r="M41" i="10" s="1"/>
  <c r="J41" i="10" s="1"/>
  <c r="K22" i="10"/>
  <c r="L22" i="10" s="1"/>
  <c r="K39" i="10"/>
  <c r="U48" i="9"/>
  <c r="P47" i="9"/>
  <c r="O47" i="9"/>
  <c r="L47" i="9"/>
  <c r="T47" i="9" s="1"/>
  <c r="U47" i="9" s="1"/>
  <c r="K47" i="9"/>
  <c r="I47" i="9"/>
  <c r="O46" i="9"/>
  <c r="P46" i="9"/>
  <c r="L46" i="9"/>
  <c r="T46" i="9" s="1"/>
  <c r="U46" i="9" s="1"/>
  <c r="K46" i="9"/>
  <c r="I46" i="9"/>
  <c r="R24" i="9"/>
  <c r="P24" i="9"/>
  <c r="P25" i="9"/>
  <c r="S37" i="11" l="1"/>
  <c r="J42" i="11"/>
  <c r="J40" i="11"/>
  <c r="R41" i="11"/>
  <c r="M46" i="11"/>
  <c r="T46" i="11"/>
  <c r="U46" i="11" s="1"/>
  <c r="R39" i="11"/>
  <c r="J38" i="11"/>
  <c r="R38" i="11"/>
  <c r="M44" i="11"/>
  <c r="T44" i="11"/>
  <c r="U44" i="11" s="1"/>
  <c r="J21" i="11"/>
  <c r="R21" i="11"/>
  <c r="S21" i="11" s="1"/>
  <c r="T39" i="11"/>
  <c r="U39" i="11" s="1"/>
  <c r="M39" i="11"/>
  <c r="R40" i="11" s="1"/>
  <c r="J22" i="11"/>
  <c r="R22" i="11"/>
  <c r="S22" i="11" s="1"/>
  <c r="M43" i="11"/>
  <c r="R43" i="11" s="1"/>
  <c r="S43" i="11" s="1"/>
  <c r="T43" i="11"/>
  <c r="U43" i="11" s="1"/>
  <c r="J43" i="11"/>
  <c r="J47" i="11"/>
  <c r="R47" i="11"/>
  <c r="S47" i="11" s="1"/>
  <c r="J45" i="11"/>
  <c r="R45" i="11"/>
  <c r="S45" i="11" s="1"/>
  <c r="R23" i="11"/>
  <c r="S23" i="11" s="1"/>
  <c r="J23" i="11"/>
  <c r="H33" i="11"/>
  <c r="I12" i="11"/>
  <c r="J24" i="11"/>
  <c r="R24" i="11"/>
  <c r="S24" i="11" s="1"/>
  <c r="M37" i="11"/>
  <c r="U33" i="11"/>
  <c r="M47" i="9"/>
  <c r="M24" i="10"/>
  <c r="T24" i="10"/>
  <c r="J37" i="10"/>
  <c r="L37" i="10"/>
  <c r="M38" i="10"/>
  <c r="T38" i="10"/>
  <c r="U38" i="10" s="1"/>
  <c r="L39" i="10"/>
  <c r="M21" i="10"/>
  <c r="T21" i="10"/>
  <c r="T23" i="10"/>
  <c r="M23" i="10"/>
  <c r="T45" i="10"/>
  <c r="U45" i="10" s="1"/>
  <c r="M45" i="10"/>
  <c r="T42" i="10"/>
  <c r="U42" i="10" s="1"/>
  <c r="M42" i="10"/>
  <c r="R42" i="10" s="1"/>
  <c r="L46" i="10"/>
  <c r="L43" i="10"/>
  <c r="J42" i="10"/>
  <c r="T22" i="10"/>
  <c r="M22" i="10"/>
  <c r="L44" i="10"/>
  <c r="M40" i="10"/>
  <c r="T40" i="10"/>
  <c r="U40" i="10" s="1"/>
  <c r="J46" i="9"/>
  <c r="M46" i="9"/>
  <c r="R46" i="9" s="1"/>
  <c r="S46" i="9" s="1"/>
  <c r="D12" i="1"/>
  <c r="B12" i="1"/>
  <c r="U41" i="9"/>
  <c r="P24" i="8"/>
  <c r="P25" i="8"/>
  <c r="N37" i="9"/>
  <c r="P45" i="9"/>
  <c r="O45" i="9"/>
  <c r="I45" i="9"/>
  <c r="P44" i="9"/>
  <c r="O44" i="9"/>
  <c r="I44" i="9"/>
  <c r="P43" i="9"/>
  <c r="O43" i="9"/>
  <c r="I43" i="9"/>
  <c r="S42" i="9"/>
  <c r="P42" i="9"/>
  <c r="O42" i="9"/>
  <c r="I42" i="9"/>
  <c r="S41" i="9"/>
  <c r="P41" i="9"/>
  <c r="O41" i="9"/>
  <c r="I41" i="9"/>
  <c r="S40" i="9"/>
  <c r="P40" i="9"/>
  <c r="O40" i="9"/>
  <c r="I40" i="9"/>
  <c r="P39" i="9"/>
  <c r="O39" i="9"/>
  <c r="I39" i="9"/>
  <c r="S38" i="9"/>
  <c r="P38" i="9"/>
  <c r="O38" i="9"/>
  <c r="I38" i="9"/>
  <c r="P33" i="9"/>
  <c r="O33" i="9"/>
  <c r="F33" i="9"/>
  <c r="D33" i="9"/>
  <c r="U29" i="9"/>
  <c r="S29" i="9"/>
  <c r="U28" i="9"/>
  <c r="S28" i="9"/>
  <c r="U27" i="9"/>
  <c r="S27" i="9"/>
  <c r="U25" i="9"/>
  <c r="S25" i="9"/>
  <c r="O25" i="9"/>
  <c r="I25" i="9"/>
  <c r="O24" i="9"/>
  <c r="I24" i="9"/>
  <c r="P23" i="9"/>
  <c r="O23" i="9"/>
  <c r="I23" i="9"/>
  <c r="P22" i="9"/>
  <c r="O22" i="9"/>
  <c r="I22" i="9"/>
  <c r="P21" i="9"/>
  <c r="O21" i="9"/>
  <c r="I21" i="9"/>
  <c r="U20" i="9"/>
  <c r="S20" i="9"/>
  <c r="P20" i="9"/>
  <c r="O20" i="9"/>
  <c r="I20" i="9"/>
  <c r="P16" i="9"/>
  <c r="O16" i="9"/>
  <c r="D16" i="9"/>
  <c r="C2" i="9"/>
  <c r="K45" i="9" s="1"/>
  <c r="L45" i="9" s="1"/>
  <c r="U24" i="11" l="1"/>
  <c r="U23" i="11"/>
  <c r="P37" i="11"/>
  <c r="N12" i="11" s="1"/>
  <c r="O37" i="11"/>
  <c r="R16" i="11"/>
  <c r="U21" i="11"/>
  <c r="U16" i="11" s="1"/>
  <c r="R46" i="11"/>
  <c r="S46" i="11" s="1"/>
  <c r="R33" i="11" s="1"/>
  <c r="J46" i="11"/>
  <c r="R44" i="11"/>
  <c r="J44" i="11"/>
  <c r="J39" i="11"/>
  <c r="U22" i="11"/>
  <c r="J47" i="9"/>
  <c r="R47" i="9"/>
  <c r="S47" i="9" s="1"/>
  <c r="J24" i="10"/>
  <c r="R24" i="10"/>
  <c r="S24" i="10" s="1"/>
  <c r="M43" i="10"/>
  <c r="T43" i="10"/>
  <c r="U43" i="10" s="1"/>
  <c r="R41" i="10"/>
  <c r="J40" i="10"/>
  <c r="J45" i="10"/>
  <c r="R45" i="10"/>
  <c r="S45" i="10" s="1"/>
  <c r="M46" i="10"/>
  <c r="R46" i="10" s="1"/>
  <c r="S46" i="10" s="1"/>
  <c r="T46" i="10"/>
  <c r="U46" i="10" s="1"/>
  <c r="R39" i="10"/>
  <c r="R38" i="10"/>
  <c r="J38" i="10"/>
  <c r="M44" i="10"/>
  <c r="T44" i="10"/>
  <c r="U44" i="10" s="1"/>
  <c r="R23" i="10"/>
  <c r="S23" i="10" s="1"/>
  <c r="J23" i="10"/>
  <c r="T37" i="10"/>
  <c r="U37" i="10" s="1"/>
  <c r="M37" i="10"/>
  <c r="H33" i="10"/>
  <c r="H37" i="10"/>
  <c r="G37" i="10"/>
  <c r="J21" i="10"/>
  <c r="R21" i="10"/>
  <c r="S21" i="10" s="1"/>
  <c r="T39" i="10"/>
  <c r="U39" i="10" s="1"/>
  <c r="M39" i="10"/>
  <c r="R40" i="10" s="1"/>
  <c r="J22" i="10"/>
  <c r="R22" i="10"/>
  <c r="S22" i="10" s="1"/>
  <c r="T47" i="10"/>
  <c r="U47" i="10" s="1"/>
  <c r="M47" i="10"/>
  <c r="R37" i="10"/>
  <c r="S37" i="10" s="1"/>
  <c r="K24" i="9"/>
  <c r="L24" i="9" s="1"/>
  <c r="T24" i="9" s="1"/>
  <c r="K20" i="9"/>
  <c r="T45" i="9"/>
  <c r="U45" i="9" s="1"/>
  <c r="M45" i="9"/>
  <c r="K23" i="9"/>
  <c r="L23" i="9" s="1"/>
  <c r="K40" i="9"/>
  <c r="L40" i="9" s="1"/>
  <c r="K43" i="9"/>
  <c r="C12" i="9"/>
  <c r="D12" i="9" s="1"/>
  <c r="K21" i="9"/>
  <c r="L21" i="9" s="1"/>
  <c r="K38" i="9"/>
  <c r="L38" i="9" s="1"/>
  <c r="K41" i="9"/>
  <c r="L41" i="9" s="1"/>
  <c r="K44" i="9"/>
  <c r="K22" i="9"/>
  <c r="L22" i="9" s="1"/>
  <c r="K25" i="9"/>
  <c r="L25" i="9" s="1"/>
  <c r="M25" i="9" s="1"/>
  <c r="J25" i="9" s="1"/>
  <c r="K39" i="9"/>
  <c r="K37" i="9"/>
  <c r="K42" i="9"/>
  <c r="P45" i="8"/>
  <c r="I45" i="8"/>
  <c r="K45" i="8"/>
  <c r="L45" i="8"/>
  <c r="T45" i="8" s="1"/>
  <c r="U45" i="8" s="1"/>
  <c r="O45" i="8"/>
  <c r="S45" i="8"/>
  <c r="M41" i="8"/>
  <c r="L41" i="8"/>
  <c r="R47" i="10" l="1"/>
  <c r="S47" i="10" s="1"/>
  <c r="J47" i="10"/>
  <c r="J46" i="10"/>
  <c r="U23" i="10"/>
  <c r="I37" i="10"/>
  <c r="I12" i="10" s="1"/>
  <c r="R16" i="10"/>
  <c r="U33" i="10"/>
  <c r="R43" i="10"/>
  <c r="S43" i="10" s="1"/>
  <c r="J43" i="10"/>
  <c r="R44" i="10"/>
  <c r="J44" i="10"/>
  <c r="U22" i="10"/>
  <c r="P37" i="10"/>
  <c r="N12" i="10" s="1"/>
  <c r="O37" i="10"/>
  <c r="U24" i="10"/>
  <c r="U21" i="10"/>
  <c r="J39" i="10"/>
  <c r="M24" i="9"/>
  <c r="J24" i="9" s="1"/>
  <c r="L39" i="9"/>
  <c r="L43" i="9"/>
  <c r="M40" i="9"/>
  <c r="T40" i="9"/>
  <c r="U40" i="9" s="1"/>
  <c r="M41" i="9"/>
  <c r="J41" i="9" s="1"/>
  <c r="T22" i="9"/>
  <c r="M22" i="9"/>
  <c r="L44" i="9"/>
  <c r="M38" i="9"/>
  <c r="T38" i="9"/>
  <c r="U38" i="9" s="1"/>
  <c r="M23" i="9"/>
  <c r="T23" i="9"/>
  <c r="L42" i="9"/>
  <c r="L37" i="9"/>
  <c r="M21" i="9"/>
  <c r="T21" i="9"/>
  <c r="J45" i="9"/>
  <c r="R45" i="9"/>
  <c r="S45" i="9" s="1"/>
  <c r="M45" i="8"/>
  <c r="P44" i="8"/>
  <c r="O44" i="8"/>
  <c r="I44" i="8"/>
  <c r="U44" i="8"/>
  <c r="S44" i="8"/>
  <c r="R44" i="8"/>
  <c r="L44" i="8"/>
  <c r="T44" i="8" s="1"/>
  <c r="K44" i="8"/>
  <c r="D11" i="1"/>
  <c r="N37" i="8"/>
  <c r="I25" i="8"/>
  <c r="O25" i="8"/>
  <c r="P43" i="8"/>
  <c r="O43" i="8"/>
  <c r="I43" i="8"/>
  <c r="P42" i="8"/>
  <c r="O42" i="8"/>
  <c r="I42" i="8"/>
  <c r="S41" i="8"/>
  <c r="P41" i="8"/>
  <c r="O41" i="8"/>
  <c r="I41" i="8"/>
  <c r="P40" i="8"/>
  <c r="O40" i="8"/>
  <c r="I40" i="8"/>
  <c r="P39" i="8"/>
  <c r="O39" i="8"/>
  <c r="I39" i="8"/>
  <c r="P38" i="8"/>
  <c r="O38" i="8"/>
  <c r="I38" i="8"/>
  <c r="K37" i="8"/>
  <c r="P33" i="8"/>
  <c r="O33" i="8"/>
  <c r="F33" i="8"/>
  <c r="D33" i="8"/>
  <c r="U29" i="8"/>
  <c r="S29" i="8"/>
  <c r="U28" i="8"/>
  <c r="S28" i="8"/>
  <c r="U27" i="8"/>
  <c r="S27" i="8"/>
  <c r="U26" i="8"/>
  <c r="S26" i="8"/>
  <c r="S25" i="8"/>
  <c r="O24" i="8"/>
  <c r="I24" i="8"/>
  <c r="P23" i="8"/>
  <c r="O23" i="8"/>
  <c r="I23" i="8"/>
  <c r="P22" i="8"/>
  <c r="O22" i="8"/>
  <c r="I22" i="8"/>
  <c r="P21" i="8"/>
  <c r="O21" i="8"/>
  <c r="I21" i="8"/>
  <c r="U20" i="8"/>
  <c r="K20" i="8"/>
  <c r="I20" i="8"/>
  <c r="P16" i="8"/>
  <c r="O16" i="8"/>
  <c r="D16" i="8"/>
  <c r="C2" i="8"/>
  <c r="K43" i="8" s="1"/>
  <c r="L43" i="8" s="1"/>
  <c r="R33" i="10" l="1"/>
  <c r="U16" i="10"/>
  <c r="S24" i="9"/>
  <c r="R23" i="9"/>
  <c r="S23" i="9" s="1"/>
  <c r="J23" i="9"/>
  <c r="J21" i="9"/>
  <c r="R21" i="9"/>
  <c r="S21" i="9" s="1"/>
  <c r="T37" i="9"/>
  <c r="U37" i="9" s="1"/>
  <c r="M37" i="9"/>
  <c r="J40" i="9"/>
  <c r="R41" i="9"/>
  <c r="J37" i="9"/>
  <c r="T42" i="9"/>
  <c r="U42" i="9" s="1"/>
  <c r="M42" i="9"/>
  <c r="R42" i="9" s="1"/>
  <c r="M44" i="9"/>
  <c r="R44" i="9" s="1"/>
  <c r="S44" i="9" s="1"/>
  <c r="T44" i="9"/>
  <c r="U44" i="9" s="1"/>
  <c r="M43" i="9"/>
  <c r="T43" i="9"/>
  <c r="U43" i="9" s="1"/>
  <c r="R37" i="9"/>
  <c r="S37" i="9" s="1"/>
  <c r="J22" i="9"/>
  <c r="R22" i="9"/>
  <c r="S22" i="9" s="1"/>
  <c r="R39" i="9"/>
  <c r="S39" i="9" s="1"/>
  <c r="J38" i="9"/>
  <c r="R38" i="9"/>
  <c r="T39" i="9"/>
  <c r="U39" i="9" s="1"/>
  <c r="M39" i="9"/>
  <c r="R45" i="8"/>
  <c r="J45" i="8"/>
  <c r="M44" i="8"/>
  <c r="J44" i="8" s="1"/>
  <c r="K21" i="8"/>
  <c r="L21" i="8" s="1"/>
  <c r="M21" i="8" s="1"/>
  <c r="K23" i="8"/>
  <c r="L23" i="8" s="1"/>
  <c r="M23" i="8" s="1"/>
  <c r="K25" i="8"/>
  <c r="L25" i="8" s="1"/>
  <c r="M25" i="8" s="1"/>
  <c r="J25" i="8" s="1"/>
  <c r="K22" i="8"/>
  <c r="L22" i="8" s="1"/>
  <c r="M22" i="8" s="1"/>
  <c r="K24" i="8"/>
  <c r="L24" i="8" s="1"/>
  <c r="T24" i="8" s="1"/>
  <c r="U25" i="8"/>
  <c r="T43" i="8"/>
  <c r="U43" i="8" s="1"/>
  <c r="M43" i="8"/>
  <c r="J43" i="8" s="1"/>
  <c r="L37" i="8"/>
  <c r="R37" i="8" s="1"/>
  <c r="S37" i="8" s="1"/>
  <c r="O20" i="8"/>
  <c r="K38" i="8"/>
  <c r="L38" i="8" s="1"/>
  <c r="K41" i="8"/>
  <c r="P20" i="8"/>
  <c r="S20" i="8"/>
  <c r="C12" i="8"/>
  <c r="D12" i="8" s="1"/>
  <c r="K39" i="8"/>
  <c r="K42" i="8"/>
  <c r="K40" i="8"/>
  <c r="L40" i="8" s="1"/>
  <c r="D10" i="1"/>
  <c r="U41" i="7"/>
  <c r="U42" i="7"/>
  <c r="S41" i="7"/>
  <c r="S42" i="7"/>
  <c r="S43" i="7"/>
  <c r="P43" i="7"/>
  <c r="O43" i="7"/>
  <c r="J38" i="7"/>
  <c r="K43" i="7"/>
  <c r="L43" i="7" s="1"/>
  <c r="M43" i="7" s="1"/>
  <c r="J43" i="7" s="1"/>
  <c r="I43" i="7"/>
  <c r="F33" i="7"/>
  <c r="M41" i="7"/>
  <c r="M37" i="7"/>
  <c r="L37" i="7"/>
  <c r="I24" i="7"/>
  <c r="T24" i="7"/>
  <c r="R24" i="7"/>
  <c r="O24" i="7"/>
  <c r="G14" i="7"/>
  <c r="L24" i="7"/>
  <c r="M24" i="7" s="1"/>
  <c r="J24" i="7" s="1"/>
  <c r="K24" i="7"/>
  <c r="I23" i="7"/>
  <c r="N20" i="7"/>
  <c r="C2" i="7"/>
  <c r="P42" i="7"/>
  <c r="O42" i="7"/>
  <c r="K42" i="7"/>
  <c r="L42" i="7" s="1"/>
  <c r="I42" i="7"/>
  <c r="P41" i="7"/>
  <c r="O41" i="7"/>
  <c r="L41" i="7"/>
  <c r="J41" i="7" s="1"/>
  <c r="K41" i="7"/>
  <c r="I41" i="7"/>
  <c r="P40" i="7"/>
  <c r="O40" i="7"/>
  <c r="K40" i="7"/>
  <c r="L40" i="7" s="1"/>
  <c r="I40" i="7"/>
  <c r="P39" i="7"/>
  <c r="O39" i="7"/>
  <c r="K39" i="7"/>
  <c r="L39" i="7" s="1"/>
  <c r="I39" i="7"/>
  <c r="P38" i="7"/>
  <c r="O38" i="7"/>
  <c r="K38" i="7"/>
  <c r="L38" i="7" s="1"/>
  <c r="T38" i="7" s="1"/>
  <c r="U38" i="7" s="1"/>
  <c r="I38" i="7"/>
  <c r="N37" i="7"/>
  <c r="K37" i="7"/>
  <c r="P33" i="7"/>
  <c r="O33" i="7"/>
  <c r="D33" i="7"/>
  <c r="U29" i="7"/>
  <c r="S29" i="7"/>
  <c r="U28" i="7"/>
  <c r="S28" i="7"/>
  <c r="U27" i="7"/>
  <c r="S27" i="7"/>
  <c r="U26" i="7"/>
  <c r="S26" i="7"/>
  <c r="U25" i="7"/>
  <c r="S25" i="7"/>
  <c r="P23" i="7"/>
  <c r="O23" i="7"/>
  <c r="K23" i="7"/>
  <c r="L23" i="7" s="1"/>
  <c r="P22" i="7"/>
  <c r="O22" i="7"/>
  <c r="K22" i="7"/>
  <c r="L22" i="7" s="1"/>
  <c r="I22" i="7"/>
  <c r="P21" i="7"/>
  <c r="O21" i="7"/>
  <c r="K21" i="7"/>
  <c r="L21" i="7" s="1"/>
  <c r="I21" i="7"/>
  <c r="K20" i="7"/>
  <c r="P16" i="7"/>
  <c r="O16" i="7"/>
  <c r="D16" i="7"/>
  <c r="C12" i="7"/>
  <c r="D12" i="7" s="1"/>
  <c r="U24" i="9" l="1"/>
  <c r="U23" i="9"/>
  <c r="U33" i="9"/>
  <c r="J42" i="9"/>
  <c r="H33" i="9"/>
  <c r="H37" i="9"/>
  <c r="G37" i="9"/>
  <c r="U22" i="9"/>
  <c r="U21" i="9"/>
  <c r="R16" i="9"/>
  <c r="R40" i="9"/>
  <c r="J39" i="9"/>
  <c r="R43" i="9"/>
  <c r="S43" i="9" s="1"/>
  <c r="R33" i="9" s="1"/>
  <c r="J43" i="9"/>
  <c r="J44" i="9"/>
  <c r="T22" i="8"/>
  <c r="M24" i="8"/>
  <c r="R24" i="8" s="1"/>
  <c r="S24" i="8" s="1"/>
  <c r="T21" i="8"/>
  <c r="T23" i="8"/>
  <c r="L42" i="8"/>
  <c r="M38" i="8"/>
  <c r="T38" i="8"/>
  <c r="U38" i="8" s="1"/>
  <c r="L39" i="8"/>
  <c r="R43" i="8"/>
  <c r="S43" i="8" s="1"/>
  <c r="J22" i="8"/>
  <c r="R22" i="8"/>
  <c r="S22" i="8" s="1"/>
  <c r="R21" i="8"/>
  <c r="S21" i="8" s="1"/>
  <c r="J21" i="8"/>
  <c r="M37" i="8"/>
  <c r="T37" i="8"/>
  <c r="U37" i="8" s="1"/>
  <c r="J37" i="8"/>
  <c r="T40" i="8"/>
  <c r="U40" i="8" s="1"/>
  <c r="M40" i="8"/>
  <c r="J41" i="8"/>
  <c r="T41" i="8"/>
  <c r="U41" i="8" s="1"/>
  <c r="J23" i="8"/>
  <c r="R23" i="8"/>
  <c r="S23" i="8" s="1"/>
  <c r="T43" i="7"/>
  <c r="U43" i="7" s="1"/>
  <c r="R43" i="7"/>
  <c r="U24" i="7"/>
  <c r="S24" i="7"/>
  <c r="I20" i="7"/>
  <c r="O20" i="7"/>
  <c r="S20" i="7"/>
  <c r="U20" i="7"/>
  <c r="P20" i="7"/>
  <c r="M40" i="7"/>
  <c r="T40" i="7"/>
  <c r="U40" i="7" s="1"/>
  <c r="T37" i="7"/>
  <c r="U37" i="7" s="1"/>
  <c r="R37" i="7"/>
  <c r="S37" i="7" s="1"/>
  <c r="J37" i="7"/>
  <c r="M21" i="7"/>
  <c r="T21" i="7"/>
  <c r="T22" i="7"/>
  <c r="M22" i="7"/>
  <c r="T23" i="7"/>
  <c r="M23" i="7"/>
  <c r="T42" i="7"/>
  <c r="M42" i="7"/>
  <c r="R42" i="7" s="1"/>
  <c r="T39" i="7"/>
  <c r="U39" i="7" s="1"/>
  <c r="M39" i="7"/>
  <c r="R40" i="7" s="1"/>
  <c r="S40" i="7" s="1"/>
  <c r="M38" i="7"/>
  <c r="T41" i="7"/>
  <c r="D9" i="1"/>
  <c r="R23" i="5"/>
  <c r="R22" i="5"/>
  <c r="R42" i="6"/>
  <c r="R41" i="6"/>
  <c r="L38" i="6"/>
  <c r="N20" i="6"/>
  <c r="D16" i="6"/>
  <c r="D33" i="6"/>
  <c r="P42" i="6"/>
  <c r="O42" i="6"/>
  <c r="K42" i="6"/>
  <c r="I42" i="6"/>
  <c r="P41" i="6"/>
  <c r="O41" i="6"/>
  <c r="L41" i="6"/>
  <c r="M41" i="6" s="1"/>
  <c r="J41" i="6" s="1"/>
  <c r="K41" i="6"/>
  <c r="I41" i="6"/>
  <c r="P40" i="6"/>
  <c r="O40" i="6"/>
  <c r="L40" i="6"/>
  <c r="K40" i="6"/>
  <c r="I40" i="6"/>
  <c r="P39" i="6"/>
  <c r="O39" i="6"/>
  <c r="K39" i="6"/>
  <c r="L39" i="6" s="1"/>
  <c r="I39" i="6"/>
  <c r="P38" i="6"/>
  <c r="O38" i="6"/>
  <c r="K38" i="6"/>
  <c r="I38" i="6"/>
  <c r="N37" i="6"/>
  <c r="K37" i="6"/>
  <c r="P33" i="6"/>
  <c r="O33" i="6"/>
  <c r="F33" i="6"/>
  <c r="U29" i="6"/>
  <c r="S29" i="6"/>
  <c r="U28" i="6"/>
  <c r="S28" i="6"/>
  <c r="U27" i="6"/>
  <c r="S27" i="6"/>
  <c r="U26" i="6"/>
  <c r="S26" i="6"/>
  <c r="U25" i="6"/>
  <c r="S25" i="6"/>
  <c r="U24" i="6"/>
  <c r="S24" i="6"/>
  <c r="P23" i="6"/>
  <c r="O23" i="6"/>
  <c r="K23" i="6"/>
  <c r="L23" i="6" s="1"/>
  <c r="P22" i="6"/>
  <c r="O22" i="6"/>
  <c r="K22" i="6"/>
  <c r="L22" i="6" s="1"/>
  <c r="I22" i="6"/>
  <c r="P21" i="6"/>
  <c r="O21" i="6"/>
  <c r="K21" i="6"/>
  <c r="I21" i="6"/>
  <c r="U20" i="6"/>
  <c r="K20" i="6"/>
  <c r="I20" i="6"/>
  <c r="P16" i="6"/>
  <c r="O16" i="6"/>
  <c r="C12" i="6"/>
  <c r="D12" i="6" s="1"/>
  <c r="T22" i="5"/>
  <c r="T23" i="5"/>
  <c r="U16" i="9" l="1"/>
  <c r="P37" i="9"/>
  <c r="N12" i="9" s="1"/>
  <c r="O37" i="9"/>
  <c r="I37" i="9"/>
  <c r="I12" i="9" s="1"/>
  <c r="J24" i="8"/>
  <c r="R16" i="8"/>
  <c r="U23" i="8"/>
  <c r="R41" i="8"/>
  <c r="J40" i="8"/>
  <c r="U21" i="8"/>
  <c r="U22" i="8"/>
  <c r="T39" i="8"/>
  <c r="U39" i="8" s="1"/>
  <c r="M39" i="8"/>
  <c r="R40" i="8" s="1"/>
  <c r="S40" i="8" s="1"/>
  <c r="U24" i="8"/>
  <c r="H33" i="8"/>
  <c r="H37" i="8"/>
  <c r="G37" i="8"/>
  <c r="M42" i="8"/>
  <c r="T42" i="8"/>
  <c r="U42" i="8" s="1"/>
  <c r="R38" i="8"/>
  <c r="S38" i="8" s="1"/>
  <c r="R39" i="8"/>
  <c r="S39" i="8" s="1"/>
  <c r="J38" i="8"/>
  <c r="U33" i="7"/>
  <c r="R41" i="7"/>
  <c r="J40" i="7"/>
  <c r="R21" i="7"/>
  <c r="S21" i="7" s="1"/>
  <c r="J21" i="7"/>
  <c r="G37" i="7"/>
  <c r="H33" i="7"/>
  <c r="H37" i="7"/>
  <c r="J22" i="7"/>
  <c r="R22" i="7"/>
  <c r="S22" i="7" s="1"/>
  <c r="R39" i="7"/>
  <c r="S39" i="7" s="1"/>
  <c r="R38" i="7"/>
  <c r="S38" i="7" s="1"/>
  <c r="J42" i="7"/>
  <c r="R23" i="7"/>
  <c r="S23" i="7" s="1"/>
  <c r="J23" i="7"/>
  <c r="J39" i="7"/>
  <c r="P20" i="6"/>
  <c r="L37" i="6"/>
  <c r="R37" i="6" s="1"/>
  <c r="S41" i="6"/>
  <c r="M38" i="6"/>
  <c r="J38" i="6" s="1"/>
  <c r="T39" i="6"/>
  <c r="U39" i="6" s="1"/>
  <c r="M39" i="6"/>
  <c r="M22" i="6"/>
  <c r="T22" i="6"/>
  <c r="T23" i="6"/>
  <c r="M23" i="6"/>
  <c r="T40" i="6"/>
  <c r="U40" i="6" s="1"/>
  <c r="L42" i="6"/>
  <c r="S42" i="6" s="1"/>
  <c r="L21" i="6"/>
  <c r="O20" i="6"/>
  <c r="M40" i="6"/>
  <c r="J40" i="6" s="1"/>
  <c r="T41" i="6"/>
  <c r="U41" i="6" s="1"/>
  <c r="S20" i="6"/>
  <c r="J23" i="5"/>
  <c r="U22" i="5"/>
  <c r="U24" i="5"/>
  <c r="U25" i="5"/>
  <c r="U26" i="5"/>
  <c r="U27" i="5"/>
  <c r="U28" i="5"/>
  <c r="U29" i="5"/>
  <c r="S24" i="5"/>
  <c r="S25" i="5"/>
  <c r="S26" i="5"/>
  <c r="S27" i="5"/>
  <c r="S28" i="5"/>
  <c r="S29" i="5"/>
  <c r="P23" i="5"/>
  <c r="O23" i="5"/>
  <c r="L23" i="5"/>
  <c r="M23" i="5" s="1"/>
  <c r="K23" i="5"/>
  <c r="K22" i="5"/>
  <c r="L22" i="5" s="1"/>
  <c r="P22" i="5"/>
  <c r="O22" i="5"/>
  <c r="K20" i="5"/>
  <c r="K21" i="5"/>
  <c r="I22" i="5"/>
  <c r="P41" i="5"/>
  <c r="P42" i="5"/>
  <c r="O41" i="5"/>
  <c r="O42" i="5"/>
  <c r="L42" i="5"/>
  <c r="T42" i="5" s="1"/>
  <c r="U42" i="5" s="1"/>
  <c r="K42" i="5"/>
  <c r="I42" i="5"/>
  <c r="K41" i="5"/>
  <c r="L41" i="5" s="1"/>
  <c r="K40" i="5"/>
  <c r="K39" i="5"/>
  <c r="I39" i="5"/>
  <c r="I40" i="5"/>
  <c r="I41" i="5"/>
  <c r="P40" i="5"/>
  <c r="O40" i="5"/>
  <c r="L40" i="5"/>
  <c r="P39" i="5"/>
  <c r="O39" i="5"/>
  <c r="L39" i="5"/>
  <c r="J37" i="2"/>
  <c r="G37" i="2" s="1"/>
  <c r="E12" i="4"/>
  <c r="E9" i="4"/>
  <c r="E11" i="4" s="1"/>
  <c r="B9" i="4"/>
  <c r="L21" i="5"/>
  <c r="N37" i="5"/>
  <c r="N20" i="5"/>
  <c r="P38" i="5"/>
  <c r="O38" i="5"/>
  <c r="I38" i="5"/>
  <c r="P33" i="5"/>
  <c r="O33" i="5"/>
  <c r="F33" i="5"/>
  <c r="D33" i="5"/>
  <c r="P21" i="5"/>
  <c r="O21" i="5"/>
  <c r="I21" i="5"/>
  <c r="P16" i="5"/>
  <c r="O16" i="5"/>
  <c r="D16" i="5"/>
  <c r="M42" i="5" l="1"/>
  <c r="R42" i="5" s="1"/>
  <c r="S42" i="5" s="1"/>
  <c r="M41" i="5"/>
  <c r="R41" i="5" s="1"/>
  <c r="S41" i="5" s="1"/>
  <c r="T41" i="5"/>
  <c r="U41" i="5" s="1"/>
  <c r="M40" i="5"/>
  <c r="T40" i="5"/>
  <c r="U40" i="5" s="1"/>
  <c r="M39" i="5"/>
  <c r="R39" i="5" s="1"/>
  <c r="S39" i="5" s="1"/>
  <c r="T39" i="5"/>
  <c r="U39" i="5" s="1"/>
  <c r="M21" i="5"/>
  <c r="R21" i="5" s="1"/>
  <c r="S21" i="5" s="1"/>
  <c r="T21" i="5"/>
  <c r="J39" i="6"/>
  <c r="R40" i="6"/>
  <c r="S40" i="6" s="1"/>
  <c r="R38" i="6"/>
  <c r="S38" i="6" s="1"/>
  <c r="R39" i="6"/>
  <c r="S39" i="6" s="1"/>
  <c r="U33" i="8"/>
  <c r="R42" i="8"/>
  <c r="S42" i="8" s="1"/>
  <c r="R33" i="8" s="1"/>
  <c r="J42" i="8"/>
  <c r="J39" i="8"/>
  <c r="U16" i="8"/>
  <c r="P37" i="8"/>
  <c r="N12" i="8" s="1"/>
  <c r="O37" i="8"/>
  <c r="I37" i="8"/>
  <c r="I12" i="8" s="1"/>
  <c r="I37" i="7"/>
  <c r="I12" i="7" s="1"/>
  <c r="R33" i="7"/>
  <c r="U23" i="7"/>
  <c r="U21" i="7"/>
  <c r="P37" i="7"/>
  <c r="N12" i="7" s="1"/>
  <c r="O37" i="7"/>
  <c r="U22" i="7"/>
  <c r="R16" i="7"/>
  <c r="J22" i="6"/>
  <c r="R22" i="6"/>
  <c r="S22" i="6" s="1"/>
  <c r="J23" i="6"/>
  <c r="R23" i="6"/>
  <c r="S23" i="6" s="1"/>
  <c r="T37" i="6"/>
  <c r="U37" i="6" s="1"/>
  <c r="S37" i="6"/>
  <c r="J37" i="6"/>
  <c r="H37" i="6" s="1"/>
  <c r="M37" i="6"/>
  <c r="T38" i="6"/>
  <c r="U38" i="6" s="1"/>
  <c r="T42" i="6"/>
  <c r="U42" i="6" s="1"/>
  <c r="M42" i="6"/>
  <c r="J42" i="6" s="1"/>
  <c r="M21" i="6"/>
  <c r="T21" i="6"/>
  <c r="S23" i="5"/>
  <c r="U23" i="5"/>
  <c r="E1" i="4"/>
  <c r="M22" i="5"/>
  <c r="S22" i="5"/>
  <c r="H37" i="2"/>
  <c r="S20" i="5"/>
  <c r="U20" i="5"/>
  <c r="I20" i="5"/>
  <c r="K38" i="5"/>
  <c r="L38" i="5" s="1"/>
  <c r="K37" i="5"/>
  <c r="L37" i="5" s="1"/>
  <c r="C12" i="5"/>
  <c r="D12" i="5" s="1"/>
  <c r="O20" i="5"/>
  <c r="P20" i="5"/>
  <c r="T37" i="2"/>
  <c r="R37" i="2"/>
  <c r="J42" i="5" l="1"/>
  <c r="J41" i="5"/>
  <c r="J40" i="5"/>
  <c r="R40" i="5"/>
  <c r="S40" i="5" s="1"/>
  <c r="J39" i="5"/>
  <c r="J21" i="5"/>
  <c r="M38" i="5"/>
  <c r="T38" i="5"/>
  <c r="U38" i="5" s="1"/>
  <c r="M37" i="5"/>
  <c r="T37" i="5"/>
  <c r="U37" i="5" s="1"/>
  <c r="J37" i="5"/>
  <c r="U16" i="7"/>
  <c r="U22" i="6"/>
  <c r="J21" i="6"/>
  <c r="R21" i="6"/>
  <c r="S21" i="6" s="1"/>
  <c r="R16" i="6" s="1"/>
  <c r="U23" i="6"/>
  <c r="R33" i="6"/>
  <c r="H33" i="6"/>
  <c r="G37" i="6"/>
  <c r="U33" i="6"/>
  <c r="I37" i="6"/>
  <c r="I12" i="6" s="1"/>
  <c r="P37" i="6"/>
  <c r="N12" i="6" s="1"/>
  <c r="O37" i="6"/>
  <c r="J22" i="5"/>
  <c r="R16" i="5"/>
  <c r="U21" i="5"/>
  <c r="U16" i="5" s="1"/>
  <c r="R37" i="5"/>
  <c r="S37" i="5" s="1"/>
  <c r="B11" i="4"/>
  <c r="C12" i="2"/>
  <c r="D12" i="2"/>
  <c r="D16" i="2"/>
  <c r="O16" i="2"/>
  <c r="P16" i="2"/>
  <c r="I20" i="2"/>
  <c r="K20" i="2"/>
  <c r="N20" i="2"/>
  <c r="O20" i="2"/>
  <c r="P20" i="2"/>
  <c r="S20" i="2"/>
  <c r="U20" i="2"/>
  <c r="I21" i="2"/>
  <c r="K21" i="2"/>
  <c r="L21" i="2"/>
  <c r="R21" i="2" s="1"/>
  <c r="S21" i="2" s="1"/>
  <c r="R16" i="2" s="1"/>
  <c r="O21" i="2"/>
  <c r="P21" i="2"/>
  <c r="D33" i="2"/>
  <c r="F33" i="2"/>
  <c r="H33" i="2"/>
  <c r="O33" i="2"/>
  <c r="P33" i="2"/>
  <c r="D37" i="2"/>
  <c r="I37" i="2"/>
  <c r="K37" i="2"/>
  <c r="L37" i="2"/>
  <c r="M37" i="2"/>
  <c r="N37" i="2"/>
  <c r="U37" i="2" s="1"/>
  <c r="I38" i="2"/>
  <c r="K38" i="2"/>
  <c r="L38" i="2"/>
  <c r="O38" i="2"/>
  <c r="P38" i="2"/>
  <c r="R38" i="5" l="1"/>
  <c r="S38" i="5" s="1"/>
  <c r="R33" i="5" s="1"/>
  <c r="J38" i="5"/>
  <c r="M38" i="2"/>
  <c r="R38" i="2"/>
  <c r="S38" i="2" s="1"/>
  <c r="M21" i="2"/>
  <c r="H33" i="5"/>
  <c r="G37" i="5"/>
  <c r="H37" i="5"/>
  <c r="I37" i="5" s="1"/>
  <c r="I12" i="5" s="1"/>
  <c r="U21" i="6"/>
  <c r="U16" i="6" s="1"/>
  <c r="P37" i="2"/>
  <c r="N12" i="2" s="1"/>
  <c r="O37" i="2"/>
  <c r="S37" i="2"/>
  <c r="B12" i="4"/>
  <c r="B1" i="4" s="1"/>
  <c r="U33" i="5"/>
  <c r="I12" i="2"/>
  <c r="R33" i="2" l="1"/>
  <c r="T38" i="2"/>
  <c r="U38" i="2" s="1"/>
  <c r="U33" i="2" s="1"/>
  <c r="J38" i="2"/>
  <c r="T21" i="2"/>
  <c r="U21" i="2" s="1"/>
  <c r="U16" i="2" s="1"/>
  <c r="J21" i="2"/>
  <c r="O37" i="5"/>
  <c r="P37" i="5"/>
  <c r="N12" i="5" s="1"/>
</calcChain>
</file>

<file path=xl/sharedStrings.xml><?xml version="1.0" encoding="utf-8"?>
<sst xmlns="http://schemas.openxmlformats.org/spreadsheetml/2006/main" count="843" uniqueCount="87">
  <si>
    <t>Name:</t>
  </si>
  <si>
    <t>Date:</t>
  </si>
  <si>
    <t>Portfolio Value</t>
  </si>
  <si>
    <t>Change in Value</t>
  </si>
  <si>
    <t>Cash</t>
  </si>
  <si>
    <t>Unit Price</t>
  </si>
  <si>
    <t>Value</t>
  </si>
  <si>
    <t># of Units</t>
  </si>
  <si>
    <t>Strike</t>
  </si>
  <si>
    <t>Maturity</t>
  </si>
  <si>
    <t>Elapsed time</t>
  </si>
  <si>
    <t>Previous Cash</t>
  </si>
  <si>
    <t>Present Value</t>
  </si>
  <si>
    <t>Interest Rate:</t>
  </si>
  <si>
    <t>d2</t>
  </si>
  <si>
    <t>d1</t>
  </si>
  <si>
    <t>Unit option price</t>
  </si>
  <si>
    <t>Stock Options</t>
  </si>
  <si>
    <t>Vol</t>
  </si>
  <si>
    <t>Previous Date:</t>
  </si>
  <si>
    <t>Previous positions:</t>
  </si>
  <si>
    <t>Type (put/call)</t>
  </si>
  <si>
    <t>call</t>
  </si>
  <si>
    <t>New positions</t>
  </si>
  <si>
    <t>Delta per unit</t>
  </si>
  <si>
    <t>Total delta</t>
  </si>
  <si>
    <t>Gamma per unit</t>
  </si>
  <si>
    <t>Total Gamma</t>
  </si>
  <si>
    <t>Total gamma</t>
  </si>
  <si>
    <t>digital put</t>
  </si>
  <si>
    <t>Red</t>
  </si>
  <si>
    <t>Blue</t>
  </si>
  <si>
    <t>entries are copied from previous spreadsheet</t>
  </si>
  <si>
    <t>entries are to be updated manually</t>
  </si>
  <si>
    <t>time</t>
  </si>
  <si>
    <t>remaining</t>
  </si>
  <si>
    <t xml:space="preserve">Your book begins with two options having been sold, an Asian call option on the TSX 60, and a binary put on your stock. </t>
  </si>
  <si>
    <t>The proceeds from the sale are in your cash account.</t>
  </si>
  <si>
    <t>TSX 60 Index</t>
  </si>
  <si>
    <t>TSX 60 Options</t>
  </si>
  <si>
    <t>Delta position in shares</t>
  </si>
  <si>
    <t>Delta position in units</t>
  </si>
  <si>
    <t>Theoretical</t>
  </si>
  <si>
    <t>unit option price</t>
  </si>
  <si>
    <t>Bid</t>
  </si>
  <si>
    <t>Ask</t>
  </si>
  <si>
    <t>Change in Cash</t>
  </si>
  <si>
    <t>put</t>
  </si>
  <si>
    <t>Asian call option</t>
  </si>
  <si>
    <t xml:space="preserve">Barrick Gold </t>
  </si>
  <si>
    <t>Option</t>
  </si>
  <si>
    <t>S</t>
  </si>
  <si>
    <t>K</t>
  </si>
  <si>
    <t>Mature</t>
  </si>
  <si>
    <t>Today</t>
  </si>
  <si>
    <t>Time remaining</t>
  </si>
  <si>
    <t xml:space="preserve">Sigma </t>
  </si>
  <si>
    <t xml:space="preserve">d2 </t>
  </si>
  <si>
    <t>r</t>
  </si>
  <si>
    <t>Barrick Gold</t>
  </si>
  <si>
    <t>Jesse Lee</t>
  </si>
  <si>
    <t>Put</t>
  </si>
  <si>
    <t>Sigma</t>
  </si>
  <si>
    <t>Call</t>
  </si>
  <si>
    <t>Impossible to gamma-hedge the index option, tried to be delta-neutral of the asian call option</t>
  </si>
  <si>
    <t xml:space="preserve">Had the wrong amount of binary put options from the first week so adjusted those figures. </t>
  </si>
  <si>
    <t>Tried to be delta-neutral in Barricks gold by buying/selling options with long time horizons where they are less volatile to short term changes and do not require holding the underlying stock</t>
  </si>
  <si>
    <t>Tried the same strategy as last week except with the correct formulas for gamma. Also brought the magnitude of bought and sold options down so they are less volatile to changes</t>
  </si>
  <si>
    <t>Tried being delta-gamma neutral while buying more of the underlier of the asian call option since the option is becoming more deep in the money</t>
  </si>
  <si>
    <t xml:space="preserve">Looked at historical data for index and noticed a historical trend of index decreases in the month of December. Sold all call options that were already deep out of the money and </t>
  </si>
  <si>
    <t>Sold stock options that were losing a lot of money throughout my weeks. Historical data of ABX shows that stock value rises in December.Sold some stocks to free money up and converted some of it to buying call options that will pay if stock stays above $22. Also sold put options with strike 21$ on January 1st to raise some money, thinking it will be unlikely they will be exercised</t>
  </si>
  <si>
    <t>Even though the stock is in the S&amp;P60 Standard so they will have non-zero correlation, used my positions in both to hedge each other with my delta position in the index slightly smaller than my delta position in the stock since the value of the index is more than 40 times the value of the stock</t>
  </si>
  <si>
    <t>Sold all my underlier of my stock and decided to hedge my digital put with a leveled-off straddle with a strike of $23. Bought more puts as my digital put is just out of the money so the long put position in the straddle will pay off the binary. The call of the straddle will ensure the options I bought are covered. Levelled off the straddle so I can generate some money.</t>
  </si>
  <si>
    <t>Holding onto the value of the asian call option in the index is similar to being in a short position of a put option. Hedged the stock price decreasing by being in a long position of a put at a strike that I think is unlikely to ensure exercising the put option and selling the index would ensure paying off the initial loan I took out for the index.</t>
  </si>
  <si>
    <t>Sold some of my index units to buy more put options at strike 1000 as it looks like the index is losing value based on global news indicating approaching slow econmic growth such as Trump delaying US-China trade talks and the global economy stalls</t>
  </si>
  <si>
    <t>Fixed my position in ABX so that if the stock drops more than $2.62 in a week (highly unlikely), the binary put would be able to be paid via my position in the put option with strike $23</t>
  </si>
  <si>
    <t>Index Put Option at strike $1000</t>
  </si>
  <si>
    <t>ABX Put option at strike $23</t>
  </si>
  <si>
    <t>Option Type</t>
  </si>
  <si>
    <t>Gain/Loss</t>
  </si>
  <si>
    <t>Loss</t>
  </si>
  <si>
    <t>Closed out all options and the weekly gain/losses for the options we hold from last week are:</t>
  </si>
  <si>
    <t>ABX call option at strike $23</t>
  </si>
  <si>
    <t>Gain</t>
  </si>
  <si>
    <t>$ Amount</t>
  </si>
  <si>
    <t>The biggest contributing option to my weekly portfolio value was the ABX put option which was used to cover the digital put option on the chance that it was exercised</t>
  </si>
  <si>
    <t>Gained a total of $113667.12 closing out all my options.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</si>
</sst>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Red]\-&quot;$&quot;#,##0"/>
    <numFmt numFmtId="7" formatCode="&quot;$&quot;#,##0.00;\-&quot;$&quot;#,##0.00"/>
    <numFmt numFmtId="8" formatCode="&quot;$&quot;#,##0.00;[Red]\-&quot;$&quot;#,##0.00"/>
    <numFmt numFmtId="44" formatCode="_-&quot;$&quot;* #,##0.00_-;\-&quot;$&quot;* #,##0.00_-;_-&quot;$&quot;* &quot;-&quot;??_-;_-@_-"/>
    <numFmt numFmtId="164" formatCode="0.0%"/>
    <numFmt numFmtId="165" formatCode="&quot;$&quot;#,##0.00"/>
    <numFmt numFmtId="166" formatCode="&quot;$&quot;#,##0"/>
  </numFmts>
  <fonts count="14" x14ac:knownFonts="1">
    <font>
      <sz val="10"/>
      <name val="Arial"/>
    </font>
    <font>
      <sz val="10"/>
      <name val="Arial"/>
    </font>
    <font>
      <b/>
      <sz val="10"/>
      <name val="Arial"/>
      <family val="2"/>
    </font>
    <font>
      <b/>
      <sz val="10"/>
      <color indexed="10"/>
      <name val="Arial"/>
      <family val="2"/>
    </font>
    <font>
      <b/>
      <u/>
      <sz val="10"/>
      <name val="Arial"/>
      <family val="2"/>
    </font>
    <font>
      <sz val="10"/>
      <color indexed="12"/>
      <name val="Arial"/>
      <family val="2"/>
    </font>
    <font>
      <b/>
      <sz val="10"/>
      <color indexed="12"/>
      <name val="Arial"/>
      <family val="2"/>
    </font>
    <font>
      <u/>
      <sz val="10"/>
      <name val="Arial"/>
      <family val="2"/>
    </font>
    <font>
      <b/>
      <u/>
      <sz val="16"/>
      <name val="Arial"/>
      <family val="2"/>
    </font>
    <font>
      <sz val="10"/>
      <name val="Arial"/>
      <family val="2"/>
    </font>
    <font>
      <b/>
      <u/>
      <sz val="14"/>
      <name val="Arial"/>
      <family val="2"/>
    </font>
    <font>
      <b/>
      <sz val="14"/>
      <name val="Arial"/>
      <family val="2"/>
    </font>
    <font>
      <sz val="10"/>
      <color indexed="59"/>
      <name val="Arial"/>
      <family val="2"/>
    </font>
    <font>
      <b/>
      <sz val="10"/>
      <name val="Arial"/>
    </font>
  </fonts>
  <fills count="7">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indexed="47"/>
        <bgColor indexed="64"/>
      </patternFill>
    </fill>
    <fill>
      <patternFill patternType="solid">
        <fgColor indexed="41"/>
        <bgColor indexed="64"/>
      </patternFill>
    </fill>
    <fill>
      <patternFill patternType="solid">
        <fgColor rgb="FF66FFFF"/>
        <bgColor indexed="64"/>
      </patternFill>
    </fill>
  </fills>
  <borders count="11">
    <border>
      <left/>
      <right/>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82">
    <xf numFmtId="0" fontId="0" fillId="0" borderId="0" xfId="0"/>
    <xf numFmtId="14" fontId="0" fillId="0" borderId="0" xfId="0" applyNumberFormat="1"/>
    <xf numFmtId="10" fontId="0" fillId="0" borderId="0" xfId="0" applyNumberFormat="1"/>
    <xf numFmtId="44" fontId="0" fillId="0" borderId="0" xfId="0" applyNumberFormat="1"/>
    <xf numFmtId="0" fontId="2" fillId="0" borderId="0" xfId="0" applyFont="1"/>
    <xf numFmtId="0" fontId="2" fillId="2" borderId="1" xfId="0" applyFont="1" applyFill="1" applyBorder="1"/>
    <xf numFmtId="0" fontId="0" fillId="2" borderId="2" xfId="0" applyFill="1" applyBorder="1"/>
    <xf numFmtId="0" fontId="2" fillId="2" borderId="3" xfId="0" applyFont="1" applyFill="1" applyBorder="1"/>
    <xf numFmtId="0" fontId="4" fillId="0" borderId="0" xfId="0" applyFont="1"/>
    <xf numFmtId="0" fontId="0" fillId="3" borderId="4" xfId="0" applyFill="1" applyBorder="1" applyAlignment="1">
      <alignment horizontal="center"/>
    </xf>
    <xf numFmtId="44" fontId="0" fillId="3" borderId="5" xfId="0" applyNumberFormat="1" applyFill="1" applyBorder="1" applyAlignment="1">
      <alignment horizontal="center"/>
    </xf>
    <xf numFmtId="14" fontId="6" fillId="2" borderId="6" xfId="0" applyNumberFormat="1" applyFont="1" applyFill="1" applyBorder="1"/>
    <xf numFmtId="14" fontId="5" fillId="2" borderId="7" xfId="0" applyNumberFormat="1" applyFont="1" applyFill="1" applyBorder="1"/>
    <xf numFmtId="14" fontId="6" fillId="2" borderId="5" xfId="0" applyNumberFormat="1" applyFont="1" applyFill="1" applyBorder="1"/>
    <xf numFmtId="0" fontId="0" fillId="4" borderId="1" xfId="0" applyFill="1" applyBorder="1"/>
    <xf numFmtId="0" fontId="0" fillId="4" borderId="8" xfId="0" applyFill="1" applyBorder="1"/>
    <xf numFmtId="0" fontId="0" fillId="4" borderId="6" xfId="0" applyFill="1" applyBorder="1"/>
    <xf numFmtId="0" fontId="0" fillId="4" borderId="2" xfId="0" applyFill="1" applyBorder="1"/>
    <xf numFmtId="0" fontId="0" fillId="4" borderId="0" xfId="0" applyFill="1" applyBorder="1"/>
    <xf numFmtId="0" fontId="0" fillId="4" borderId="7" xfId="0" applyFill="1" applyBorder="1"/>
    <xf numFmtId="0" fontId="0" fillId="4" borderId="3" xfId="0" applyFill="1" applyBorder="1"/>
    <xf numFmtId="0" fontId="4" fillId="4" borderId="1" xfId="0" applyFont="1" applyFill="1" applyBorder="1"/>
    <xf numFmtId="0" fontId="0" fillId="4" borderId="2" xfId="0" applyFill="1" applyBorder="1" applyAlignment="1">
      <alignment horizontal="center"/>
    </xf>
    <xf numFmtId="0" fontId="0" fillId="4" borderId="0" xfId="0" applyFill="1" applyBorder="1" applyAlignment="1">
      <alignment horizontal="center"/>
    </xf>
    <xf numFmtId="0" fontId="0" fillId="4" borderId="3" xfId="0" applyFill="1" applyBorder="1" applyAlignment="1">
      <alignment horizontal="center"/>
    </xf>
    <xf numFmtId="44" fontId="0" fillId="4" borderId="5" xfId="1" applyFont="1" applyFill="1" applyBorder="1" applyAlignment="1">
      <alignment horizontal="center"/>
    </xf>
    <xf numFmtId="0" fontId="3" fillId="4" borderId="3" xfId="0" applyFont="1" applyFill="1" applyBorder="1" applyAlignment="1">
      <alignment horizontal="center"/>
    </xf>
    <xf numFmtId="0" fontId="3"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0" fillId="4" borderId="4" xfId="0" applyFill="1" applyBorder="1"/>
    <xf numFmtId="0" fontId="0" fillId="4" borderId="5" xfId="0" applyFill="1" applyBorder="1"/>
    <xf numFmtId="0" fontId="0" fillId="4" borderId="8" xfId="0" applyFill="1" applyBorder="1" applyAlignment="1">
      <alignment horizontal="center"/>
    </xf>
    <xf numFmtId="0" fontId="0" fillId="4" borderId="6" xfId="0"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3" fontId="0" fillId="4" borderId="8" xfId="0" applyNumberFormat="1" applyFill="1" applyBorder="1" applyAlignment="1">
      <alignment horizontal="center"/>
    </xf>
    <xf numFmtId="14" fontId="0" fillId="4" borderId="8" xfId="0" applyNumberFormat="1" applyFill="1" applyBorder="1" applyAlignment="1">
      <alignment horizontal="center"/>
    </xf>
    <xf numFmtId="3" fontId="0" fillId="4" borderId="0" xfId="0" applyNumberFormat="1" applyFill="1" applyBorder="1" applyAlignment="1">
      <alignment horizontal="center"/>
    </xf>
    <xf numFmtId="14" fontId="0" fillId="4" borderId="0" xfId="0" applyNumberFormat="1" applyFill="1" applyBorder="1" applyAlignment="1">
      <alignment horizontal="center"/>
    </xf>
    <xf numFmtId="0" fontId="7" fillId="4" borderId="2" xfId="0" applyFont="1" applyFill="1" applyBorder="1" applyAlignment="1">
      <alignment horizontal="center"/>
    </xf>
    <xf numFmtId="0" fontId="7" fillId="4" borderId="0" xfId="0" applyFont="1" applyFill="1" applyBorder="1" applyAlignment="1">
      <alignment horizontal="center"/>
    </xf>
    <xf numFmtId="0" fontId="7" fillId="4" borderId="7" xfId="0" applyFont="1" applyFill="1" applyBorder="1" applyAlignment="1">
      <alignment horizontal="center"/>
    </xf>
    <xf numFmtId="0" fontId="7" fillId="3" borderId="1" xfId="0" applyFont="1" applyFill="1" applyBorder="1" applyAlignment="1">
      <alignment horizontal="center"/>
    </xf>
    <xf numFmtId="0" fontId="7" fillId="3" borderId="8" xfId="0" applyFont="1" applyFill="1" applyBorder="1" applyAlignment="1">
      <alignment horizontal="center"/>
    </xf>
    <xf numFmtId="0" fontId="7" fillId="3" borderId="6" xfId="0" applyFont="1" applyFill="1" applyBorder="1" applyAlignment="1">
      <alignment horizontal="center"/>
    </xf>
    <xf numFmtId="3" fontId="3" fillId="4" borderId="1" xfId="0" applyNumberFormat="1" applyFont="1" applyFill="1" applyBorder="1" applyAlignment="1">
      <alignment horizontal="center"/>
    </xf>
    <xf numFmtId="0" fontId="3" fillId="4" borderId="2" xfId="0" applyFont="1" applyFill="1" applyBorder="1" applyAlignment="1">
      <alignment horizontal="center"/>
    </xf>
    <xf numFmtId="0" fontId="8" fillId="0" borderId="0" xfId="0" applyFont="1"/>
    <xf numFmtId="0" fontId="4" fillId="4" borderId="1" xfId="0" applyFont="1" applyFill="1" applyBorder="1" applyAlignment="1">
      <alignment horizontal="center"/>
    </xf>
    <xf numFmtId="7" fontId="0" fillId="4" borderId="0" xfId="0" applyNumberFormat="1" applyFill="1" applyBorder="1" applyAlignment="1">
      <alignment horizontal="right"/>
    </xf>
    <xf numFmtId="7" fontId="0" fillId="4" borderId="4" xfId="0" applyNumberFormat="1" applyFill="1" applyBorder="1" applyAlignment="1">
      <alignment horizontal="right"/>
    </xf>
    <xf numFmtId="0" fontId="0" fillId="4" borderId="8" xfId="0" applyFill="1" applyBorder="1" applyAlignment="1">
      <alignment horizontal="right"/>
    </xf>
    <xf numFmtId="0" fontId="0" fillId="4" borderId="4" xfId="0" applyFill="1" applyBorder="1" applyAlignment="1">
      <alignment horizontal="right"/>
    </xf>
    <xf numFmtId="0" fontId="0" fillId="4" borderId="6" xfId="0" applyFill="1" applyBorder="1" applyAlignment="1">
      <alignment horizontal="right"/>
    </xf>
    <xf numFmtId="0" fontId="0" fillId="4" borderId="7" xfId="0" applyFill="1" applyBorder="1" applyAlignment="1">
      <alignment horizontal="right"/>
    </xf>
    <xf numFmtId="7" fontId="0" fillId="4" borderId="5" xfId="1" applyNumberFormat="1" applyFont="1" applyFill="1" applyBorder="1" applyAlignment="1">
      <alignment horizontal="right"/>
    </xf>
    <xf numFmtId="0" fontId="0" fillId="4" borderId="5" xfId="0" applyFill="1" applyBorder="1" applyAlignment="1">
      <alignment horizontal="right"/>
    </xf>
    <xf numFmtId="7" fontId="0" fillId="4" borderId="6" xfId="1" applyNumberFormat="1" applyFont="1" applyFill="1" applyBorder="1" applyAlignment="1">
      <alignment horizontal="right"/>
    </xf>
    <xf numFmtId="7" fontId="0" fillId="4" borderId="7" xfId="1" applyNumberFormat="1" applyFont="1" applyFill="1" applyBorder="1" applyAlignment="1">
      <alignment horizontal="right"/>
    </xf>
    <xf numFmtId="0" fontId="6" fillId="4" borderId="0" xfId="0" applyFont="1" applyFill="1" applyBorder="1" applyAlignment="1">
      <alignment horizontal="center"/>
    </xf>
    <xf numFmtId="0" fontId="6" fillId="4" borderId="4" xfId="0" applyFont="1" applyFill="1" applyBorder="1" applyAlignment="1">
      <alignment horizontal="center"/>
    </xf>
    <xf numFmtId="3" fontId="6" fillId="4" borderId="1" xfId="0" applyNumberFormat="1" applyFont="1" applyFill="1" applyBorder="1" applyAlignment="1">
      <alignment horizontal="center"/>
    </xf>
    <xf numFmtId="0" fontId="6" fillId="4" borderId="2" xfId="0" applyFont="1" applyFill="1" applyBorder="1" applyAlignment="1">
      <alignment horizontal="center"/>
    </xf>
    <xf numFmtId="0" fontId="6" fillId="4" borderId="3" xfId="0" applyFont="1" applyFill="1" applyBorder="1" applyAlignment="1">
      <alignment horizontal="center"/>
    </xf>
    <xf numFmtId="0" fontId="4" fillId="4" borderId="1" xfId="0" applyFont="1" applyFill="1" applyBorder="1" applyAlignment="1">
      <alignment horizontal="left"/>
    </xf>
    <xf numFmtId="7" fontId="6" fillId="4" borderId="8" xfId="1" applyNumberFormat="1" applyFont="1" applyFill="1" applyBorder="1" applyAlignment="1">
      <alignment horizontal="right"/>
    </xf>
    <xf numFmtId="0" fontId="0" fillId="5" borderId="1" xfId="0" applyFill="1" applyBorder="1"/>
    <xf numFmtId="0" fontId="0" fillId="5" borderId="8" xfId="0" applyFill="1" applyBorder="1"/>
    <xf numFmtId="0" fontId="0" fillId="5" borderId="6" xfId="0" applyFill="1" applyBorder="1"/>
    <xf numFmtId="0" fontId="0" fillId="5" borderId="2" xfId="0" applyFill="1" applyBorder="1"/>
    <xf numFmtId="0" fontId="0" fillId="5" borderId="0" xfId="0" applyFill="1" applyBorder="1"/>
    <xf numFmtId="0" fontId="0" fillId="5" borderId="7" xfId="0" applyFill="1" applyBorder="1"/>
    <xf numFmtId="0" fontId="0" fillId="5" borderId="3" xfId="0" applyFill="1" applyBorder="1"/>
    <xf numFmtId="0" fontId="4" fillId="5" borderId="1" xfId="0" applyFont="1" applyFill="1" applyBorder="1"/>
    <xf numFmtId="0" fontId="7" fillId="5" borderId="2" xfId="0" applyFont="1" applyFill="1" applyBorder="1" applyAlignment="1">
      <alignment horizontal="center"/>
    </xf>
    <xf numFmtId="0" fontId="7" fillId="5" borderId="0" xfId="0" applyFont="1" applyFill="1" applyBorder="1" applyAlignment="1">
      <alignment horizontal="center"/>
    </xf>
    <xf numFmtId="0" fontId="7" fillId="5" borderId="7" xfId="0" applyFont="1" applyFill="1" applyBorder="1" applyAlignment="1">
      <alignment horizontal="center"/>
    </xf>
    <xf numFmtId="7" fontId="0" fillId="5" borderId="5" xfId="0" applyNumberFormat="1" applyFill="1" applyBorder="1" applyAlignment="1">
      <alignment horizontal="center"/>
    </xf>
    <xf numFmtId="0" fontId="3" fillId="5" borderId="3" xfId="0" applyFont="1" applyFill="1" applyBorder="1" applyAlignment="1">
      <alignment horizontal="center"/>
    </xf>
    <xf numFmtId="0" fontId="0" fillId="5" borderId="4" xfId="0" applyFill="1" applyBorder="1"/>
    <xf numFmtId="0" fontId="0" fillId="5" borderId="5" xfId="0" applyFill="1" applyBorder="1"/>
    <xf numFmtId="44" fontId="0" fillId="5" borderId="4" xfId="0" applyNumberFormat="1" applyFill="1" applyBorder="1"/>
    <xf numFmtId="3" fontId="3" fillId="5" borderId="1" xfId="0" applyNumberFormat="1" applyFont="1" applyFill="1" applyBorder="1" applyAlignment="1">
      <alignment horizontal="center"/>
    </xf>
    <xf numFmtId="0" fontId="0" fillId="5" borderId="8" xfId="0" applyFill="1" applyBorder="1" applyAlignment="1">
      <alignment horizontal="center"/>
    </xf>
    <xf numFmtId="14" fontId="0" fillId="5" borderId="8" xfId="0" applyNumberFormat="1" applyFill="1" applyBorder="1" applyAlignment="1">
      <alignment horizontal="center"/>
    </xf>
    <xf numFmtId="9" fontId="6" fillId="5" borderId="8" xfId="0" applyNumberFormat="1" applyFont="1" applyFill="1" applyBorder="1" applyAlignment="1">
      <alignment horizontal="center"/>
    </xf>
    <xf numFmtId="0" fontId="0" fillId="5" borderId="6" xfId="0" applyFill="1" applyBorder="1" applyAlignment="1">
      <alignment horizontal="center"/>
    </xf>
    <xf numFmtId="0" fontId="3" fillId="5" borderId="2" xfId="0" applyFont="1" applyFill="1" applyBorder="1" applyAlignment="1">
      <alignment horizontal="center"/>
    </xf>
    <xf numFmtId="0" fontId="0" fillId="5" borderId="0" xfId="0" applyFill="1" applyBorder="1" applyAlignment="1">
      <alignment horizontal="center"/>
    </xf>
    <xf numFmtId="14" fontId="0" fillId="5" borderId="0" xfId="0" applyNumberFormat="1" applyFill="1" applyBorder="1" applyAlignment="1">
      <alignment horizontal="center"/>
    </xf>
    <xf numFmtId="9" fontId="9" fillId="5" borderId="0" xfId="0" applyNumberFormat="1" applyFont="1" applyFill="1" applyBorder="1" applyAlignment="1">
      <alignment horizontal="center"/>
    </xf>
    <xf numFmtId="0" fontId="0" fillId="5" borderId="7" xfId="0" applyFill="1" applyBorder="1" applyAlignment="1">
      <alignment horizontal="center"/>
    </xf>
    <xf numFmtId="0" fontId="6" fillId="5" borderId="0" xfId="0" applyFont="1" applyFill="1" applyBorder="1" applyAlignment="1">
      <alignment horizontal="center"/>
    </xf>
    <xf numFmtId="7" fontId="0" fillId="5" borderId="0" xfId="0" applyNumberFormat="1" applyFill="1" applyBorder="1" applyAlignment="1">
      <alignment horizontal="right"/>
    </xf>
    <xf numFmtId="0" fontId="0" fillId="5" borderId="4" xfId="0" applyFill="1" applyBorder="1" applyAlignment="1">
      <alignment horizontal="center"/>
    </xf>
    <xf numFmtId="0" fontId="6" fillId="5" borderId="4" xfId="0" applyFont="1" applyFill="1" applyBorder="1" applyAlignment="1">
      <alignment horizontal="center"/>
    </xf>
    <xf numFmtId="7" fontId="0" fillId="5" borderId="4" xfId="0" applyNumberFormat="1" applyFill="1" applyBorder="1" applyAlignment="1">
      <alignment horizontal="right"/>
    </xf>
    <xf numFmtId="0" fontId="0" fillId="5" borderId="5" xfId="0" applyFill="1" applyBorder="1" applyAlignment="1">
      <alignment horizontal="center"/>
    </xf>
    <xf numFmtId="0" fontId="6" fillId="5" borderId="1" xfId="0" applyFont="1" applyFill="1" applyBorder="1" applyAlignment="1">
      <alignment horizontal="center"/>
    </xf>
    <xf numFmtId="7" fontId="0" fillId="5" borderId="6" xfId="1" applyNumberFormat="1" applyFont="1" applyFill="1" applyBorder="1" applyAlignment="1">
      <alignment horizontal="right"/>
    </xf>
    <xf numFmtId="0" fontId="6" fillId="5" borderId="2" xfId="0" applyFont="1" applyFill="1" applyBorder="1" applyAlignment="1">
      <alignment horizontal="center"/>
    </xf>
    <xf numFmtId="7" fontId="0" fillId="5" borderId="7" xfId="1" applyNumberFormat="1" applyFont="1" applyFill="1" applyBorder="1" applyAlignment="1">
      <alignment horizontal="right"/>
    </xf>
    <xf numFmtId="0" fontId="6" fillId="5" borderId="3" xfId="0" applyFont="1" applyFill="1" applyBorder="1" applyAlignment="1">
      <alignment horizontal="center"/>
    </xf>
    <xf numFmtId="7" fontId="0" fillId="5" borderId="5" xfId="1" applyNumberFormat="1" applyFont="1" applyFill="1" applyBorder="1" applyAlignment="1">
      <alignment horizontal="right"/>
    </xf>
    <xf numFmtId="7" fontId="9" fillId="5" borderId="8" xfId="1" applyNumberFormat="1" applyFont="1" applyFill="1" applyBorder="1" applyAlignment="1">
      <alignment horizontal="right"/>
    </xf>
    <xf numFmtId="7" fontId="2" fillId="4" borderId="8" xfId="1" applyNumberFormat="1" applyFont="1" applyFill="1" applyBorder="1" applyAlignment="1">
      <alignment horizontal="right"/>
    </xf>
    <xf numFmtId="7" fontId="2" fillId="4" borderId="0" xfId="1" applyNumberFormat="1" applyFont="1" applyFill="1" applyBorder="1" applyAlignment="1">
      <alignment horizontal="right"/>
    </xf>
    <xf numFmtId="7" fontId="2" fillId="4" borderId="0" xfId="0" applyNumberFormat="1" applyFont="1" applyFill="1" applyBorder="1" applyAlignment="1">
      <alignment horizontal="right"/>
    </xf>
    <xf numFmtId="7" fontId="2" fillId="4" borderId="4" xfId="0" applyNumberFormat="1" applyFont="1" applyFill="1" applyBorder="1" applyAlignment="1">
      <alignment horizontal="right"/>
    </xf>
    <xf numFmtId="7" fontId="2" fillId="5" borderId="0" xfId="1" applyNumberFormat="1" applyFont="1" applyFill="1" applyBorder="1" applyAlignment="1">
      <alignment horizontal="right"/>
    </xf>
    <xf numFmtId="7" fontId="2" fillId="5" borderId="0" xfId="0" applyNumberFormat="1" applyFont="1" applyFill="1" applyBorder="1" applyAlignment="1">
      <alignment horizontal="right"/>
    </xf>
    <xf numFmtId="7" fontId="2" fillId="5" borderId="4" xfId="0" applyNumberFormat="1" applyFont="1" applyFill="1" applyBorder="1" applyAlignment="1">
      <alignment horizontal="right"/>
    </xf>
    <xf numFmtId="0" fontId="4" fillId="5" borderId="1" xfId="0" applyFont="1" applyFill="1" applyBorder="1" applyAlignment="1">
      <alignment horizontal="center"/>
    </xf>
    <xf numFmtId="0" fontId="0" fillId="5" borderId="2" xfId="0" applyFill="1" applyBorder="1" applyAlignment="1">
      <alignment horizontal="center"/>
    </xf>
    <xf numFmtId="0" fontId="0" fillId="5" borderId="7" xfId="0" applyFill="1" applyBorder="1" applyAlignment="1">
      <alignment horizontal="right"/>
    </xf>
    <xf numFmtId="0" fontId="0" fillId="5" borderId="5" xfId="0" applyFill="1" applyBorder="1" applyAlignment="1">
      <alignment horizontal="right"/>
    </xf>
    <xf numFmtId="165" fontId="0" fillId="0" borderId="0" xfId="0" applyNumberFormat="1"/>
    <xf numFmtId="14" fontId="6" fillId="0" borderId="0" xfId="0" applyNumberFormat="1" applyFont="1" applyFill="1" applyBorder="1"/>
    <xf numFmtId="0" fontId="10" fillId="0" borderId="9" xfId="0" applyFont="1" applyBorder="1"/>
    <xf numFmtId="44" fontId="11" fillId="0" borderId="10" xfId="0" applyNumberFormat="1" applyFont="1" applyBorder="1"/>
    <xf numFmtId="0" fontId="10" fillId="0" borderId="0" xfId="0" applyFont="1" applyBorder="1"/>
    <xf numFmtId="44" fontId="11" fillId="0" borderId="0" xfId="0" applyNumberFormat="1" applyFont="1" applyBorder="1"/>
    <xf numFmtId="7" fontId="9" fillId="4" borderId="0" xfId="1" applyNumberFormat="1" applyFont="1" applyFill="1" applyBorder="1" applyAlignment="1">
      <alignment horizontal="right"/>
    </xf>
    <xf numFmtId="7" fontId="6" fillId="4" borderId="0" xfId="1" applyNumberFormat="1" applyFont="1" applyFill="1" applyBorder="1" applyAlignment="1">
      <alignment horizontal="right"/>
    </xf>
    <xf numFmtId="7" fontId="9" fillId="5" borderId="0" xfId="1" applyNumberFormat="1" applyFont="1" applyFill="1" applyBorder="1" applyAlignment="1">
      <alignment horizontal="right"/>
    </xf>
    <xf numFmtId="7" fontId="6" fillId="5" borderId="0" xfId="1" applyNumberFormat="1" applyFont="1" applyFill="1" applyBorder="1" applyAlignment="1">
      <alignment horizontal="right"/>
    </xf>
    <xf numFmtId="0" fontId="4" fillId="4" borderId="8" xfId="0" applyFont="1" applyFill="1" applyBorder="1" applyAlignment="1">
      <alignment horizontal="center"/>
    </xf>
    <xf numFmtId="0" fontId="4" fillId="5" borderId="8" xfId="0" applyFont="1" applyFill="1" applyBorder="1" applyAlignment="1">
      <alignment horizontal="center"/>
    </xf>
    <xf numFmtId="165" fontId="12" fillId="4" borderId="4" xfId="0" applyNumberFormat="1" applyFont="1" applyFill="1" applyBorder="1" applyAlignment="1">
      <alignment horizontal="center"/>
    </xf>
    <xf numFmtId="44" fontId="0" fillId="5" borderId="8" xfId="0" applyNumberFormat="1" applyFill="1" applyBorder="1" applyAlignment="1">
      <alignment horizontal="center"/>
    </xf>
    <xf numFmtId="166" fontId="12" fillId="4" borderId="8" xfId="0" applyNumberFormat="1" applyFont="1" applyFill="1" applyBorder="1" applyAlignment="1">
      <alignment horizontal="center"/>
    </xf>
    <xf numFmtId="7" fontId="12" fillId="4" borderId="0" xfId="0" applyNumberFormat="1" applyFont="1" applyFill="1" applyBorder="1" applyAlignment="1">
      <alignment horizontal="center"/>
    </xf>
    <xf numFmtId="165" fontId="12" fillId="5" borderId="8" xfId="0" applyNumberFormat="1" applyFont="1" applyFill="1" applyBorder="1" applyAlignment="1">
      <alignment horizontal="center"/>
    </xf>
    <xf numFmtId="165" fontId="12" fillId="5" borderId="0" xfId="0" applyNumberFormat="1" applyFont="1" applyFill="1" applyBorder="1" applyAlignment="1">
      <alignment horizontal="center"/>
    </xf>
    <xf numFmtId="165" fontId="0" fillId="5" borderId="4" xfId="0" applyNumberFormat="1" applyFill="1" applyBorder="1" applyAlignment="1">
      <alignment horizontal="center"/>
    </xf>
    <xf numFmtId="44" fontId="2" fillId="3" borderId="10" xfId="0" applyNumberFormat="1" applyFont="1" applyFill="1" applyBorder="1"/>
    <xf numFmtId="0" fontId="2" fillId="3" borderId="9" xfId="0" applyFont="1" applyFill="1" applyBorder="1"/>
    <xf numFmtId="166" fontId="5" fillId="5" borderId="8" xfId="0" applyNumberFormat="1" applyFont="1" applyFill="1" applyBorder="1" applyAlignment="1">
      <alignment horizontal="center"/>
    </xf>
    <xf numFmtId="166" fontId="0" fillId="5" borderId="0" xfId="0" applyNumberFormat="1" applyFill="1" applyBorder="1" applyAlignment="1">
      <alignment horizontal="center"/>
    </xf>
    <xf numFmtId="7" fontId="0" fillId="0" borderId="0" xfId="0" applyNumberFormat="1"/>
    <xf numFmtId="0" fontId="6" fillId="4" borderId="1" xfId="0" applyFont="1" applyFill="1" applyBorder="1"/>
    <xf numFmtId="0" fontId="6" fillId="4" borderId="8" xfId="0" applyFont="1" applyFill="1" applyBorder="1"/>
    <xf numFmtId="0" fontId="9" fillId="4" borderId="6" xfId="0" applyFont="1" applyFill="1" applyBorder="1"/>
    <xf numFmtId="164" fontId="6" fillId="4" borderId="8" xfId="0" applyNumberFormat="1" applyFont="1" applyFill="1" applyBorder="1" applyAlignment="1">
      <alignment horizontal="center"/>
    </xf>
    <xf numFmtId="0" fontId="9" fillId="4" borderId="8" xfId="0" applyFont="1" applyFill="1" applyBorder="1" applyAlignment="1">
      <alignment horizontal="center"/>
    </xf>
    <xf numFmtId="4" fontId="6" fillId="4" borderId="4" xfId="0" applyNumberFormat="1" applyFont="1" applyFill="1" applyBorder="1" applyAlignment="1">
      <alignment horizontal="center"/>
    </xf>
    <xf numFmtId="164" fontId="9" fillId="4" borderId="0" xfId="0" applyNumberFormat="1" applyFont="1" applyFill="1" applyBorder="1" applyAlignment="1">
      <alignment horizontal="center"/>
    </xf>
    <xf numFmtId="8" fontId="0" fillId="0" borderId="0" xfId="0" applyNumberFormat="1"/>
    <xf numFmtId="8" fontId="0" fillId="0" borderId="0" xfId="1" applyNumberFormat="1" applyFont="1"/>
    <xf numFmtId="6" fontId="0" fillId="0" borderId="0" xfId="0" applyNumberFormat="1"/>
    <xf numFmtId="9" fontId="0" fillId="0" borderId="0" xfId="0" applyNumberFormat="1"/>
    <xf numFmtId="0" fontId="0" fillId="0" borderId="0" xfId="0" applyNumberFormat="1"/>
    <xf numFmtId="8" fontId="3" fillId="3" borderId="3" xfId="1" applyNumberFormat="1" applyFont="1" applyFill="1" applyBorder="1" applyAlignment="1">
      <alignment horizontal="center"/>
    </xf>
    <xf numFmtId="8" fontId="13" fillId="6" borderId="0" xfId="0" applyNumberFormat="1" applyFont="1" applyFill="1"/>
    <xf numFmtId="0" fontId="9" fillId="4" borderId="0" xfId="0" applyFont="1" applyFill="1" applyBorder="1" applyAlignment="1">
      <alignment horizontal="center"/>
    </xf>
    <xf numFmtId="8" fontId="6" fillId="4" borderId="0" xfId="0" applyNumberFormat="1" applyFont="1" applyFill="1" applyBorder="1" applyAlignment="1">
      <alignment horizontal="center"/>
    </xf>
    <xf numFmtId="9" fontId="6" fillId="4" borderId="0" xfId="0" applyNumberFormat="1" applyFont="1" applyFill="1" applyBorder="1" applyAlignment="1">
      <alignment horizontal="center"/>
    </xf>
    <xf numFmtId="165" fontId="6" fillId="4" borderId="0" xfId="1" applyNumberFormat="1" applyFont="1" applyFill="1" applyBorder="1" applyAlignment="1">
      <alignment horizontal="center"/>
    </xf>
    <xf numFmtId="8" fontId="0" fillId="5" borderId="1" xfId="0" applyNumberFormat="1" applyFill="1" applyBorder="1"/>
    <xf numFmtId="2" fontId="0" fillId="5" borderId="1" xfId="0" applyNumberFormat="1" applyFill="1" applyBorder="1"/>
    <xf numFmtId="0" fontId="0" fillId="4" borderId="2" xfId="0" applyNumberFormat="1" applyFill="1" applyBorder="1"/>
    <xf numFmtId="0" fontId="0" fillId="4" borderId="0" xfId="0" applyNumberFormat="1" applyFill="1" applyBorder="1"/>
    <xf numFmtId="6" fontId="0" fillId="5" borderId="0" xfId="0" applyNumberFormat="1" applyFill="1" applyBorder="1" applyAlignment="1">
      <alignment horizontal="center"/>
    </xf>
    <xf numFmtId="8" fontId="6" fillId="5" borderId="0" xfId="0" applyNumberFormat="1" applyFont="1" applyFill="1" applyBorder="1" applyAlignment="1">
      <alignment horizontal="center"/>
    </xf>
    <xf numFmtId="10" fontId="6" fillId="5" borderId="0" xfId="0" applyNumberFormat="1" applyFont="1" applyFill="1" applyBorder="1" applyAlignment="1">
      <alignment horizontal="center"/>
    </xf>
    <xf numFmtId="6" fontId="0" fillId="5" borderId="0" xfId="1" applyNumberFormat="1" applyFont="1" applyFill="1" applyBorder="1" applyAlignment="1">
      <alignment horizontal="center"/>
    </xf>
    <xf numFmtId="10" fontId="6" fillId="4" borderId="0" xfId="0" applyNumberFormat="1" applyFont="1" applyFill="1" applyBorder="1" applyAlignment="1">
      <alignment horizontal="center"/>
    </xf>
    <xf numFmtId="0" fontId="9" fillId="0" borderId="0" xfId="0" applyFont="1"/>
    <xf numFmtId="165" fontId="9" fillId="5" borderId="0" xfId="1" applyNumberFormat="1" applyFont="1" applyFill="1" applyBorder="1" applyAlignment="1">
      <alignment horizontal="right"/>
    </xf>
    <xf numFmtId="9" fontId="6" fillId="4" borderId="0" xfId="2" applyFont="1" applyFill="1" applyBorder="1" applyAlignment="1">
      <alignment horizontal="center"/>
    </xf>
    <xf numFmtId="9" fontId="6" fillId="5" borderId="0" xfId="0" applyNumberFormat="1" applyFont="1" applyFill="1" applyBorder="1" applyAlignment="1">
      <alignment horizontal="center"/>
    </xf>
    <xf numFmtId="165" fontId="6" fillId="5" borderId="0" xfId="0" applyNumberFormat="1" applyFont="1" applyFill="1" applyBorder="1" applyAlignment="1">
      <alignment horizontal="center"/>
    </xf>
    <xf numFmtId="165" fontId="0" fillId="5" borderId="0" xfId="1" applyNumberFormat="1" applyFont="1" applyFill="1" applyBorder="1" applyAlignment="1">
      <alignment horizontal="center"/>
    </xf>
    <xf numFmtId="165" fontId="0" fillId="5" borderId="0" xfId="0" applyNumberFormat="1" applyFill="1" applyBorder="1" applyAlignment="1">
      <alignment horizontal="center"/>
    </xf>
    <xf numFmtId="9" fontId="6" fillId="5" borderId="0" xfId="2" applyFont="1" applyFill="1" applyBorder="1" applyAlignment="1">
      <alignment horizontal="center"/>
    </xf>
    <xf numFmtId="165" fontId="0" fillId="5" borderId="0" xfId="0" applyNumberFormat="1" applyFill="1" applyBorder="1" applyAlignment="1">
      <alignment horizontal="right"/>
    </xf>
    <xf numFmtId="165" fontId="6" fillId="5" borderId="0" xfId="1" applyNumberFormat="1" applyFont="1" applyFill="1" applyBorder="1" applyAlignment="1">
      <alignment horizontal="center"/>
    </xf>
    <xf numFmtId="0" fontId="0" fillId="5" borderId="1" xfId="0" applyNumberFormat="1" applyFill="1" applyBorder="1"/>
    <xf numFmtId="44" fontId="0" fillId="5" borderId="0" xfId="1" applyFont="1" applyFill="1" applyBorder="1" applyAlignment="1">
      <alignment horizontal="center"/>
    </xf>
    <xf numFmtId="44" fontId="6" fillId="5" borderId="0" xfId="1" applyFont="1" applyFill="1" applyBorder="1" applyAlignment="1">
      <alignment horizontal="center"/>
    </xf>
    <xf numFmtId="8" fontId="9" fillId="0" borderId="0" xfId="0" applyNumberFormat="1" applyFont="1" applyBorder="1"/>
  </cellXfs>
  <cellStyles count="3">
    <cellStyle name="Currency" xfId="1" builtinId="4"/>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7D1A849-3F7D-4AD7-B262-C952A17BE662}" name="Table1" displayName="Table1" ref="D20:F23" totalsRowShown="0">
  <autoFilter ref="D20:F23" xr:uid="{78B1AE15-E5D5-4BF5-901B-CE39B5D78041}"/>
  <tableColumns count="3">
    <tableColumn id="1" xr3:uid="{95881C03-A64A-4D5C-8B96-9CF9F1879436}" name="Option Type"/>
    <tableColumn id="2" xr3:uid="{045122F2-6578-410E-809A-ED8900436B70}" name="Gain/Loss"/>
    <tableColumn id="3" xr3:uid="{480786FF-EE92-48BC-B96C-4AC799A93094}" name="$ Amount"/>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4:D80"/>
  <sheetViews>
    <sheetView workbookViewId="0">
      <selection activeCell="E16" sqref="E16"/>
    </sheetView>
  </sheetViews>
  <sheetFormatPr defaultRowHeight="12.75" x14ac:dyDescent="0.2"/>
  <cols>
    <col min="2" max="2" width="10.140625" bestFit="1" customWidth="1"/>
    <col min="3" max="3" width="18.140625" customWidth="1"/>
    <col min="4" max="4" width="14.85546875" customWidth="1"/>
  </cols>
  <sheetData>
    <row r="4" spans="2:4" x14ac:dyDescent="0.2">
      <c r="B4" s="8" t="s">
        <v>0</v>
      </c>
      <c r="C4" s="4" t="s">
        <v>60</v>
      </c>
    </row>
    <row r="6" spans="2:4" x14ac:dyDescent="0.2">
      <c r="B6" s="8" t="s">
        <v>1</v>
      </c>
      <c r="C6" s="8" t="s">
        <v>2</v>
      </c>
      <c r="D6" s="8" t="s">
        <v>3</v>
      </c>
    </row>
    <row r="7" spans="2:4" x14ac:dyDescent="0.2">
      <c r="B7" s="1">
        <v>43761</v>
      </c>
      <c r="C7" s="117">
        <v>0</v>
      </c>
      <c r="D7" s="117"/>
    </row>
    <row r="8" spans="2:4" x14ac:dyDescent="0.2">
      <c r="B8" s="1">
        <v>43769</v>
      </c>
      <c r="C8" s="117">
        <v>-86754.737951815812</v>
      </c>
      <c r="D8" s="117">
        <f>C8-C7</f>
        <v>-86754.737951815812</v>
      </c>
    </row>
    <row r="9" spans="2:4" x14ac:dyDescent="0.2">
      <c r="B9" s="1">
        <v>43776</v>
      </c>
      <c r="C9" s="181">
        <v>31050.206921156961</v>
      </c>
      <c r="D9" s="117">
        <f t="shared" ref="D9:D14" si="0">C9-C8</f>
        <v>117804.94487297277</v>
      </c>
    </row>
    <row r="10" spans="2:4" x14ac:dyDescent="0.2">
      <c r="B10" s="1">
        <v>43784</v>
      </c>
      <c r="C10" s="117">
        <v>225769.31700024643</v>
      </c>
      <c r="D10" s="117">
        <f t="shared" si="0"/>
        <v>194719.11007908947</v>
      </c>
    </row>
    <row r="11" spans="2:4" x14ac:dyDescent="0.2">
      <c r="B11" s="1">
        <v>43791</v>
      </c>
      <c r="C11" s="117">
        <v>-397632.65907401009</v>
      </c>
      <c r="D11" s="117">
        <f t="shared" si="0"/>
        <v>-623401.97607425647</v>
      </c>
    </row>
    <row r="12" spans="2:4" x14ac:dyDescent="0.2">
      <c r="B12" s="1">
        <f>B11+7</f>
        <v>43798</v>
      </c>
      <c r="C12" s="117">
        <v>-737970.92059644812</v>
      </c>
      <c r="D12" s="117">
        <f t="shared" si="0"/>
        <v>-340338.26152243803</v>
      </c>
    </row>
    <row r="13" spans="2:4" x14ac:dyDescent="0.2">
      <c r="B13" s="1">
        <f>B12+7</f>
        <v>43805</v>
      </c>
      <c r="C13" s="117">
        <v>-729413.29471219401</v>
      </c>
      <c r="D13" s="117">
        <f t="shared" si="0"/>
        <v>8557.6258842541138</v>
      </c>
    </row>
    <row r="14" spans="2:4" x14ac:dyDescent="0.2">
      <c r="B14" s="1">
        <v>43811</v>
      </c>
      <c r="C14" s="117">
        <v>-698321.52099010674</v>
      </c>
      <c r="D14" s="117">
        <f t="shared" si="0"/>
        <v>31091.773722087266</v>
      </c>
    </row>
    <row r="15" spans="2:4" x14ac:dyDescent="0.2">
      <c r="B15" s="1"/>
      <c r="C15" s="117"/>
      <c r="D15" s="117"/>
    </row>
    <row r="16" spans="2:4" x14ac:dyDescent="0.2">
      <c r="B16" s="1"/>
      <c r="C16" s="117"/>
      <c r="D16" s="117"/>
    </row>
    <row r="17" spans="2:4" x14ac:dyDescent="0.2">
      <c r="B17" s="1"/>
      <c r="C17" s="117"/>
      <c r="D17" s="117"/>
    </row>
    <row r="18" spans="2:4" x14ac:dyDescent="0.2">
      <c r="B18" s="1"/>
      <c r="C18" s="117"/>
      <c r="D18" s="117"/>
    </row>
    <row r="19" spans="2:4" x14ac:dyDescent="0.2">
      <c r="B19" s="1"/>
      <c r="C19" s="117"/>
      <c r="D19" s="117"/>
    </row>
    <row r="20" spans="2:4" x14ac:dyDescent="0.2">
      <c r="B20" s="1"/>
      <c r="C20" s="117"/>
      <c r="D20" s="117"/>
    </row>
    <row r="21" spans="2:4" x14ac:dyDescent="0.2">
      <c r="B21" s="1"/>
      <c r="C21" s="117"/>
      <c r="D21" s="117"/>
    </row>
    <row r="22" spans="2:4" x14ac:dyDescent="0.2">
      <c r="B22" s="1"/>
      <c r="C22" s="117"/>
      <c r="D22" s="117"/>
    </row>
    <row r="23" spans="2:4" x14ac:dyDescent="0.2">
      <c r="B23" s="1"/>
      <c r="C23" s="117"/>
      <c r="D23" s="117"/>
    </row>
    <row r="24" spans="2:4" x14ac:dyDescent="0.2">
      <c r="B24" s="1"/>
      <c r="C24" s="117"/>
      <c r="D24" s="117"/>
    </row>
    <row r="25" spans="2:4" x14ac:dyDescent="0.2">
      <c r="B25" s="1"/>
      <c r="C25" s="117"/>
      <c r="D25" s="117"/>
    </row>
    <row r="26" spans="2:4" x14ac:dyDescent="0.2">
      <c r="B26" s="1"/>
      <c r="C26" s="117"/>
      <c r="D26" s="117"/>
    </row>
    <row r="27" spans="2:4" x14ac:dyDescent="0.2">
      <c r="B27" s="1"/>
      <c r="C27" s="117"/>
      <c r="D27" s="117"/>
    </row>
    <row r="28" spans="2:4" x14ac:dyDescent="0.2">
      <c r="B28" s="1"/>
      <c r="C28" s="117"/>
      <c r="D28" s="117"/>
    </row>
    <row r="29" spans="2:4" x14ac:dyDescent="0.2">
      <c r="B29" s="1"/>
      <c r="C29" s="117"/>
      <c r="D29" s="117"/>
    </row>
    <row r="30" spans="2:4" x14ac:dyDescent="0.2">
      <c r="B30" s="1"/>
      <c r="C30" s="117"/>
      <c r="D30" s="117"/>
    </row>
    <row r="31" spans="2:4" x14ac:dyDescent="0.2">
      <c r="B31" s="1"/>
      <c r="C31" s="117"/>
      <c r="D31" s="117"/>
    </row>
    <row r="32" spans="2:4" x14ac:dyDescent="0.2">
      <c r="B32" s="1"/>
      <c r="C32" s="117"/>
      <c r="D32" s="117"/>
    </row>
    <row r="33" spans="2:4" x14ac:dyDescent="0.2">
      <c r="B33" s="1"/>
      <c r="C33" s="117"/>
      <c r="D33" s="117"/>
    </row>
    <row r="34" spans="2:4" x14ac:dyDescent="0.2">
      <c r="B34" s="1"/>
      <c r="C34" s="117"/>
      <c r="D34" s="117"/>
    </row>
    <row r="35" spans="2:4" x14ac:dyDescent="0.2">
      <c r="B35" s="1"/>
      <c r="C35" s="117"/>
      <c r="D35" s="117"/>
    </row>
    <row r="36" spans="2:4" x14ac:dyDescent="0.2">
      <c r="B36" s="1"/>
      <c r="C36" s="117"/>
      <c r="D36" s="117"/>
    </row>
    <row r="37" spans="2:4" x14ac:dyDescent="0.2">
      <c r="B37" s="1"/>
      <c r="C37" s="117"/>
      <c r="D37" s="117"/>
    </row>
    <row r="38" spans="2:4" x14ac:dyDescent="0.2">
      <c r="B38" s="1"/>
      <c r="C38" s="117"/>
      <c r="D38" s="117"/>
    </row>
    <row r="39" spans="2:4" x14ac:dyDescent="0.2">
      <c r="B39" s="1"/>
      <c r="C39" s="117"/>
      <c r="D39" s="117"/>
    </row>
    <row r="40" spans="2:4" x14ac:dyDescent="0.2">
      <c r="B40" s="1"/>
      <c r="C40" s="117"/>
      <c r="D40" s="117"/>
    </row>
    <row r="41" spans="2:4" x14ac:dyDescent="0.2">
      <c r="B41" s="1"/>
      <c r="C41" s="117"/>
      <c r="D41" s="117"/>
    </row>
    <row r="42" spans="2:4" x14ac:dyDescent="0.2">
      <c r="B42" s="1"/>
      <c r="C42" s="117"/>
      <c r="D42" s="117"/>
    </row>
    <row r="43" spans="2:4" x14ac:dyDescent="0.2">
      <c r="B43" s="1"/>
      <c r="C43" s="117"/>
      <c r="D43" s="117"/>
    </row>
    <row r="44" spans="2:4" x14ac:dyDescent="0.2">
      <c r="B44" s="1"/>
      <c r="C44" s="117"/>
      <c r="D44" s="117"/>
    </row>
    <row r="45" spans="2:4" x14ac:dyDescent="0.2">
      <c r="B45" s="1"/>
      <c r="C45" s="117"/>
      <c r="D45" s="117"/>
    </row>
    <row r="46" spans="2:4" x14ac:dyDescent="0.2">
      <c r="B46" s="1"/>
      <c r="C46" s="117"/>
      <c r="D46" s="117"/>
    </row>
    <row r="47" spans="2:4" x14ac:dyDescent="0.2">
      <c r="B47" s="1"/>
      <c r="C47" s="117"/>
      <c r="D47" s="117"/>
    </row>
    <row r="48" spans="2:4" x14ac:dyDescent="0.2">
      <c r="B48" s="1"/>
      <c r="C48" s="117"/>
      <c r="D48" s="117"/>
    </row>
    <row r="49" spans="2:4" x14ac:dyDescent="0.2">
      <c r="B49" s="1"/>
      <c r="C49" s="117"/>
      <c r="D49" s="117"/>
    </row>
    <row r="50" spans="2:4" x14ac:dyDescent="0.2">
      <c r="B50" s="1"/>
      <c r="C50" s="117"/>
      <c r="D50" s="117"/>
    </row>
    <row r="51" spans="2:4" x14ac:dyDescent="0.2">
      <c r="B51" s="1"/>
      <c r="C51" s="117"/>
      <c r="D51" s="117"/>
    </row>
    <row r="52" spans="2:4" x14ac:dyDescent="0.2">
      <c r="B52" s="1"/>
      <c r="C52" s="117"/>
      <c r="D52" s="117"/>
    </row>
    <row r="53" spans="2:4" x14ac:dyDescent="0.2">
      <c r="B53" s="1"/>
      <c r="C53" s="117"/>
      <c r="D53" s="117"/>
    </row>
    <row r="54" spans="2:4" x14ac:dyDescent="0.2">
      <c r="B54" s="1"/>
      <c r="C54" s="117"/>
      <c r="D54" s="117"/>
    </row>
    <row r="55" spans="2:4" x14ac:dyDescent="0.2">
      <c r="B55" s="1"/>
      <c r="C55" s="117"/>
      <c r="D55" s="117"/>
    </row>
    <row r="56" spans="2:4" x14ac:dyDescent="0.2">
      <c r="B56" s="1"/>
      <c r="C56" s="117"/>
      <c r="D56" s="117"/>
    </row>
    <row r="57" spans="2:4" x14ac:dyDescent="0.2">
      <c r="B57" s="1"/>
      <c r="C57" s="117"/>
      <c r="D57" s="117"/>
    </row>
    <row r="58" spans="2:4" x14ac:dyDescent="0.2">
      <c r="B58" s="1"/>
      <c r="C58" s="117"/>
      <c r="D58" s="117"/>
    </row>
    <row r="59" spans="2:4" x14ac:dyDescent="0.2">
      <c r="B59" s="1"/>
      <c r="C59" s="117"/>
      <c r="D59" s="117"/>
    </row>
    <row r="60" spans="2:4" x14ac:dyDescent="0.2">
      <c r="B60" s="1"/>
      <c r="C60" s="117"/>
      <c r="D60" s="117"/>
    </row>
    <row r="61" spans="2:4" x14ac:dyDescent="0.2">
      <c r="B61" s="1"/>
      <c r="C61" s="117"/>
      <c r="D61" s="117"/>
    </row>
    <row r="62" spans="2:4" x14ac:dyDescent="0.2">
      <c r="B62" s="1"/>
      <c r="C62" s="117"/>
      <c r="D62" s="117"/>
    </row>
    <row r="63" spans="2:4" x14ac:dyDescent="0.2">
      <c r="B63" s="1"/>
      <c r="C63" s="117"/>
      <c r="D63" s="117"/>
    </row>
    <row r="64" spans="2:4" x14ac:dyDescent="0.2">
      <c r="B64" s="1"/>
      <c r="C64" s="117"/>
      <c r="D64" s="117"/>
    </row>
    <row r="65" spans="2:4" x14ac:dyDescent="0.2">
      <c r="B65" s="1"/>
      <c r="C65" s="117"/>
      <c r="D65" s="117"/>
    </row>
    <row r="66" spans="2:4" x14ac:dyDescent="0.2">
      <c r="B66" s="1"/>
      <c r="C66" s="117"/>
      <c r="D66" s="117"/>
    </row>
    <row r="67" spans="2:4" x14ac:dyDescent="0.2">
      <c r="B67" s="1"/>
      <c r="C67" s="117"/>
      <c r="D67" s="117"/>
    </row>
    <row r="68" spans="2:4" x14ac:dyDescent="0.2">
      <c r="B68" s="1"/>
      <c r="C68" s="117"/>
      <c r="D68" s="117"/>
    </row>
    <row r="69" spans="2:4" x14ac:dyDescent="0.2">
      <c r="B69" s="1"/>
      <c r="C69" s="117"/>
      <c r="D69" s="117"/>
    </row>
    <row r="70" spans="2:4" x14ac:dyDescent="0.2">
      <c r="B70" s="1"/>
      <c r="C70" s="117"/>
      <c r="D70" s="117"/>
    </row>
    <row r="71" spans="2:4" x14ac:dyDescent="0.2">
      <c r="B71" s="1"/>
      <c r="C71" s="117"/>
      <c r="D71" s="117"/>
    </row>
    <row r="72" spans="2:4" x14ac:dyDescent="0.2">
      <c r="B72" s="1"/>
      <c r="C72" s="117"/>
      <c r="D72" s="117"/>
    </row>
    <row r="73" spans="2:4" x14ac:dyDescent="0.2">
      <c r="B73" s="1"/>
      <c r="C73" s="117"/>
      <c r="D73" s="117"/>
    </row>
    <row r="74" spans="2:4" x14ac:dyDescent="0.2">
      <c r="B74" s="1"/>
      <c r="C74" s="117"/>
      <c r="D74" s="117"/>
    </row>
    <row r="75" spans="2:4" x14ac:dyDescent="0.2">
      <c r="B75" s="1"/>
      <c r="C75" s="117"/>
      <c r="D75" s="117"/>
    </row>
    <row r="76" spans="2:4" x14ac:dyDescent="0.2">
      <c r="B76" s="1"/>
      <c r="C76" s="117"/>
      <c r="D76" s="117"/>
    </row>
    <row r="77" spans="2:4" x14ac:dyDescent="0.2">
      <c r="B77" s="1"/>
      <c r="C77" s="117"/>
      <c r="D77" s="117"/>
    </row>
    <row r="78" spans="2:4" x14ac:dyDescent="0.2">
      <c r="B78" s="1"/>
      <c r="C78" s="117"/>
      <c r="D78" s="117"/>
    </row>
    <row r="79" spans="2:4" x14ac:dyDescent="0.2">
      <c r="B79" s="1"/>
      <c r="C79" s="117"/>
      <c r="D79" s="117"/>
    </row>
    <row r="80" spans="2:4" x14ac:dyDescent="0.2">
      <c r="B80" s="1"/>
    </row>
  </sheetData>
  <phoneticPr fontId="0"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9"/>
  <dimension ref="A1:E14"/>
  <sheetViews>
    <sheetView workbookViewId="0">
      <selection activeCell="E10" sqref="E10"/>
    </sheetView>
  </sheetViews>
  <sheetFormatPr defaultRowHeight="12.75" x14ac:dyDescent="0.2"/>
  <cols>
    <col min="2" max="2" width="21.7109375" bestFit="1" customWidth="1"/>
    <col min="5" max="5" width="13" customWidth="1"/>
  </cols>
  <sheetData>
    <row r="1" spans="1:5" x14ac:dyDescent="0.2">
      <c r="A1" t="s">
        <v>50</v>
      </c>
      <c r="B1" s="148">
        <f xml:space="preserve"> B4 * EXP(-B2*B9) * NORMSDIST(-1 * B11) - B3*NORMSDIST(-1 * B12)</f>
        <v>19.880029777736695</v>
      </c>
      <c r="D1" t="s">
        <v>50</v>
      </c>
      <c r="E1">
        <f>E3*NORMSDIST(E12) - E4*EXP(-E2*E9)*NORMSDIST(E11)</f>
        <v>96.249935735835948</v>
      </c>
    </row>
    <row r="2" spans="1:5" x14ac:dyDescent="0.2">
      <c r="A2" t="s">
        <v>58</v>
      </c>
      <c r="B2" s="151">
        <v>0.02</v>
      </c>
      <c r="D2" t="s">
        <v>58</v>
      </c>
      <c r="E2" s="151">
        <v>0.02</v>
      </c>
    </row>
    <row r="3" spans="1:5" x14ac:dyDescent="0.2">
      <c r="A3" t="s">
        <v>51</v>
      </c>
      <c r="B3" s="149">
        <v>989.12</v>
      </c>
      <c r="D3" t="s">
        <v>51</v>
      </c>
      <c r="E3">
        <v>989.12</v>
      </c>
    </row>
    <row r="4" spans="1:5" x14ac:dyDescent="0.2">
      <c r="A4" t="s">
        <v>52</v>
      </c>
      <c r="B4" s="150">
        <v>955</v>
      </c>
      <c r="D4" t="s">
        <v>52</v>
      </c>
      <c r="E4">
        <v>925</v>
      </c>
    </row>
    <row r="6" spans="1:5" x14ac:dyDescent="0.2">
      <c r="A6" t="s">
        <v>53</v>
      </c>
      <c r="B6" s="1">
        <v>43910</v>
      </c>
      <c r="D6" t="s">
        <v>53</v>
      </c>
      <c r="E6" s="1">
        <v>43847</v>
      </c>
    </row>
    <row r="7" spans="1:5" x14ac:dyDescent="0.2">
      <c r="A7" t="s">
        <v>54</v>
      </c>
      <c r="B7" s="1">
        <v>43769</v>
      </c>
      <c r="D7" t="s">
        <v>54</v>
      </c>
      <c r="E7" s="1">
        <v>43769</v>
      </c>
    </row>
    <row r="9" spans="1:5" x14ac:dyDescent="0.2">
      <c r="A9" t="s">
        <v>55</v>
      </c>
      <c r="B9">
        <f>(B6-B7)/365</f>
        <v>0.38630136986301372</v>
      </c>
      <c r="D9" t="s">
        <v>55</v>
      </c>
      <c r="E9">
        <f>(E$6-E$7)/365</f>
        <v>0.21369863013698631</v>
      </c>
    </row>
    <row r="10" spans="1:5" x14ac:dyDescent="0.2">
      <c r="A10" t="s">
        <v>56</v>
      </c>
      <c r="B10" s="151">
        <v>0.15406707393178001</v>
      </c>
      <c r="D10" t="s">
        <v>62</v>
      </c>
      <c r="E10" s="151">
        <v>0.31681572796815999</v>
      </c>
    </row>
    <row r="11" spans="1:5" x14ac:dyDescent="0.2">
      <c r="A11" t="s">
        <v>57</v>
      </c>
      <c r="B11" s="152">
        <f>(LN(B3/B4) + (B2-B10^2/2)*B9)/(B10*SQRT(B9))</f>
        <v>0.39940035041214272</v>
      </c>
      <c r="D11" t="s">
        <v>14</v>
      </c>
      <c r="E11">
        <f>(LN(E3/E4) + (E2-E10^2/2)*E9)/(E10*SQRT(E9))</f>
        <v>0.41357904135183599</v>
      </c>
    </row>
    <row r="12" spans="1:5" x14ac:dyDescent="0.2">
      <c r="A12" t="s">
        <v>15</v>
      </c>
      <c r="B12">
        <f xml:space="preserve"> (LN(B3/B4) + (B2 + B10^2 /2)*B9)/(B10*SQRT(B9))</f>
        <v>0.49515788555763235</v>
      </c>
      <c r="D12" t="s">
        <v>15</v>
      </c>
      <c r="E12">
        <f xml:space="preserve"> (LN(E3/E4) + (E2 + E10^2 /2)*E9)/(E10*SQRT(E9))</f>
        <v>0.56003518774594485</v>
      </c>
    </row>
    <row r="14" spans="1:5" x14ac:dyDescent="0.2">
      <c r="A14" t="s">
        <v>61</v>
      </c>
      <c r="D14" t="s">
        <v>63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C5:F26"/>
  <sheetViews>
    <sheetView topLeftCell="A3" zoomScale="103" workbookViewId="0">
      <selection activeCell="H40" sqref="H40"/>
    </sheetView>
  </sheetViews>
  <sheetFormatPr defaultRowHeight="12.75" x14ac:dyDescent="0.2"/>
  <cols>
    <col min="3" max="3" width="12" customWidth="1"/>
    <col min="4" max="4" width="32.85546875" customWidth="1"/>
    <col min="5" max="6" width="10.85546875" customWidth="1"/>
  </cols>
  <sheetData>
    <row r="5" spans="3:4" x14ac:dyDescent="0.2">
      <c r="C5" s="118">
        <v>43761</v>
      </c>
      <c r="D5" t="s">
        <v>36</v>
      </c>
    </row>
    <row r="6" spans="3:4" x14ac:dyDescent="0.2">
      <c r="D6" t="s">
        <v>37</v>
      </c>
    </row>
    <row r="7" spans="3:4" x14ac:dyDescent="0.2">
      <c r="C7" s="1">
        <v>43769</v>
      </c>
      <c r="D7" t="s">
        <v>65</v>
      </c>
    </row>
    <row r="8" spans="3:4" x14ac:dyDescent="0.2">
      <c r="D8" t="s">
        <v>66</v>
      </c>
    </row>
    <row r="9" spans="3:4" x14ac:dyDescent="0.2">
      <c r="D9" t="s">
        <v>64</v>
      </c>
    </row>
    <row r="10" spans="3:4" x14ac:dyDescent="0.2">
      <c r="C10" s="1">
        <v>43776</v>
      </c>
      <c r="D10" s="168" t="s">
        <v>67</v>
      </c>
    </row>
    <row r="11" spans="3:4" x14ac:dyDescent="0.2">
      <c r="C11" s="1">
        <v>43784</v>
      </c>
      <c r="D11" s="168" t="s">
        <v>68</v>
      </c>
    </row>
    <row r="12" spans="3:4" x14ac:dyDescent="0.2">
      <c r="C12" s="1">
        <v>43791</v>
      </c>
      <c r="D12" s="168" t="s">
        <v>70</v>
      </c>
    </row>
    <row r="13" spans="3:4" x14ac:dyDescent="0.2">
      <c r="D13" s="168" t="s">
        <v>69</v>
      </c>
    </row>
    <row r="14" spans="3:4" x14ac:dyDescent="0.2">
      <c r="D14" s="168" t="s">
        <v>71</v>
      </c>
    </row>
    <row r="15" spans="3:4" x14ac:dyDescent="0.2">
      <c r="C15" s="1">
        <v>43798</v>
      </c>
      <c r="D15" s="168" t="s">
        <v>72</v>
      </c>
    </row>
    <row r="16" spans="3:4" x14ac:dyDescent="0.2">
      <c r="C16" s="1"/>
      <c r="D16" s="168" t="s">
        <v>73</v>
      </c>
    </row>
    <row r="17" spans="3:6" x14ac:dyDescent="0.2">
      <c r="C17" s="1">
        <v>43804</v>
      </c>
      <c r="D17" s="168" t="s">
        <v>74</v>
      </c>
    </row>
    <row r="18" spans="3:6" x14ac:dyDescent="0.2">
      <c r="D18" s="168" t="s">
        <v>75</v>
      </c>
    </row>
    <row r="19" spans="3:6" x14ac:dyDescent="0.2">
      <c r="C19" s="1">
        <v>43811</v>
      </c>
      <c r="D19" s="168" t="s">
        <v>81</v>
      </c>
    </row>
    <row r="20" spans="3:6" x14ac:dyDescent="0.2">
      <c r="D20" t="s">
        <v>78</v>
      </c>
      <c r="E20" t="s">
        <v>79</v>
      </c>
      <c r="F20" t="s">
        <v>84</v>
      </c>
    </row>
    <row r="21" spans="3:6" x14ac:dyDescent="0.2">
      <c r="D21" t="s">
        <v>76</v>
      </c>
      <c r="E21" t="s">
        <v>80</v>
      </c>
      <c r="F21">
        <v>7050</v>
      </c>
    </row>
    <row r="22" spans="3:6" x14ac:dyDescent="0.2">
      <c r="D22" t="s">
        <v>77</v>
      </c>
      <c r="E22" t="s">
        <v>80</v>
      </c>
      <c r="F22">
        <v>22964</v>
      </c>
    </row>
    <row r="23" spans="3:6" x14ac:dyDescent="0.2">
      <c r="D23" t="s">
        <v>82</v>
      </c>
      <c r="E23" t="s">
        <v>83</v>
      </c>
      <c r="F23">
        <v>1550</v>
      </c>
    </row>
    <row r="25" spans="3:6" x14ac:dyDescent="0.2">
      <c r="D25" t="s">
        <v>86</v>
      </c>
    </row>
    <row r="26" spans="3:6" x14ac:dyDescent="0.2">
      <c r="D26" t="s">
        <v>85</v>
      </c>
    </row>
  </sheetData>
  <phoneticPr fontId="0" type="noConversion"/>
  <pageMargins left="0.75" right="0.75" top="1" bottom="1" header="0.5" footer="0.5"/>
  <headerFooter alignWithMargins="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U53"/>
  <sheetViews>
    <sheetView topLeftCell="K4" workbookViewId="0">
      <selection activeCell="N12" sqref="N12"/>
    </sheetView>
  </sheetViews>
  <sheetFormatPr defaultRowHeight="12.75" x14ac:dyDescent="0.2"/>
  <cols>
    <col min="2" max="2" width="15.140625" bestFit="1" customWidth="1"/>
    <col min="3" max="3" width="11.85546875" bestFit="1" customWidth="1"/>
    <col min="4" max="4" width="12.7109375" customWidth="1"/>
    <col min="5" max="5" width="14.42578125" customWidth="1"/>
    <col min="6" max="6" width="9" customWidth="1"/>
    <col min="7" max="7" width="14" customWidth="1"/>
    <col min="8" max="8" width="14.85546875" customWidth="1"/>
    <col min="9" max="9" width="20.28515625" customWidth="1"/>
    <col min="10" max="10" width="13.7109375" customWidth="1"/>
    <col min="11" max="13" width="8.28515625" customWidth="1"/>
    <col min="14" max="15" width="14" customWidth="1"/>
    <col min="16" max="16" width="13.42578125" bestFit="1" customWidth="1"/>
    <col min="17" max="17" width="5.5703125" customWidth="1"/>
    <col min="18" max="21" width="13" customWidth="1"/>
  </cols>
  <sheetData>
    <row r="1" spans="2:21" ht="13.5" thickBot="1" x14ac:dyDescent="0.25"/>
    <row r="2" spans="2:21" x14ac:dyDescent="0.2">
      <c r="B2" s="5" t="s">
        <v>1</v>
      </c>
      <c r="C2" s="11">
        <v>43761</v>
      </c>
      <c r="D2" s="1"/>
      <c r="E2" s="27" t="s">
        <v>30</v>
      </c>
      <c r="F2" t="s">
        <v>32</v>
      </c>
    </row>
    <row r="3" spans="2:21" x14ac:dyDescent="0.2">
      <c r="B3" s="6"/>
      <c r="C3" s="12"/>
      <c r="E3" s="29" t="s">
        <v>31</v>
      </c>
      <c r="F3" t="s">
        <v>33</v>
      </c>
    </row>
    <row r="4" spans="2:21" ht="13.5" thickBot="1" x14ac:dyDescent="0.25">
      <c r="B4" s="7" t="s">
        <v>19</v>
      </c>
      <c r="C4" s="13">
        <v>43761</v>
      </c>
    </row>
    <row r="5" spans="2:21" x14ac:dyDescent="0.2">
      <c r="C5" s="2"/>
    </row>
    <row r="6" spans="2:21" x14ac:dyDescent="0.2">
      <c r="B6" t="s">
        <v>13</v>
      </c>
      <c r="C6" s="2">
        <v>0.02</v>
      </c>
    </row>
    <row r="9" spans="2:21" ht="20.25" x14ac:dyDescent="0.3">
      <c r="B9" s="48" t="s">
        <v>20</v>
      </c>
      <c r="N9" s="48" t="s">
        <v>23</v>
      </c>
      <c r="O9" s="48"/>
    </row>
    <row r="10" spans="2:21" ht="13.5" thickBot="1" x14ac:dyDescent="0.25"/>
    <row r="11" spans="2:21" ht="18" x14ac:dyDescent="0.25">
      <c r="B11" s="43" t="s">
        <v>11</v>
      </c>
      <c r="C11" s="44" t="s">
        <v>10</v>
      </c>
      <c r="D11" s="45" t="s">
        <v>12</v>
      </c>
      <c r="I11" s="119" t="s">
        <v>2</v>
      </c>
      <c r="J11" s="121"/>
      <c r="N11" s="137" t="s">
        <v>4</v>
      </c>
    </row>
    <row r="12" spans="2:21" ht="18.75" thickBot="1" x14ac:dyDescent="0.3">
      <c r="B12" s="153">
        <v>299599.78000000003</v>
      </c>
      <c r="C12" s="9">
        <f>(C2-C4)/365</f>
        <v>0</v>
      </c>
      <c r="D12" s="10">
        <f>B12*EXP($C$6*C12)</f>
        <v>299599.78000000003</v>
      </c>
      <c r="G12" s="3"/>
      <c r="I12" s="120">
        <f>D12+D16+SUM(I20:I29)+D33+SUM(I37:I46)</f>
        <v>-3.3607576333452016E-3</v>
      </c>
      <c r="J12" s="122"/>
      <c r="N12" s="136">
        <f>D12+P16+SUM(P20:P29)+P33+SUM(P37:P53)</f>
        <v>132020.43000000005</v>
      </c>
    </row>
    <row r="13" spans="2:21" ht="13.5" thickBot="1" x14ac:dyDescent="0.25"/>
    <row r="14" spans="2:21" x14ac:dyDescent="0.2">
      <c r="B14" s="21" t="s">
        <v>38</v>
      </c>
      <c r="C14" s="15"/>
      <c r="D14" s="16"/>
      <c r="N14" s="49" t="s">
        <v>38</v>
      </c>
      <c r="O14" s="127"/>
      <c r="P14" s="54"/>
      <c r="R14" s="21" t="s">
        <v>38</v>
      </c>
      <c r="S14" s="15"/>
      <c r="T14" s="15"/>
      <c r="U14" s="16"/>
    </row>
    <row r="15" spans="2:21" x14ac:dyDescent="0.2">
      <c r="B15" s="40" t="s">
        <v>7</v>
      </c>
      <c r="C15" s="41" t="s">
        <v>5</v>
      </c>
      <c r="D15" s="42" t="s">
        <v>6</v>
      </c>
      <c r="G15" s="140">
        <f>AVERAGE(G21,H21)</f>
        <v>29.324999999999999</v>
      </c>
      <c r="N15" s="22" t="s">
        <v>7</v>
      </c>
      <c r="O15" s="23" t="s">
        <v>6</v>
      </c>
      <c r="P15" s="55" t="s">
        <v>46</v>
      </c>
      <c r="R15" s="17" t="s">
        <v>41</v>
      </c>
      <c r="S15" s="18"/>
      <c r="T15" s="18"/>
      <c r="U15" s="19" t="s">
        <v>28</v>
      </c>
    </row>
    <row r="16" spans="2:21" ht="13.5" thickBot="1" x14ac:dyDescent="0.25">
      <c r="B16" s="26">
        <v>0</v>
      </c>
      <c r="C16" s="146">
        <v>976.96</v>
      </c>
      <c r="D16" s="25">
        <f>B16*C16</f>
        <v>0</v>
      </c>
      <c r="N16" s="64">
        <v>0</v>
      </c>
      <c r="O16" s="129">
        <f>N16*C16</f>
        <v>0</v>
      </c>
      <c r="P16" s="56">
        <f>(B16-N16)*C16</f>
        <v>0</v>
      </c>
      <c r="R16" s="20">
        <f>N16+SUM(S20:S29)</f>
        <v>-10363.195637222923</v>
      </c>
      <c r="S16" s="30"/>
      <c r="T16" s="30"/>
      <c r="U16" s="31">
        <f>SUM(U20:U29)</f>
        <v>-379.99997199103325</v>
      </c>
    </row>
    <row r="17" spans="2:21" ht="13.5" thickBot="1" x14ac:dyDescent="0.25">
      <c r="P17" s="28"/>
    </row>
    <row r="18" spans="2:21" x14ac:dyDescent="0.2">
      <c r="B18" s="65" t="s">
        <v>39</v>
      </c>
      <c r="C18" s="32"/>
      <c r="D18" s="32"/>
      <c r="E18" s="32"/>
      <c r="F18" s="32"/>
      <c r="G18" s="32" t="s">
        <v>44</v>
      </c>
      <c r="H18" s="32" t="s">
        <v>45</v>
      </c>
      <c r="I18" s="52"/>
      <c r="J18" s="32" t="s">
        <v>42</v>
      </c>
      <c r="K18" s="32" t="s">
        <v>34</v>
      </c>
      <c r="L18" s="32"/>
      <c r="M18" s="33"/>
      <c r="N18" s="49" t="s">
        <v>39</v>
      </c>
      <c r="O18" s="127"/>
      <c r="P18" s="54"/>
      <c r="R18" s="14"/>
      <c r="S18" s="15"/>
      <c r="T18" s="15"/>
      <c r="U18" s="16"/>
    </row>
    <row r="19" spans="2:21" ht="13.5" thickBot="1" x14ac:dyDescent="0.25">
      <c r="B19" s="24" t="s">
        <v>7</v>
      </c>
      <c r="C19" s="34" t="s">
        <v>21</v>
      </c>
      <c r="D19" s="34" t="s">
        <v>8</v>
      </c>
      <c r="E19" s="34" t="s">
        <v>9</v>
      </c>
      <c r="F19" s="34" t="s">
        <v>18</v>
      </c>
      <c r="G19" s="53" t="s">
        <v>16</v>
      </c>
      <c r="H19" s="53" t="s">
        <v>16</v>
      </c>
      <c r="I19" s="34" t="s">
        <v>6</v>
      </c>
      <c r="J19" s="34" t="s">
        <v>43</v>
      </c>
      <c r="K19" s="34" t="s">
        <v>35</v>
      </c>
      <c r="L19" s="34" t="s">
        <v>14</v>
      </c>
      <c r="M19" s="35" t="s">
        <v>15</v>
      </c>
      <c r="N19" s="24" t="s">
        <v>7</v>
      </c>
      <c r="O19" s="34" t="s">
        <v>6</v>
      </c>
      <c r="P19" s="57" t="s">
        <v>46</v>
      </c>
      <c r="R19" s="20" t="s">
        <v>24</v>
      </c>
      <c r="S19" s="30" t="s">
        <v>25</v>
      </c>
      <c r="T19" s="30" t="s">
        <v>26</v>
      </c>
      <c r="U19" s="31" t="s">
        <v>27</v>
      </c>
    </row>
    <row r="20" spans="2:21" x14ac:dyDescent="0.2">
      <c r="B20" s="46">
        <v>-20000</v>
      </c>
      <c r="C20" s="145" t="s">
        <v>48</v>
      </c>
      <c r="D20" s="36">
        <v>975</v>
      </c>
      <c r="E20" s="37">
        <v>43810</v>
      </c>
      <c r="F20" s="144">
        <v>0.09</v>
      </c>
      <c r="G20" s="66">
        <v>9.98</v>
      </c>
      <c r="H20" s="66">
        <v>9.98</v>
      </c>
      <c r="I20" s="106">
        <f>B20*AVERAGE(H20,G20)</f>
        <v>-199600</v>
      </c>
      <c r="J20" s="106">
        <v>9.98</v>
      </c>
      <c r="K20" s="32">
        <f>(E20-$C$2)/365</f>
        <v>0.13424657534246576</v>
      </c>
      <c r="L20" s="32"/>
      <c r="M20" s="32"/>
      <c r="N20" s="62">
        <f>B20</f>
        <v>-20000</v>
      </c>
      <c r="O20" s="131">
        <f>N20*AVERAGE(G20:H20)</f>
        <v>-199600</v>
      </c>
      <c r="P20" s="58">
        <f>MIN((B20-N20)*G20,(B20-N20)*H20)</f>
        <v>0</v>
      </c>
      <c r="R20" s="141">
        <v>0.56850000000000001</v>
      </c>
      <c r="S20" s="15">
        <f>R20*N20</f>
        <v>-11370</v>
      </c>
      <c r="T20" s="142">
        <v>1.9E-2</v>
      </c>
      <c r="U20" s="143">
        <f>T20*N20</f>
        <v>-380</v>
      </c>
    </row>
    <row r="21" spans="2:21" x14ac:dyDescent="0.2">
      <c r="B21" s="47">
        <v>0</v>
      </c>
      <c r="C21" s="23" t="s">
        <v>47</v>
      </c>
      <c r="D21" s="38">
        <v>1000</v>
      </c>
      <c r="E21" s="39">
        <v>43819</v>
      </c>
      <c r="F21" s="147">
        <v>0.112433957</v>
      </c>
      <c r="G21" s="124">
        <v>28.95</v>
      </c>
      <c r="H21" s="124">
        <v>29.7</v>
      </c>
      <c r="I21" s="107">
        <f>B21*AVERAGE(H21,G21)</f>
        <v>0</v>
      </c>
      <c r="J21" s="123">
        <f>-$C$16*NORMSDIST(-M21)+D21*EXP(-$C$6*K21)*NORMSDIST(-L21)</f>
        <v>29.328190700684786</v>
      </c>
      <c r="K21" s="23">
        <f>(E21-$C$2)/365</f>
        <v>0.15890410958904111</v>
      </c>
      <c r="L21" s="23">
        <f>(LN($C$16/D21)+($C$6-F21*F21/2)*K21)/(F21*SQRT(K21))</f>
        <v>-0.47157970960641865</v>
      </c>
      <c r="M21" s="23">
        <f>L21+F21*SQRT(K21)</f>
        <v>-0.42676041056403985</v>
      </c>
      <c r="N21" s="63">
        <v>-2847</v>
      </c>
      <c r="O21" s="132">
        <f>N21*AVERAGE(G21:H21)</f>
        <v>-83488.274999999994</v>
      </c>
      <c r="P21" s="59">
        <f>MIN((B21-N21)*G21,(B21-N21)*H21)</f>
        <v>82420.649999999994</v>
      </c>
      <c r="R21" s="161">
        <f>-1*EXP(-$C$6*$K21)*_xlfn.NORM.S.DIST($L21,FALSE)/($F21*$C$33*SQRT($K21))</f>
        <v>-0.35363693810223984</v>
      </c>
      <c r="S21" s="162">
        <f>N21 * R21</f>
        <v>1006.8043627770768</v>
      </c>
      <c r="T21" s="18">
        <f xml:space="preserve"> EXP(-$C$6 *$K21) *$M21 * _xlfn.NORM.S.DIST($L21, FALSE) / ($F21*$F21 * $C$16 * $C$16 * $K21)</f>
        <v>-7.9202605013079042E-5</v>
      </c>
      <c r="U21" s="19">
        <f xml:space="preserve"> T21 *R21</f>
        <v>2.8008966726546382E-5</v>
      </c>
    </row>
    <row r="22" spans="2:21" x14ac:dyDescent="0.2">
      <c r="B22" s="47"/>
      <c r="C22" s="155"/>
      <c r="D22" s="23"/>
      <c r="E22" s="39"/>
      <c r="F22" s="157"/>
      <c r="G22" s="156"/>
      <c r="H22" s="50"/>
      <c r="I22" s="108"/>
      <c r="J22" s="108"/>
      <c r="K22" s="23"/>
      <c r="L22" s="23"/>
      <c r="M22" s="23"/>
      <c r="N22" s="63"/>
      <c r="O22" s="158"/>
      <c r="P22" s="59"/>
      <c r="R22" s="17"/>
      <c r="S22" s="18"/>
      <c r="T22" s="18"/>
      <c r="U22" s="19"/>
    </row>
    <row r="23" spans="2:21" x14ac:dyDescent="0.2">
      <c r="B23" s="47"/>
      <c r="C23" s="23"/>
      <c r="D23" s="23"/>
      <c r="E23" s="23"/>
      <c r="F23" s="60"/>
      <c r="G23" s="60"/>
      <c r="H23" s="50"/>
      <c r="I23" s="108"/>
      <c r="J23" s="108"/>
      <c r="K23" s="23"/>
      <c r="L23" s="23"/>
      <c r="M23" s="23"/>
      <c r="N23" s="63"/>
      <c r="O23" s="60"/>
      <c r="P23" s="59"/>
      <c r="R23" s="17"/>
      <c r="S23" s="18"/>
      <c r="T23" s="18"/>
      <c r="U23" s="19"/>
    </row>
    <row r="24" spans="2:21" x14ac:dyDescent="0.2">
      <c r="B24" s="47"/>
      <c r="C24" s="23"/>
      <c r="D24" s="23"/>
      <c r="E24" s="23"/>
      <c r="F24" s="60"/>
      <c r="G24" s="60"/>
      <c r="H24" s="50"/>
      <c r="I24" s="108"/>
      <c r="J24" s="108"/>
      <c r="K24" s="23"/>
      <c r="L24" s="23"/>
      <c r="M24" s="23"/>
      <c r="N24" s="63"/>
      <c r="O24" s="60"/>
      <c r="P24" s="59"/>
      <c r="R24" s="17"/>
      <c r="S24" s="18"/>
      <c r="T24" s="18"/>
      <c r="U24" s="19"/>
    </row>
    <row r="25" spans="2:21" x14ac:dyDescent="0.2">
      <c r="B25" s="47"/>
      <c r="C25" s="23"/>
      <c r="D25" s="23"/>
      <c r="E25" s="23"/>
      <c r="F25" s="60"/>
      <c r="G25" s="60"/>
      <c r="H25" s="50"/>
      <c r="I25" s="108"/>
      <c r="J25" s="108"/>
      <c r="K25" s="23"/>
      <c r="L25" s="23"/>
      <c r="M25" s="23"/>
      <c r="N25" s="63"/>
      <c r="O25" s="60"/>
      <c r="P25" s="59"/>
      <c r="R25" s="17"/>
      <c r="S25" s="18"/>
      <c r="T25" s="18"/>
      <c r="U25" s="19"/>
    </row>
    <row r="26" spans="2:21" x14ac:dyDescent="0.2">
      <c r="B26" s="47"/>
      <c r="C26" s="23"/>
      <c r="D26" s="23"/>
      <c r="E26" s="23"/>
      <c r="F26" s="60"/>
      <c r="G26" s="60"/>
      <c r="H26" s="50"/>
      <c r="I26" s="108"/>
      <c r="J26" s="108"/>
      <c r="K26" s="23"/>
      <c r="L26" s="23"/>
      <c r="M26" s="23"/>
      <c r="N26" s="63"/>
      <c r="O26" s="60"/>
      <c r="P26" s="59"/>
      <c r="R26" s="17"/>
      <c r="S26" s="18"/>
      <c r="T26" s="18"/>
      <c r="U26" s="19"/>
    </row>
    <row r="27" spans="2:21" x14ac:dyDescent="0.2">
      <c r="B27" s="47"/>
      <c r="C27" s="23"/>
      <c r="D27" s="23"/>
      <c r="E27" s="23"/>
      <c r="F27" s="60"/>
      <c r="G27" s="60"/>
      <c r="H27" s="50"/>
      <c r="I27" s="108"/>
      <c r="J27" s="108"/>
      <c r="K27" s="23"/>
      <c r="L27" s="23"/>
      <c r="M27" s="23"/>
      <c r="N27" s="63"/>
      <c r="O27" s="60"/>
      <c r="P27" s="59"/>
      <c r="R27" s="17"/>
      <c r="S27" s="18"/>
      <c r="T27" s="18"/>
      <c r="U27" s="19"/>
    </row>
    <row r="28" spans="2:21" x14ac:dyDescent="0.2">
      <c r="B28" s="47"/>
      <c r="C28" s="23"/>
      <c r="D28" s="23"/>
      <c r="E28" s="23"/>
      <c r="F28" s="60"/>
      <c r="G28" s="60"/>
      <c r="H28" s="50"/>
      <c r="I28" s="108"/>
      <c r="J28" s="108"/>
      <c r="K28" s="23"/>
      <c r="L28" s="23"/>
      <c r="M28" s="23"/>
      <c r="N28" s="63"/>
      <c r="O28" s="60"/>
      <c r="P28" s="59"/>
      <c r="R28" s="17"/>
      <c r="S28" s="18"/>
      <c r="T28" s="18"/>
      <c r="U28" s="19"/>
    </row>
    <row r="29" spans="2:21" ht="13.5" thickBot="1" x14ac:dyDescent="0.25">
      <c r="B29" s="26"/>
      <c r="C29" s="34"/>
      <c r="D29" s="34"/>
      <c r="E29" s="34"/>
      <c r="F29" s="61"/>
      <c r="G29" s="61"/>
      <c r="H29" s="51"/>
      <c r="I29" s="109"/>
      <c r="J29" s="109"/>
      <c r="K29" s="34"/>
      <c r="L29" s="34"/>
      <c r="M29" s="34"/>
      <c r="N29" s="64"/>
      <c r="O29" s="61"/>
      <c r="P29" s="56"/>
      <c r="R29" s="20"/>
      <c r="S29" s="30"/>
      <c r="T29" s="30"/>
      <c r="U29" s="31"/>
    </row>
    <row r="30" spans="2:21" ht="13.5" thickBot="1" x14ac:dyDescent="0.25">
      <c r="H30" s="3"/>
    </row>
    <row r="31" spans="2:21" x14ac:dyDescent="0.2">
      <c r="B31" s="74" t="s">
        <v>49</v>
      </c>
      <c r="C31" s="68"/>
      <c r="D31" s="69"/>
      <c r="H31" s="3"/>
      <c r="N31" s="113" t="s">
        <v>59</v>
      </c>
      <c r="O31" s="128"/>
      <c r="P31" s="69"/>
      <c r="R31" s="74" t="s">
        <v>59</v>
      </c>
      <c r="S31" s="68"/>
      <c r="T31" s="68"/>
      <c r="U31" s="69"/>
    </row>
    <row r="32" spans="2:21" x14ac:dyDescent="0.2">
      <c r="B32" s="75" t="s">
        <v>7</v>
      </c>
      <c r="C32" s="76" t="s">
        <v>5</v>
      </c>
      <c r="D32" s="77" t="s">
        <v>6</v>
      </c>
      <c r="H32" s="150">
        <v>100000</v>
      </c>
      <c r="N32" s="114" t="s">
        <v>7</v>
      </c>
      <c r="O32" s="89" t="s">
        <v>6</v>
      </c>
      <c r="P32" s="115" t="s">
        <v>46</v>
      </c>
      <c r="R32" s="70" t="s">
        <v>40</v>
      </c>
      <c r="S32" s="71"/>
      <c r="T32" s="71"/>
      <c r="U32" s="72" t="s">
        <v>28</v>
      </c>
    </row>
    <row r="33" spans="2:21" ht="13.5" thickBot="1" x14ac:dyDescent="0.25">
      <c r="B33" s="79">
        <v>0</v>
      </c>
      <c r="C33" s="154">
        <v>22.45</v>
      </c>
      <c r="D33" s="78">
        <f>B33*C33</f>
        <v>0</v>
      </c>
      <c r="F33" s="148">
        <f>0.99 * C33</f>
        <v>22.2255</v>
      </c>
      <c r="H33" s="152">
        <f>H32/J37</f>
        <v>205555.44531375929</v>
      </c>
      <c r="I33" s="140"/>
      <c r="N33" s="103">
        <v>10000</v>
      </c>
      <c r="O33" s="135">
        <f>N33*C33</f>
        <v>224500</v>
      </c>
      <c r="P33" s="104">
        <f>(B33-N33)*C33</f>
        <v>-224500</v>
      </c>
      <c r="R33" s="73">
        <f>SUM(S37:S53)</f>
        <v>25397.687448299759</v>
      </c>
      <c r="S33" s="80"/>
      <c r="T33" s="80"/>
      <c r="U33" s="81">
        <f>SUM(U37:U53)</f>
        <v>-1340.4961441683722</v>
      </c>
    </row>
    <row r="34" spans="2:21" ht="13.5" thickBot="1" x14ac:dyDescent="0.25">
      <c r="H34" s="3"/>
    </row>
    <row r="35" spans="2:21" x14ac:dyDescent="0.2">
      <c r="B35" s="67" t="s">
        <v>17</v>
      </c>
      <c r="C35" s="68"/>
      <c r="D35" s="68"/>
      <c r="E35" s="68"/>
      <c r="F35" s="68"/>
      <c r="G35" s="84" t="s">
        <v>44</v>
      </c>
      <c r="H35" s="130" t="s">
        <v>45</v>
      </c>
      <c r="I35" s="68"/>
      <c r="J35" s="84" t="s">
        <v>42</v>
      </c>
      <c r="K35" s="68" t="s">
        <v>34</v>
      </c>
      <c r="L35" s="68"/>
      <c r="M35" s="69"/>
      <c r="N35" s="67" t="s">
        <v>17</v>
      </c>
      <c r="O35" s="68"/>
      <c r="P35" s="69"/>
      <c r="R35" s="67"/>
      <c r="S35" s="68"/>
      <c r="T35" s="68"/>
      <c r="U35" s="69"/>
    </row>
    <row r="36" spans="2:21" ht="13.5" thickBot="1" x14ac:dyDescent="0.25">
      <c r="B36" s="73" t="s">
        <v>7</v>
      </c>
      <c r="C36" s="80" t="s">
        <v>21</v>
      </c>
      <c r="D36" s="80" t="s">
        <v>8</v>
      </c>
      <c r="E36" s="80" t="s">
        <v>9</v>
      </c>
      <c r="F36" s="80" t="s">
        <v>18</v>
      </c>
      <c r="G36" s="82" t="s">
        <v>16</v>
      </c>
      <c r="H36" s="82" t="s">
        <v>16</v>
      </c>
      <c r="I36" s="95" t="s">
        <v>6</v>
      </c>
      <c r="J36" s="95" t="s">
        <v>43</v>
      </c>
      <c r="K36" s="80" t="s">
        <v>35</v>
      </c>
      <c r="L36" s="80" t="s">
        <v>14</v>
      </c>
      <c r="M36" s="81" t="s">
        <v>15</v>
      </c>
      <c r="N36" s="73" t="s">
        <v>7</v>
      </c>
      <c r="O36" s="95" t="s">
        <v>6</v>
      </c>
      <c r="P36" s="116" t="s">
        <v>46</v>
      </c>
      <c r="R36" s="73" t="s">
        <v>24</v>
      </c>
      <c r="S36" s="80" t="s">
        <v>25</v>
      </c>
      <c r="T36" s="80" t="s">
        <v>26</v>
      </c>
      <c r="U36" s="81" t="s">
        <v>27</v>
      </c>
    </row>
    <row r="37" spans="2:21" ht="13.5" thickBot="1" x14ac:dyDescent="0.25">
      <c r="B37" s="83">
        <v>-205555</v>
      </c>
      <c r="C37" s="84" t="s">
        <v>29</v>
      </c>
      <c r="D37" s="138">
        <f>F33</f>
        <v>22.2255</v>
      </c>
      <c r="E37" s="85">
        <v>43810</v>
      </c>
      <c r="F37" s="86">
        <v>0.36</v>
      </c>
      <c r="G37" s="105">
        <f>J37</f>
        <v>0.48648674739489511</v>
      </c>
      <c r="H37" s="105">
        <f>J37</f>
        <v>0.48648674739489511</v>
      </c>
      <c r="I37" s="110">
        <f>B37*AVERAGE(H37,G37)</f>
        <v>-99999.783360757661</v>
      </c>
      <c r="J37" s="125">
        <f>EXP(-$C$6 *K37) *NORMSDIST(-L37)</f>
        <v>0.48648674739489511</v>
      </c>
      <c r="K37" s="84">
        <f>(E37-$C$2)/365</f>
        <v>0.13424657534246576</v>
      </c>
      <c r="L37" s="84">
        <f>(LN($C$33/D37)+($C$6-F37*F37/2)*K37)/(F37*SQRT(K37))</f>
        <v>3.0598959281463611E-2</v>
      </c>
      <c r="M37" s="87">
        <f>L37+F37*SQRT(K37)</f>
        <v>0.16250178777419746</v>
      </c>
      <c r="N37" s="99">
        <f>B37</f>
        <v>-205555</v>
      </c>
      <c r="O37" s="133">
        <f>N37*AVERAGE(G37:H37)</f>
        <v>-99999.783360757661</v>
      </c>
      <c r="P37" s="100">
        <f>MIN((B37-N37)*G37,(B37-N37)*H37)</f>
        <v>0</v>
      </c>
      <c r="R37" s="160">
        <f>-1*EXP(-$C$6*$K37)*_xlfn.NORM.S.DIST($L37,FALSE)/($F37*$C$33*SQRT($K37))</f>
        <v>-0.13429821700024944</v>
      </c>
      <c r="S37" s="68">
        <f>IF($N37 = 0, "N/A", $R37 *$N37)</f>
        <v>27605.669995486274</v>
      </c>
      <c r="T37" s="68">
        <f xml:space="preserve"> EXP(-$C$6 *$K37) *$M37 * _xlfn.NORM.S.DIST($L37, FALSE) / ($F37*$F37 * $C$33 * $C$33 * $K37)</f>
        <v>7.3698379096036239E-3</v>
      </c>
      <c r="U37" s="69">
        <f>T37*N37</f>
        <v>-1514.907031508573</v>
      </c>
    </row>
    <row r="38" spans="2:21" ht="13.5" thickBot="1" x14ac:dyDescent="0.25">
      <c r="B38" s="88">
        <v>0</v>
      </c>
      <c r="C38" s="89" t="s">
        <v>22</v>
      </c>
      <c r="D38" s="139">
        <v>22</v>
      </c>
      <c r="E38" s="90">
        <v>43819</v>
      </c>
      <c r="F38" s="91">
        <v>0.34025927449999999</v>
      </c>
      <c r="G38" s="126">
        <v>1.46</v>
      </c>
      <c r="H38" s="126">
        <v>1.5</v>
      </c>
      <c r="I38" s="110">
        <f>B38*AVERAGE(H38,G38)</f>
        <v>0</v>
      </c>
      <c r="J38" s="125">
        <f xml:space="preserve"> C33 * NORMSDIST(M38) - D38 * EXP(-C6*K38) * NORMSDIST(L38)</f>
        <v>1.4775399616525959</v>
      </c>
      <c r="K38" s="89">
        <f>(E38-$C$2)/365</f>
        <v>0.15890410958904111</v>
      </c>
      <c r="L38" s="89">
        <f>(LN($C$33/D38)+($C$6-F38*F38/2)*K38)/(F38*SQRT(K38))</f>
        <v>0.1048946317340166</v>
      </c>
      <c r="M38" s="92">
        <f>L38+F38*SQRT(K38)</f>
        <v>0.24053143206257183</v>
      </c>
      <c r="N38" s="101">
        <v>17000</v>
      </c>
      <c r="O38" s="134">
        <f>N38*AVERAGE(G38:H38)</f>
        <v>25160</v>
      </c>
      <c r="P38" s="102">
        <f>MIN((B38-N38)*G38,(B38-N38)*H38)</f>
        <v>-25500</v>
      </c>
      <c r="R38" s="160">
        <f t="shared" ref="R38" si="0">-1*EXP(-$C$6*$K38)*_xlfn.NORM.S.DIST($L38,FALSE)/($F38*$C$33*SQRT($K38))</f>
        <v>-0.12988132630508906</v>
      </c>
      <c r="S38" s="68">
        <f>IF($N38 = 0, "N/A", $R38 *$N38)</f>
        <v>-2207.9825471865138</v>
      </c>
      <c r="T38" s="71">
        <f xml:space="preserve"> EXP(-$C$6 *$K38) *$M38 * _xlfn.NORM.S.DIST($L38, FALSE) / ($F38*$F38 * $C$33 * $C$33 * $K38)</f>
        <v>1.025946396118829E-2</v>
      </c>
      <c r="U38" s="72">
        <f xml:space="preserve"> T38 * N38</f>
        <v>174.41088734020093</v>
      </c>
    </row>
    <row r="39" spans="2:21" ht="13.5" thickBot="1" x14ac:dyDescent="0.25">
      <c r="B39" s="88"/>
      <c r="C39" s="89"/>
      <c r="D39" s="89"/>
      <c r="E39" s="89"/>
      <c r="F39" s="93"/>
      <c r="G39" s="93"/>
      <c r="H39" s="94"/>
      <c r="I39" s="111"/>
      <c r="J39" s="111"/>
      <c r="K39" s="89"/>
      <c r="L39" s="89"/>
      <c r="M39" s="92"/>
      <c r="N39" s="101"/>
      <c r="O39" s="93"/>
      <c r="P39" s="102"/>
      <c r="R39" s="159"/>
      <c r="S39" s="68"/>
      <c r="T39" s="71"/>
      <c r="U39" s="72"/>
    </row>
    <row r="40" spans="2:21" ht="13.5" thickBot="1" x14ac:dyDescent="0.25">
      <c r="B40" s="88"/>
      <c r="C40" s="89"/>
      <c r="D40" s="89"/>
      <c r="E40" s="89"/>
      <c r="F40" s="93"/>
      <c r="G40" s="93"/>
      <c r="H40" s="94"/>
      <c r="I40" s="111"/>
      <c r="J40" s="111"/>
      <c r="K40" s="89"/>
      <c r="L40" s="89"/>
      <c r="M40" s="92"/>
      <c r="N40" s="101"/>
      <c r="O40" s="93"/>
      <c r="P40" s="102"/>
      <c r="R40" s="159"/>
      <c r="S40" s="68"/>
      <c r="T40" s="71"/>
      <c r="U40" s="72"/>
    </row>
    <row r="41" spans="2:21" ht="13.5" thickBot="1" x14ac:dyDescent="0.25">
      <c r="B41" s="88"/>
      <c r="C41" s="89"/>
      <c r="D41" s="89"/>
      <c r="E41" s="89"/>
      <c r="F41" s="93"/>
      <c r="G41" s="93"/>
      <c r="H41" s="94"/>
      <c r="I41" s="111"/>
      <c r="J41" s="111"/>
      <c r="K41" s="89"/>
      <c r="L41" s="89"/>
      <c r="M41" s="92"/>
      <c r="N41" s="101"/>
      <c r="O41" s="93"/>
      <c r="P41" s="102"/>
      <c r="R41" s="159"/>
      <c r="S41" s="68"/>
      <c r="T41" s="71"/>
      <c r="U41" s="72"/>
    </row>
    <row r="42" spans="2:21" ht="13.5" thickBot="1" x14ac:dyDescent="0.25">
      <c r="B42" s="88"/>
      <c r="C42" s="89"/>
      <c r="D42" s="89"/>
      <c r="E42" s="89"/>
      <c r="F42" s="93"/>
      <c r="G42" s="93"/>
      <c r="H42" s="94"/>
      <c r="I42" s="111"/>
      <c r="J42" s="111"/>
      <c r="K42" s="89"/>
      <c r="L42" s="89"/>
      <c r="M42" s="92"/>
      <c r="N42" s="101"/>
      <c r="O42" s="93"/>
      <c r="P42" s="102"/>
      <c r="R42" s="159"/>
      <c r="S42" s="68"/>
      <c r="T42" s="71"/>
      <c r="U42" s="72"/>
    </row>
    <row r="43" spans="2:21" ht="13.5" thickBot="1" x14ac:dyDescent="0.25">
      <c r="B43" s="88"/>
      <c r="C43" s="89"/>
      <c r="D43" s="89"/>
      <c r="E43" s="89"/>
      <c r="F43" s="93"/>
      <c r="G43" s="93"/>
      <c r="H43" s="94"/>
      <c r="I43" s="111"/>
      <c r="J43" s="111"/>
      <c r="K43" s="89"/>
      <c r="L43" s="89"/>
      <c r="M43" s="92"/>
      <c r="N43" s="101"/>
      <c r="O43" s="93"/>
      <c r="P43" s="102"/>
      <c r="R43" s="159"/>
      <c r="S43" s="68"/>
      <c r="T43" s="71"/>
      <c r="U43" s="72"/>
    </row>
    <row r="44" spans="2:21" ht="13.5" thickBot="1" x14ac:dyDescent="0.25">
      <c r="B44" s="88"/>
      <c r="C44" s="89"/>
      <c r="D44" s="89"/>
      <c r="E44" s="89"/>
      <c r="F44" s="93"/>
      <c r="G44" s="93"/>
      <c r="H44" s="94"/>
      <c r="I44" s="111"/>
      <c r="J44" s="111"/>
      <c r="K44" s="89"/>
      <c r="L44" s="89"/>
      <c r="M44" s="92"/>
      <c r="N44" s="101"/>
      <c r="O44" s="93"/>
      <c r="P44" s="102"/>
      <c r="R44" s="159"/>
      <c r="S44" s="68"/>
      <c r="T44" s="71"/>
      <c r="U44" s="72"/>
    </row>
    <row r="45" spans="2:21" ht="13.5" thickBot="1" x14ac:dyDescent="0.25">
      <c r="B45" s="88"/>
      <c r="C45" s="89"/>
      <c r="D45" s="89"/>
      <c r="E45" s="89"/>
      <c r="F45" s="93"/>
      <c r="G45" s="93"/>
      <c r="H45" s="94"/>
      <c r="I45" s="111"/>
      <c r="J45" s="111"/>
      <c r="K45" s="89"/>
      <c r="L45" s="89"/>
      <c r="M45" s="92"/>
      <c r="N45" s="101"/>
      <c r="O45" s="93"/>
      <c r="P45" s="102"/>
      <c r="R45" s="159"/>
      <c r="S45" s="68"/>
      <c r="T45" s="71"/>
      <c r="U45" s="72"/>
    </row>
    <row r="46" spans="2:21" ht="13.5" thickBot="1" x14ac:dyDescent="0.25">
      <c r="B46" s="88"/>
      <c r="C46" s="89"/>
      <c r="D46" s="89"/>
      <c r="E46" s="89"/>
      <c r="F46" s="93"/>
      <c r="G46" s="93"/>
      <c r="H46" s="94"/>
      <c r="I46" s="111"/>
      <c r="J46" s="111"/>
      <c r="K46" s="89"/>
      <c r="L46" s="89"/>
      <c r="M46" s="92"/>
      <c r="N46" s="101"/>
      <c r="O46" s="93"/>
      <c r="P46" s="102"/>
      <c r="R46" s="159"/>
      <c r="S46" s="68"/>
      <c r="T46" s="71"/>
      <c r="U46" s="72"/>
    </row>
    <row r="47" spans="2:21" ht="13.5" thickBot="1" x14ac:dyDescent="0.25">
      <c r="B47" s="88"/>
      <c r="C47" s="89"/>
      <c r="D47" s="89"/>
      <c r="E47" s="89"/>
      <c r="F47" s="93"/>
      <c r="G47" s="93"/>
      <c r="H47" s="94"/>
      <c r="I47" s="111"/>
      <c r="J47" s="111"/>
      <c r="K47" s="89"/>
      <c r="L47" s="89"/>
      <c r="M47" s="92"/>
      <c r="N47" s="101"/>
      <c r="O47" s="93"/>
      <c r="P47" s="102"/>
      <c r="R47" s="159"/>
      <c r="S47" s="68"/>
      <c r="T47" s="71"/>
      <c r="U47" s="72"/>
    </row>
    <row r="48" spans="2:21" ht="13.5" thickBot="1" x14ac:dyDescent="0.25">
      <c r="B48" s="88"/>
      <c r="C48" s="89"/>
      <c r="D48" s="89"/>
      <c r="E48" s="89"/>
      <c r="F48" s="93"/>
      <c r="G48" s="93"/>
      <c r="H48" s="94"/>
      <c r="I48" s="111"/>
      <c r="J48" s="111"/>
      <c r="K48" s="89"/>
      <c r="L48" s="89"/>
      <c r="M48" s="92"/>
      <c r="N48" s="101"/>
      <c r="O48" s="93"/>
      <c r="P48" s="102"/>
      <c r="R48" s="159"/>
      <c r="S48" s="68"/>
      <c r="T48" s="71"/>
      <c r="U48" s="72"/>
    </row>
    <row r="49" spans="2:21" ht="13.5" thickBot="1" x14ac:dyDescent="0.25">
      <c r="B49" s="88"/>
      <c r="C49" s="89"/>
      <c r="D49" s="89"/>
      <c r="E49" s="89"/>
      <c r="F49" s="93"/>
      <c r="G49" s="93"/>
      <c r="H49" s="94"/>
      <c r="I49" s="111"/>
      <c r="J49" s="111"/>
      <c r="K49" s="89"/>
      <c r="L49" s="89"/>
      <c r="M49" s="92"/>
      <c r="N49" s="101"/>
      <c r="O49" s="93"/>
      <c r="P49" s="102"/>
      <c r="R49" s="159"/>
      <c r="S49" s="68"/>
      <c r="T49" s="71"/>
      <c r="U49" s="72"/>
    </row>
    <row r="50" spans="2:21" ht="13.5" thickBot="1" x14ac:dyDescent="0.25">
      <c r="B50" s="88"/>
      <c r="C50" s="89"/>
      <c r="D50" s="89"/>
      <c r="E50" s="89"/>
      <c r="F50" s="93"/>
      <c r="G50" s="93"/>
      <c r="H50" s="94"/>
      <c r="I50" s="111"/>
      <c r="J50" s="111"/>
      <c r="K50" s="89"/>
      <c r="L50" s="89"/>
      <c r="M50" s="92"/>
      <c r="N50" s="101"/>
      <c r="O50" s="93"/>
      <c r="P50" s="102"/>
      <c r="R50" s="159"/>
      <c r="S50" s="68"/>
      <c r="T50" s="71"/>
      <c r="U50" s="72"/>
    </row>
    <row r="51" spans="2:21" ht="13.5" thickBot="1" x14ac:dyDescent="0.25">
      <c r="B51" s="88"/>
      <c r="C51" s="89"/>
      <c r="D51" s="89"/>
      <c r="E51" s="89"/>
      <c r="F51" s="93"/>
      <c r="G51" s="93"/>
      <c r="H51" s="94"/>
      <c r="I51" s="111"/>
      <c r="J51" s="111"/>
      <c r="K51" s="89"/>
      <c r="L51" s="89"/>
      <c r="M51" s="92"/>
      <c r="N51" s="101"/>
      <c r="O51" s="93"/>
      <c r="P51" s="102"/>
      <c r="R51" s="159"/>
      <c r="S51" s="68"/>
      <c r="T51" s="71"/>
      <c r="U51" s="72"/>
    </row>
    <row r="52" spans="2:21" ht="13.5" thickBot="1" x14ac:dyDescent="0.25">
      <c r="B52" s="88"/>
      <c r="C52" s="89"/>
      <c r="D52" s="89"/>
      <c r="E52" s="89"/>
      <c r="F52" s="93"/>
      <c r="G52" s="93"/>
      <c r="H52" s="94"/>
      <c r="I52" s="111"/>
      <c r="J52" s="111"/>
      <c r="K52" s="89"/>
      <c r="L52" s="89"/>
      <c r="M52" s="92"/>
      <c r="N52" s="101"/>
      <c r="O52" s="93"/>
      <c r="P52" s="102"/>
      <c r="R52" s="159"/>
      <c r="S52" s="68"/>
      <c r="T52" s="71"/>
      <c r="U52" s="72"/>
    </row>
    <row r="53" spans="2:21" ht="13.5" thickBot="1" x14ac:dyDescent="0.25">
      <c r="B53" s="79"/>
      <c r="C53" s="95"/>
      <c r="D53" s="95"/>
      <c r="E53" s="95"/>
      <c r="F53" s="96"/>
      <c r="G53" s="96"/>
      <c r="H53" s="97"/>
      <c r="I53" s="112"/>
      <c r="J53" s="112"/>
      <c r="K53" s="95"/>
      <c r="L53" s="95"/>
      <c r="M53" s="98"/>
      <c r="N53" s="103"/>
      <c r="O53" s="96"/>
      <c r="P53" s="104"/>
      <c r="R53" s="159"/>
      <c r="S53" s="68"/>
      <c r="T53" s="80"/>
      <c r="U53" s="81"/>
    </row>
  </sheetData>
  <phoneticPr fontId="0" type="noConversion"/>
  <pageMargins left="0.75" right="0.75" top="1" bottom="1" header="0.5" footer="0.5"/>
  <pageSetup paperSize="9"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AEB03-174D-4937-BFDB-6F840C980B03}">
  <sheetPr codeName="Sheet4"/>
  <dimension ref="B1:U53"/>
  <sheetViews>
    <sheetView tabSelected="1" topLeftCell="A4" workbookViewId="0">
      <selection activeCell="L11" sqref="L11"/>
    </sheetView>
  </sheetViews>
  <sheetFormatPr defaultRowHeight="12.75" x14ac:dyDescent="0.2"/>
  <cols>
    <col min="2" max="2" width="13.28515625" customWidth="1"/>
    <col min="3" max="3" width="14.140625" customWidth="1"/>
    <col min="4" max="4" width="14.28515625" customWidth="1"/>
    <col min="5" max="5" width="15.5703125" customWidth="1"/>
    <col min="9" max="9" width="22.7109375" customWidth="1"/>
    <col min="14" max="14" width="14" customWidth="1"/>
    <col min="15" max="15" width="18" customWidth="1"/>
    <col min="16" max="16" width="11.85546875" customWidth="1"/>
    <col min="20" max="20" width="12.42578125" bestFit="1" customWidth="1"/>
  </cols>
  <sheetData>
    <row r="1" spans="2:21" ht="13.5" thickBot="1" x14ac:dyDescent="0.25"/>
    <row r="2" spans="2:21" x14ac:dyDescent="0.2">
      <c r="B2" s="5" t="s">
        <v>1</v>
      </c>
      <c r="C2" s="11">
        <v>43769</v>
      </c>
      <c r="D2" s="1"/>
      <c r="E2" s="27" t="s">
        <v>30</v>
      </c>
      <c r="F2" t="s">
        <v>32</v>
      </c>
    </row>
    <row r="3" spans="2:21" x14ac:dyDescent="0.2">
      <c r="B3" s="6"/>
      <c r="C3" s="12"/>
      <c r="E3" s="29" t="s">
        <v>31</v>
      </c>
      <c r="F3" t="s">
        <v>33</v>
      </c>
    </row>
    <row r="4" spans="2:21" ht="13.5" thickBot="1" x14ac:dyDescent="0.25">
      <c r="B4" s="7" t="s">
        <v>19</v>
      </c>
      <c r="C4" s="13">
        <v>43761</v>
      </c>
    </row>
    <row r="5" spans="2:21" x14ac:dyDescent="0.2">
      <c r="C5" s="2"/>
    </row>
    <row r="6" spans="2:21" x14ac:dyDescent="0.2">
      <c r="B6" t="s">
        <v>13</v>
      </c>
      <c r="C6" s="2">
        <v>0.02</v>
      </c>
    </row>
    <row r="9" spans="2:21" ht="20.25" x14ac:dyDescent="0.3">
      <c r="B9" s="48" t="s">
        <v>20</v>
      </c>
      <c r="N9" s="48" t="s">
        <v>23</v>
      </c>
      <c r="O9" s="48"/>
    </row>
    <row r="10" spans="2:21" ht="13.5" thickBot="1" x14ac:dyDescent="0.25"/>
    <row r="11" spans="2:21" ht="18" x14ac:dyDescent="0.25">
      <c r="B11" s="43" t="s">
        <v>11</v>
      </c>
      <c r="C11" s="44" t="s">
        <v>10</v>
      </c>
      <c r="D11" s="45" t="s">
        <v>12</v>
      </c>
      <c r="I11" s="119" t="s">
        <v>2</v>
      </c>
      <c r="J11" s="121"/>
      <c r="N11" s="137" t="s">
        <v>4</v>
      </c>
    </row>
    <row r="12" spans="2:21" ht="18.75" thickBot="1" x14ac:dyDescent="0.3">
      <c r="B12" s="153">
        <v>132020.43000000005</v>
      </c>
      <c r="C12" s="9">
        <f>(C2-C4)/365</f>
        <v>2.1917808219178082E-2</v>
      </c>
      <c r="D12" s="10">
        <f>B12*EXP($C$6*C12)</f>
        <v>132078.31465543597</v>
      </c>
      <c r="G12" s="3"/>
      <c r="I12" s="120">
        <f>D12+D16+SUM(I20:I29)+D33+SUM(I37:I46)</f>
        <v>-86754.737951815812</v>
      </c>
      <c r="J12" s="122"/>
      <c r="N12" s="136">
        <f>D12+P16+SUM(P20:P29)+P33+SUM(P37:P53)</f>
        <v>596225.09465543577</v>
      </c>
    </row>
    <row r="13" spans="2:21" ht="13.5" thickBot="1" x14ac:dyDescent="0.25"/>
    <row r="14" spans="2:21" x14ac:dyDescent="0.2">
      <c r="B14" s="21" t="s">
        <v>38</v>
      </c>
      <c r="C14" s="15"/>
      <c r="D14" s="16"/>
      <c r="N14" s="49" t="s">
        <v>38</v>
      </c>
      <c r="O14" s="127"/>
      <c r="P14" s="54"/>
      <c r="R14" s="21" t="s">
        <v>38</v>
      </c>
      <c r="S14" s="15"/>
      <c r="T14" s="15"/>
      <c r="U14" s="16"/>
    </row>
    <row r="15" spans="2:21" x14ac:dyDescent="0.2">
      <c r="B15" s="40" t="s">
        <v>7</v>
      </c>
      <c r="C15" s="41" t="s">
        <v>5</v>
      </c>
      <c r="D15" s="42" t="s">
        <v>6</v>
      </c>
      <c r="F15" s="140">
        <f>AVERAGE(H21,G21)</f>
        <v>22.125</v>
      </c>
      <c r="N15" s="22" t="s">
        <v>7</v>
      </c>
      <c r="O15" s="23" t="s">
        <v>6</v>
      </c>
      <c r="P15" s="55" t="s">
        <v>46</v>
      </c>
      <c r="R15" s="17" t="s">
        <v>41</v>
      </c>
      <c r="S15" s="18"/>
      <c r="T15" s="18"/>
      <c r="U15" s="19" t="s">
        <v>28</v>
      </c>
    </row>
    <row r="16" spans="2:21" ht="13.5" thickBot="1" x14ac:dyDescent="0.25">
      <c r="B16" s="26"/>
      <c r="C16" s="146">
        <v>989.12</v>
      </c>
      <c r="D16" s="25">
        <f>B16*C16</f>
        <v>0</v>
      </c>
      <c r="N16" s="64"/>
      <c r="O16" s="129">
        <f>N16*C16</f>
        <v>0</v>
      </c>
      <c r="P16" s="56">
        <f>(B16-N16)*C16</f>
        <v>0</v>
      </c>
      <c r="R16" s="20">
        <f>N16+SUM(S20:S29)</f>
        <v>9626.7924341967027</v>
      </c>
      <c r="S16" s="30"/>
      <c r="T16" s="30"/>
      <c r="U16" s="31">
        <f>SUM(U20:U29)</f>
        <v>-228.000112251046</v>
      </c>
    </row>
    <row r="17" spans="2:21" ht="13.5" thickBot="1" x14ac:dyDescent="0.25">
      <c r="P17" s="28"/>
    </row>
    <row r="18" spans="2:21" x14ac:dyDescent="0.2">
      <c r="B18" s="65" t="s">
        <v>39</v>
      </c>
      <c r="C18" s="32"/>
      <c r="D18" s="32"/>
      <c r="E18" s="32"/>
      <c r="F18" s="32"/>
      <c r="G18" s="32" t="s">
        <v>44</v>
      </c>
      <c r="H18" s="32" t="s">
        <v>45</v>
      </c>
      <c r="I18" s="52"/>
      <c r="J18" s="32" t="s">
        <v>42</v>
      </c>
      <c r="K18" s="32" t="s">
        <v>34</v>
      </c>
      <c r="L18" s="32"/>
      <c r="M18" s="33"/>
      <c r="N18" s="49" t="s">
        <v>39</v>
      </c>
      <c r="O18" s="127"/>
      <c r="P18" s="54"/>
      <c r="R18" s="14"/>
      <c r="S18" s="15"/>
      <c r="T18" s="15"/>
      <c r="U18" s="16"/>
    </row>
    <row r="19" spans="2:21" ht="13.5" thickBot="1" x14ac:dyDescent="0.25">
      <c r="B19" s="24" t="s">
        <v>7</v>
      </c>
      <c r="C19" s="34" t="s">
        <v>21</v>
      </c>
      <c r="D19" s="34" t="s">
        <v>8</v>
      </c>
      <c r="E19" s="34" t="s">
        <v>9</v>
      </c>
      <c r="F19" s="34" t="s">
        <v>18</v>
      </c>
      <c r="G19" s="53" t="s">
        <v>16</v>
      </c>
      <c r="H19" s="53" t="s">
        <v>16</v>
      </c>
      <c r="I19" s="34" t="s">
        <v>6</v>
      </c>
      <c r="J19" s="34" t="s">
        <v>43</v>
      </c>
      <c r="K19" s="34" t="s">
        <v>35</v>
      </c>
      <c r="L19" s="34" t="s">
        <v>14</v>
      </c>
      <c r="M19" s="35" t="s">
        <v>15</v>
      </c>
      <c r="N19" s="24" t="s">
        <v>7</v>
      </c>
      <c r="O19" s="34" t="s">
        <v>6</v>
      </c>
      <c r="P19" s="57" t="s">
        <v>46</v>
      </c>
      <c r="R19" s="20" t="s">
        <v>24</v>
      </c>
      <c r="S19" s="30" t="s">
        <v>25</v>
      </c>
      <c r="T19" s="30" t="s">
        <v>26</v>
      </c>
      <c r="U19" s="31" t="s">
        <v>27</v>
      </c>
    </row>
    <row r="20" spans="2:21" x14ac:dyDescent="0.2">
      <c r="B20" s="46">
        <v>-20000</v>
      </c>
      <c r="C20" s="145" t="s">
        <v>48</v>
      </c>
      <c r="D20" s="36">
        <v>975</v>
      </c>
      <c r="E20" s="37">
        <v>43810</v>
      </c>
      <c r="F20" s="144">
        <v>0.09</v>
      </c>
      <c r="G20" s="66">
        <v>16.8</v>
      </c>
      <c r="H20" s="66">
        <v>16.8</v>
      </c>
      <c r="I20" s="106">
        <f>B20*AVERAGE(H20,G20)</f>
        <v>-336000</v>
      </c>
      <c r="J20" s="106">
        <v>9.98</v>
      </c>
      <c r="K20" s="32">
        <f>($E20-$C$2)/365</f>
        <v>0.11232876712328767</v>
      </c>
      <c r="L20" s="32"/>
      <c r="M20" s="32"/>
      <c r="N20" s="62">
        <f>B20</f>
        <v>-20000</v>
      </c>
      <c r="O20" s="131">
        <f>N20*AVERAGE(G20:H20)</f>
        <v>-336000</v>
      </c>
      <c r="P20" s="58">
        <f>MIN((B20-N20)*G20,(B20-N20)*H20)</f>
        <v>0</v>
      </c>
      <c r="R20" s="141">
        <v>0.70350000000000001</v>
      </c>
      <c r="S20" s="15">
        <f>R20*N20</f>
        <v>-14070</v>
      </c>
      <c r="T20">
        <v>1.14E-2</v>
      </c>
      <c r="U20" s="143">
        <f>T20*N20</f>
        <v>-228</v>
      </c>
    </row>
    <row r="21" spans="2:21" x14ac:dyDescent="0.2">
      <c r="B21" s="47">
        <v>-2847</v>
      </c>
      <c r="C21" s="23" t="s">
        <v>47</v>
      </c>
      <c r="D21" s="38">
        <v>1000</v>
      </c>
      <c r="E21" s="39">
        <v>43819</v>
      </c>
      <c r="F21" s="147">
        <v>0.1211521624</v>
      </c>
      <c r="G21" s="124">
        <v>21.7</v>
      </c>
      <c r="H21" s="124">
        <v>22.55</v>
      </c>
      <c r="I21" s="107">
        <f>B21*AVERAGE(H21,G21)</f>
        <v>-62989.875</v>
      </c>
      <c r="J21" s="123">
        <f>-$C$16*NORMSDIST(-M21)+D21*EXP(-$C$6*K21)*NORMSDIST(-L21)</f>
        <v>22.133648534002987</v>
      </c>
      <c r="K21" s="23">
        <f>($E21-$C$2)/365</f>
        <v>0.13698630136986301</v>
      </c>
      <c r="L21" s="23">
        <f>(LN($C$16/D21)+($C$6-F21*F21/2)*K21)/(F21*SQRT(K21))</f>
        <v>-0.20528854352968873</v>
      </c>
      <c r="M21" s="23">
        <f>L21+F21*SQRT(K21)</f>
        <v>-0.16044811648182192</v>
      </c>
      <c r="N21" s="63">
        <v>-15000</v>
      </c>
      <c r="O21" s="132">
        <f>N21*AVERAGE(G21:H21)</f>
        <v>-331875</v>
      </c>
      <c r="P21" s="59">
        <f>MIN((B21-N21)*G21,(B21-N21)*H21)</f>
        <v>263720.09999999998</v>
      </c>
      <c r="R21" s="161">
        <f>_xlfn.NORM.DIST(M21,0,1,TRUE) - 1</f>
        <v>-0.56373595546279898</v>
      </c>
      <c r="S21" s="162">
        <f>N21 * R21</f>
        <v>8456.0393319419854</v>
      </c>
      <c r="T21" s="18">
        <f t="shared" ref="T21:T22" si="0" xml:space="preserve"> _xlfn.NORM.S.DIST($L21, FALSE) / ($F21*$F21 * $C$16 * $C$16 * $K21)</f>
        <v>1.9857350380607754E-4</v>
      </c>
      <c r="U21" s="19">
        <f xml:space="preserve"> T21 *R21</f>
        <v>-1.1194302389771487E-4</v>
      </c>
    </row>
    <row r="22" spans="2:21" x14ac:dyDescent="0.2">
      <c r="B22" s="47"/>
      <c r="C22" s="155" t="s">
        <v>47</v>
      </c>
      <c r="D22" s="23">
        <v>955</v>
      </c>
      <c r="E22" s="39">
        <v>43910</v>
      </c>
      <c r="F22" s="157">
        <v>0.15406707393178001</v>
      </c>
      <c r="G22" s="156">
        <v>13.45</v>
      </c>
      <c r="H22" s="50">
        <v>26.3</v>
      </c>
      <c r="I22" s="107">
        <f>B22*AVERAGE(H22,G22)</f>
        <v>0</v>
      </c>
      <c r="J22" s="123">
        <f>-$C$16*NORMSDIST(-M22)+D22*EXP(-$C$6*K22)*NORMSDIST(-L22)</f>
        <v>19.880029777736695</v>
      </c>
      <c r="K22" s="23">
        <f>($E22-$C$2)/365</f>
        <v>0.38630136986301372</v>
      </c>
      <c r="L22" s="23">
        <f>(LN($C$16/D22)+($C$6-F22*F22/2)*K22)/(F22*SQRT(K22))</f>
        <v>0.39940035041214272</v>
      </c>
      <c r="M22" s="23">
        <f>L22+F22*SQRT(K22)</f>
        <v>0.49515788555763229</v>
      </c>
      <c r="N22" s="63">
        <v>-49125</v>
      </c>
      <c r="O22" s="132">
        <f>N22*AVERAGE(G22:H22)</f>
        <v>-976359.375</v>
      </c>
      <c r="P22" s="59">
        <f t="shared" ref="P22:P23" si="1">MIN((B22-N22)*G22,(B22-N22)*H22)</f>
        <v>660731.25</v>
      </c>
      <c r="R22" s="161">
        <f>_xlfn.NORM.DIST(M22,0,1,TRUE) - 1</f>
        <v>-0.31024433795938355</v>
      </c>
      <c r="S22" s="162">
        <f>N22 * R22</f>
        <v>15240.753102254717</v>
      </c>
      <c r="T22" s="18">
        <f t="shared" si="0"/>
        <v>4.1060734622908461E-5</v>
      </c>
      <c r="U22" s="19">
        <f t="shared" ref="U22:U29" si="2" xml:space="preserve"> T22 *R22</f>
        <v>-1.2738860429210175E-5</v>
      </c>
    </row>
    <row r="23" spans="2:21" x14ac:dyDescent="0.2">
      <c r="B23" s="47"/>
      <c r="C23" s="23" t="s">
        <v>22</v>
      </c>
      <c r="D23" s="23">
        <v>925</v>
      </c>
      <c r="E23" s="39">
        <v>43847</v>
      </c>
      <c r="F23" s="167">
        <v>0.31681572796815999</v>
      </c>
      <c r="G23" s="156">
        <v>53.95</v>
      </c>
      <c r="H23" s="50">
        <v>138.55000000000001</v>
      </c>
      <c r="I23" s="108"/>
      <c r="J23" s="123">
        <f xml:space="preserve"> $C$16 *NORMSDIST($M23) - D23*EXP(-$C$6*$K23)*NORMSDIST($L23)</f>
        <v>96.249935735835948</v>
      </c>
      <c r="K23" s="23">
        <f>($E23-$C$2)/365</f>
        <v>0.21369863013698631</v>
      </c>
      <c r="L23" s="23">
        <f>(LN($C$16/D23)+($C$6-F23*F23/2)*K23)/(F23*SQRT(K23))</f>
        <v>0.41357904135183599</v>
      </c>
      <c r="M23" s="23">
        <f>L23+F23*SQRT(K23)</f>
        <v>0.56003518774594485</v>
      </c>
      <c r="N23" s="63"/>
      <c r="O23" s="132">
        <f>N23*AVERAGE(G23:H23)</f>
        <v>0</v>
      </c>
      <c r="P23" s="59">
        <f t="shared" si="1"/>
        <v>0</v>
      </c>
      <c r="R23" s="161">
        <f>_xlfn.NORM.DIST(M23,0,1,TRUE)</f>
        <v>0.71227228166530021</v>
      </c>
      <c r="S23" s="162">
        <f t="shared" ref="S23:S29" si="3">N23 * R23</f>
        <v>0</v>
      </c>
      <c r="T23" s="18">
        <f xml:space="preserve"> _xlfn.NORM.S.DIST($L23, FALSE) / ($F23*$F23 * $C$16 * $C$16 * $K23)</f>
        <v>1.7452368495907184E-5</v>
      </c>
      <c r="U23" s="19">
        <f t="shared" si="2"/>
        <v>1.2430838329043413E-5</v>
      </c>
    </row>
    <row r="24" spans="2:21" x14ac:dyDescent="0.2">
      <c r="B24" s="47"/>
      <c r="C24" s="23"/>
      <c r="D24" s="23"/>
      <c r="E24" s="23"/>
      <c r="F24" s="60"/>
      <c r="G24" s="60"/>
      <c r="H24" s="50"/>
      <c r="I24" s="108"/>
      <c r="J24" s="108"/>
      <c r="K24" s="23"/>
      <c r="L24" s="23"/>
      <c r="M24" s="23"/>
      <c r="N24" s="63"/>
      <c r="O24" s="60"/>
      <c r="P24" s="59"/>
      <c r="R24" s="17"/>
      <c r="S24" s="162">
        <f t="shared" si="3"/>
        <v>0</v>
      </c>
      <c r="T24" s="18"/>
      <c r="U24" s="19">
        <f t="shared" si="2"/>
        <v>0</v>
      </c>
    </row>
    <row r="25" spans="2:21" x14ac:dyDescent="0.2">
      <c r="B25" s="47"/>
      <c r="C25" s="23"/>
      <c r="D25" s="23"/>
      <c r="E25" s="23"/>
      <c r="F25" s="60"/>
      <c r="G25" s="60"/>
      <c r="H25" s="50"/>
      <c r="I25" s="108"/>
      <c r="J25" s="108"/>
      <c r="K25" s="23"/>
      <c r="L25" s="23"/>
      <c r="M25" s="23"/>
      <c r="N25" s="63"/>
      <c r="O25" s="60"/>
      <c r="P25" s="59"/>
      <c r="R25" s="17"/>
      <c r="S25" s="162">
        <f t="shared" si="3"/>
        <v>0</v>
      </c>
      <c r="T25" s="18"/>
      <c r="U25" s="19">
        <f t="shared" si="2"/>
        <v>0</v>
      </c>
    </row>
    <row r="26" spans="2:21" x14ac:dyDescent="0.2">
      <c r="B26" s="47"/>
      <c r="C26" s="23"/>
      <c r="D26" s="23"/>
      <c r="E26" s="23"/>
      <c r="F26" s="60"/>
      <c r="G26" s="60"/>
      <c r="H26" s="50"/>
      <c r="I26" s="108"/>
      <c r="J26" s="108"/>
      <c r="K26" s="23"/>
      <c r="L26" s="23"/>
      <c r="M26" s="23"/>
      <c r="N26" s="63"/>
      <c r="O26" s="60"/>
      <c r="P26" s="59"/>
      <c r="R26" s="17"/>
      <c r="S26" s="162">
        <f t="shared" si="3"/>
        <v>0</v>
      </c>
      <c r="T26" s="18"/>
      <c r="U26" s="19">
        <f t="shared" si="2"/>
        <v>0</v>
      </c>
    </row>
    <row r="27" spans="2:21" x14ac:dyDescent="0.2">
      <c r="B27" s="47"/>
      <c r="C27" s="23"/>
      <c r="D27" s="23"/>
      <c r="E27" s="23"/>
      <c r="F27" s="60"/>
      <c r="G27" s="60"/>
      <c r="H27" s="50"/>
      <c r="I27" s="108"/>
      <c r="J27" s="108"/>
      <c r="K27" s="23"/>
      <c r="L27" s="23"/>
      <c r="M27" s="23"/>
      <c r="N27" s="63"/>
      <c r="O27" s="60"/>
      <c r="P27" s="59"/>
      <c r="R27" s="17"/>
      <c r="S27" s="162">
        <f t="shared" si="3"/>
        <v>0</v>
      </c>
      <c r="T27" s="18"/>
      <c r="U27" s="19">
        <f t="shared" si="2"/>
        <v>0</v>
      </c>
    </row>
    <row r="28" spans="2:21" x14ac:dyDescent="0.2">
      <c r="B28" s="47"/>
      <c r="C28" s="23"/>
      <c r="D28" s="23"/>
      <c r="E28" s="23"/>
      <c r="F28" s="60"/>
      <c r="G28" s="60"/>
      <c r="H28" s="50"/>
      <c r="I28" s="108"/>
      <c r="J28" s="108"/>
      <c r="K28" s="23"/>
      <c r="L28" s="23"/>
      <c r="M28" s="23"/>
      <c r="N28" s="63"/>
      <c r="O28" s="60"/>
      <c r="P28" s="59"/>
      <c r="R28" s="17"/>
      <c r="S28" s="162">
        <f t="shared" si="3"/>
        <v>0</v>
      </c>
      <c r="T28" s="18"/>
      <c r="U28" s="19">
        <f t="shared" si="2"/>
        <v>0</v>
      </c>
    </row>
    <row r="29" spans="2:21" ht="13.5" thickBot="1" x14ac:dyDescent="0.25">
      <c r="B29" s="26"/>
      <c r="C29" s="34"/>
      <c r="D29" s="34"/>
      <c r="E29" s="34"/>
      <c r="F29" s="61"/>
      <c r="G29" s="61"/>
      <c r="H29" s="51"/>
      <c r="I29" s="109"/>
      <c r="J29" s="109"/>
      <c r="K29" s="34"/>
      <c r="L29" s="34"/>
      <c r="M29" s="34"/>
      <c r="N29" s="64"/>
      <c r="O29" s="61"/>
      <c r="P29" s="56"/>
      <c r="R29" s="20"/>
      <c r="S29" s="162">
        <f t="shared" si="3"/>
        <v>0</v>
      </c>
      <c r="T29" s="30"/>
      <c r="U29" s="19">
        <f t="shared" si="2"/>
        <v>0</v>
      </c>
    </row>
    <row r="30" spans="2:21" ht="13.5" thickBot="1" x14ac:dyDescent="0.25">
      <c r="H30" s="3"/>
    </row>
    <row r="31" spans="2:21" x14ac:dyDescent="0.2">
      <c r="B31" s="74" t="s">
        <v>59</v>
      </c>
      <c r="C31" s="68"/>
      <c r="D31" s="69"/>
      <c r="H31" s="3"/>
      <c r="N31" s="113" t="s">
        <v>59</v>
      </c>
      <c r="O31" s="128"/>
      <c r="P31" s="69"/>
      <c r="R31" s="74" t="s">
        <v>59</v>
      </c>
      <c r="S31" s="68"/>
      <c r="T31" s="68"/>
      <c r="U31" s="69"/>
    </row>
    <row r="32" spans="2:21" x14ac:dyDescent="0.2">
      <c r="B32" s="75" t="s">
        <v>7</v>
      </c>
      <c r="C32" s="76" t="s">
        <v>5</v>
      </c>
      <c r="D32" s="77" t="s">
        <v>6</v>
      </c>
      <c r="H32" s="150"/>
      <c r="N32" s="114" t="s">
        <v>7</v>
      </c>
      <c r="O32" s="89" t="s">
        <v>6</v>
      </c>
      <c r="P32" s="115" t="s">
        <v>46</v>
      </c>
      <c r="R32" s="70" t="s">
        <v>40</v>
      </c>
      <c r="S32" s="71"/>
      <c r="T32" s="71"/>
      <c r="U32" s="72" t="s">
        <v>28</v>
      </c>
    </row>
    <row r="33" spans="2:21" ht="13.5" thickBot="1" x14ac:dyDescent="0.25">
      <c r="B33" s="79">
        <v>10000</v>
      </c>
      <c r="C33" s="154">
        <v>22.92</v>
      </c>
      <c r="D33" s="78">
        <f>B33*C33</f>
        <v>229200.00000000003</v>
      </c>
      <c r="F33" s="148">
        <f>0.99 * C33</f>
        <v>22.690800000000003</v>
      </c>
      <c r="H33" s="152">
        <f>H32/J37</f>
        <v>0</v>
      </c>
      <c r="I33" s="140"/>
      <c r="N33" s="103">
        <v>10000</v>
      </c>
      <c r="O33" s="135">
        <f>N33*C33</f>
        <v>229200.00000000003</v>
      </c>
      <c r="P33" s="104">
        <f>(B33-N33)*C33</f>
        <v>0</v>
      </c>
      <c r="R33" s="73">
        <f>SUM(S37:S53)</f>
        <v>-19916.938630072487</v>
      </c>
      <c r="S33" s="80"/>
      <c r="T33" s="80"/>
      <c r="U33" s="81">
        <f>SUM(U37:U53)</f>
        <v>-4857.2622056894816</v>
      </c>
    </row>
    <row r="34" spans="2:21" ht="13.5" thickBot="1" x14ac:dyDescent="0.25">
      <c r="H34" s="3"/>
    </row>
    <row r="35" spans="2:21" x14ac:dyDescent="0.2">
      <c r="B35" s="67" t="s">
        <v>17</v>
      </c>
      <c r="C35" s="68"/>
      <c r="D35" s="68"/>
      <c r="E35" s="68"/>
      <c r="F35" s="68"/>
      <c r="G35" s="84" t="s">
        <v>44</v>
      </c>
      <c r="H35" s="130" t="s">
        <v>45</v>
      </c>
      <c r="I35" s="68"/>
      <c r="J35" s="84" t="s">
        <v>42</v>
      </c>
      <c r="K35" s="68" t="s">
        <v>34</v>
      </c>
      <c r="L35" s="68"/>
      <c r="M35" s="69"/>
      <c r="N35" s="67" t="s">
        <v>17</v>
      </c>
      <c r="O35" s="68"/>
      <c r="P35" s="69"/>
      <c r="R35" s="67"/>
      <c r="S35" s="68"/>
      <c r="T35" s="68"/>
      <c r="U35" s="69"/>
    </row>
    <row r="36" spans="2:21" ht="13.5" thickBot="1" x14ac:dyDescent="0.25">
      <c r="B36" s="73" t="s">
        <v>7</v>
      </c>
      <c r="C36" s="80" t="s">
        <v>21</v>
      </c>
      <c r="D36" s="80" t="s">
        <v>8</v>
      </c>
      <c r="E36" s="80" t="s">
        <v>9</v>
      </c>
      <c r="F36" s="80" t="s">
        <v>18</v>
      </c>
      <c r="G36" s="82" t="s">
        <v>16</v>
      </c>
      <c r="H36" s="82" t="s">
        <v>16</v>
      </c>
      <c r="I36" s="95" t="s">
        <v>6</v>
      </c>
      <c r="J36" s="95" t="s">
        <v>43</v>
      </c>
      <c r="K36" s="80" t="s">
        <v>35</v>
      </c>
      <c r="L36" s="80" t="s">
        <v>14</v>
      </c>
      <c r="M36" s="81" t="s">
        <v>15</v>
      </c>
      <c r="N36" s="73" t="s">
        <v>7</v>
      </c>
      <c r="O36" s="95" t="s">
        <v>6</v>
      </c>
      <c r="P36" s="116" t="s">
        <v>46</v>
      </c>
      <c r="R36" s="73" t="s">
        <v>24</v>
      </c>
      <c r="S36" s="80" t="s">
        <v>25</v>
      </c>
      <c r="T36" s="80" t="s">
        <v>26</v>
      </c>
      <c r="U36" s="81" t="s">
        <v>27</v>
      </c>
    </row>
    <row r="37" spans="2:21" ht="13.5" thickBot="1" x14ac:dyDescent="0.25">
      <c r="B37" s="83">
        <v>-205555</v>
      </c>
      <c r="C37" s="84" t="s">
        <v>29</v>
      </c>
      <c r="D37" s="138">
        <v>22</v>
      </c>
      <c r="E37" s="85">
        <v>43810</v>
      </c>
      <c r="F37" s="86">
        <v>0.35</v>
      </c>
      <c r="G37" s="105">
        <f>J37</f>
        <v>0.37752999249471825</v>
      </c>
      <c r="H37" s="105">
        <f>J37</f>
        <v>0.37752999249471825</v>
      </c>
      <c r="I37" s="110">
        <f>B37*AVERAGE(H37,G37)</f>
        <v>-77603.177607251811</v>
      </c>
      <c r="J37" s="125">
        <f>EXP(-$C$6 *K37) *NORMSDIST(-L37)</f>
        <v>0.37752999249471825</v>
      </c>
      <c r="K37" s="84">
        <f>(E37-$C$2)/365</f>
        <v>0.11232876712328767</v>
      </c>
      <c r="L37" s="84">
        <f t="shared" ref="L37:L42" si="4">(LN($C$33/D37)+($C$6-F37*F37/2)*K37)/(F37*SQRT(K37))</f>
        <v>0.30974064565950427</v>
      </c>
      <c r="M37" s="87">
        <f>L37+F37*SQRT(K37)</f>
        <v>0.42704483984113928</v>
      </c>
      <c r="N37" s="99">
        <f>B37</f>
        <v>-205555</v>
      </c>
      <c r="O37" s="133">
        <f>N37*AVERAGE(G37:H37)</f>
        <v>-77603.177607251811</v>
      </c>
      <c r="P37" s="100">
        <f>MIN((B37-N37)*G37,(B37-N37)*H37)</f>
        <v>0</v>
      </c>
      <c r="R37" s="160">
        <f t="shared" ref="R37" si="5">-1*EXP(-$C$6*$K37)*_xlfn.NORM.S.DIST($L37,FALSE)/($F37*$C$33*SQRT($K37))</f>
        <v>-0.1411150355535977</v>
      </c>
      <c r="S37" s="68">
        <f>IF($N37 = 0, "N/A", $R37 *$N37)</f>
        <v>29006.901133219773</v>
      </c>
      <c r="T37" s="68">
        <f xml:space="preserve"> _xlfn.NORM.S.DIST($L37, FALSE) / ($F37*$F37 * $C$33 * $C$33 * $K37)</f>
        <v>5.260424732846232E-2</v>
      </c>
      <c r="U37" s="69">
        <f>T37*N37</f>
        <v>-10813.066059602072</v>
      </c>
    </row>
    <row r="38" spans="2:21" ht="13.5" thickBot="1" x14ac:dyDescent="0.25">
      <c r="B38" s="88">
        <v>17000</v>
      </c>
      <c r="C38" s="89" t="s">
        <v>22</v>
      </c>
      <c r="D38" s="139">
        <v>22</v>
      </c>
      <c r="E38" s="90">
        <v>43819</v>
      </c>
      <c r="F38" s="91">
        <v>0.34017598324999998</v>
      </c>
      <c r="G38" s="126">
        <v>1.67</v>
      </c>
      <c r="H38" s="126">
        <v>1.69</v>
      </c>
      <c r="I38" s="110">
        <f>B38*AVERAGE(H38,G38)</f>
        <v>28560</v>
      </c>
      <c r="J38" s="125">
        <f xml:space="preserve"> C33 * NORMSDIST(M38) - D38 * EXP(-C6*K38) * NORMSDIST(L38)</f>
        <v>1.683042388342173</v>
      </c>
      <c r="K38" s="89">
        <f>(E38-$C$2)/365</f>
        <v>0.13698630136986301</v>
      </c>
      <c r="L38" s="89">
        <f t="shared" si="4"/>
        <v>0.28419221000957595</v>
      </c>
      <c r="M38" s="92">
        <f>L38+F38*SQRT(K38)</f>
        <v>0.41009699006621309</v>
      </c>
      <c r="N38" s="101">
        <v>15500</v>
      </c>
      <c r="O38" s="134">
        <f>N38*AVERAGE(G38:H38)</f>
        <v>26040</v>
      </c>
      <c r="P38" s="102">
        <f>MIN((B38-N38)*G38,(B38-N38)*H38)</f>
        <v>2505</v>
      </c>
      <c r="R38" s="160">
        <f>_xlfn.NORM.DIST(M38,0,1,TRUE)</f>
        <v>0.6591325996980365</v>
      </c>
      <c r="S38" s="68">
        <f>IF($N38 = 0, "N/A", $R38 *$N38)</f>
        <v>10216.555295319566</v>
      </c>
      <c r="T38" s="68">
        <f t="shared" ref="T38:T42" si="6" xml:space="preserve"> _xlfn.NORM.S.DIST($L38, FALSE) / ($F38*$F38 * $C$33 * $C$33 * $K38)</f>
        <v>4.6010659554717802E-2</v>
      </c>
      <c r="U38" s="72">
        <f xml:space="preserve"> T38 * N38</f>
        <v>713.16522309812592</v>
      </c>
    </row>
    <row r="39" spans="2:21" ht="13.5" thickBot="1" x14ac:dyDescent="0.25">
      <c r="B39" s="88"/>
      <c r="C39" s="89" t="s">
        <v>47</v>
      </c>
      <c r="D39" s="163">
        <v>17</v>
      </c>
      <c r="E39" s="90">
        <v>43938</v>
      </c>
      <c r="F39" s="165">
        <v>0.38518000000000002</v>
      </c>
      <c r="G39" s="164">
        <v>0.27</v>
      </c>
      <c r="H39" s="94">
        <v>0.33</v>
      </c>
      <c r="I39" s="110">
        <f t="shared" ref="I39:I42" si="7">B39*AVERAGE(H39,G39)</f>
        <v>0</v>
      </c>
      <c r="J39" s="111">
        <f xml:space="preserve"> $D39*EXP(-$C$6 *$K39) *NORMSDIST(-$L39) - $C$33 *NORMSDIST(-$M39)</f>
        <v>0.30207892442926321</v>
      </c>
      <c r="K39" s="89">
        <f>($E39-$C$2)/365</f>
        <v>0.46301369863013697</v>
      </c>
      <c r="L39" s="89">
        <f t="shared" si="4"/>
        <v>1.0443099603767745</v>
      </c>
      <c r="M39" s="92">
        <f t="shared" ref="M39:M42" si="8">L39+F39*SQRT(K39)</f>
        <v>1.3064061148310626</v>
      </c>
      <c r="N39" s="101">
        <v>496875</v>
      </c>
      <c r="O39" s="134">
        <f>N39*AVERAGE(G39:H39)</f>
        <v>149062.50000000003</v>
      </c>
      <c r="P39" s="102">
        <f>MIN((B39-N39)*G39,(B39-N39)*H39)</f>
        <v>-163968.75</v>
      </c>
      <c r="R39" s="160">
        <f>_xlfn.NORM.DIST(M39,0,1,TRUE)-1</f>
        <v>-9.5707243745110082E-2</v>
      </c>
      <c r="S39" s="68">
        <f>IF($N39 = 0, "N/A", $R39 *$N39)</f>
        <v>-47554.536735851572</v>
      </c>
      <c r="T39" s="68">
        <f t="shared" si="6"/>
        <v>6.4082934115998755E-3</v>
      </c>
      <c r="U39" s="72">
        <f xml:space="preserve"> T39 * N39</f>
        <v>3184.1207888886884</v>
      </c>
    </row>
    <row r="40" spans="2:21" ht="13.5" thickBot="1" x14ac:dyDescent="0.25">
      <c r="B40" s="88"/>
      <c r="C40" s="89" t="s">
        <v>22</v>
      </c>
      <c r="D40" s="166">
        <v>32</v>
      </c>
      <c r="E40" s="90">
        <v>43938</v>
      </c>
      <c r="F40" s="165">
        <v>0.360124</v>
      </c>
      <c r="G40" s="164">
        <v>0.25</v>
      </c>
      <c r="H40" s="94">
        <v>0.31</v>
      </c>
      <c r="I40" s="110">
        <f t="shared" si="7"/>
        <v>0</v>
      </c>
      <c r="J40" s="111">
        <f xml:space="preserve"> $C$33 * NORMSDIST($M40) - $D40 * EXP(-$C$6*$K40) * NORMSDIST($L40)</f>
        <v>0.28417491697718633</v>
      </c>
      <c r="K40" s="89">
        <f>($E40-$C$2)/365</f>
        <v>0.46301369863013697</v>
      </c>
      <c r="L40" s="89">
        <f t="shared" si="4"/>
        <v>-1.4466205560324776</v>
      </c>
      <c r="M40" s="92">
        <f t="shared" si="8"/>
        <v>-1.201573784323936</v>
      </c>
      <c r="N40" s="101">
        <v>279150</v>
      </c>
      <c r="O40" s="134">
        <f>N40*AVERAGE(G40:H40)</f>
        <v>78162.000000000015</v>
      </c>
      <c r="P40" s="102">
        <f>MIN((B40-N40)*G40,(B40-N40)*H40)</f>
        <v>-86536.5</v>
      </c>
      <c r="R40" s="160">
        <f>_xlfn.NORM.DIST(M40,0,1,TRUE)</f>
        <v>0.11476435177252241</v>
      </c>
      <c r="S40" s="68">
        <f>IF($N40 = 0, "N/A", $R40 *$N40)</f>
        <v>32036.468797299629</v>
      </c>
      <c r="T40" s="68">
        <f t="shared" si="6"/>
        <v>4.4417738346360595E-3</v>
      </c>
      <c r="U40" s="72">
        <f xml:space="preserve"> T40 * N40</f>
        <v>1239.921165938656</v>
      </c>
    </row>
    <row r="41" spans="2:21" ht="13.5" thickBot="1" x14ac:dyDescent="0.25">
      <c r="B41" s="88"/>
      <c r="C41" s="89" t="s">
        <v>22</v>
      </c>
      <c r="D41" s="163">
        <v>21</v>
      </c>
      <c r="E41" s="90">
        <v>43791</v>
      </c>
      <c r="F41" s="165">
        <v>0.36712551339999999</v>
      </c>
      <c r="G41" s="164">
        <v>2.08</v>
      </c>
      <c r="H41" s="94">
        <v>2.15</v>
      </c>
      <c r="I41" s="110">
        <f t="shared" si="7"/>
        <v>0</v>
      </c>
      <c r="J41" s="111">
        <f xml:space="preserve"> $C$33 * NORMSDIST($M41) - $D41 * EXP(-$C$6*$K41) * NORMSDIST($L41)</f>
        <v>2.1149081135949501</v>
      </c>
      <c r="K41" s="89">
        <f>($E41-$C$2)/365</f>
        <v>6.0273972602739728E-2</v>
      </c>
      <c r="L41" s="89">
        <f t="shared" si="4"/>
        <v>0.93896668352574209</v>
      </c>
      <c r="M41" s="92">
        <f t="shared" si="8"/>
        <v>1.0290987804490259</v>
      </c>
      <c r="N41" s="101">
        <v>-1296</v>
      </c>
      <c r="O41" s="134">
        <f t="shared" ref="O41:O42" si="9">N41*AVERAGE(G41:H41)</f>
        <v>-2741.0400000000004</v>
      </c>
      <c r="P41" s="102">
        <f t="shared" ref="P41:P42" si="10">MIN((B41-N41)*G41,(B41-N41)*H41)</f>
        <v>2695.6800000000003</v>
      </c>
      <c r="R41" s="160">
        <f>_xlfn.NORM.DIST(M41,0,1,TRUE)</f>
        <v>0.84828337040064283</v>
      </c>
      <c r="S41" s="68">
        <f t="shared" ref="S41:S42" si="11">IF($N41 = 0, "N/A", $R41 *$N41)</f>
        <v>-1099.3752480392332</v>
      </c>
      <c r="T41" s="68">
        <f t="shared" si="6"/>
        <v>6.0155063974787405E-2</v>
      </c>
      <c r="U41" s="72">
        <f t="shared" ref="U41:U42" si="12" xml:space="preserve"> T41 * N41</f>
        <v>-77.960962911324472</v>
      </c>
    </row>
    <row r="42" spans="2:21" ht="13.5" thickBot="1" x14ac:dyDescent="0.25">
      <c r="B42" s="88"/>
      <c r="C42" s="89" t="s">
        <v>47</v>
      </c>
      <c r="D42" s="163">
        <v>27</v>
      </c>
      <c r="E42" s="90">
        <v>43819</v>
      </c>
      <c r="F42" s="165">
        <v>0.39178245</v>
      </c>
      <c r="G42" s="164">
        <v>4.2</v>
      </c>
      <c r="H42" s="94">
        <v>4.3</v>
      </c>
      <c r="I42" s="111">
        <f t="shared" si="7"/>
        <v>0</v>
      </c>
      <c r="J42" s="111">
        <f xml:space="preserve"> D42*EXP(-$C$6 *$K42) *NORMSDIST(-$L42) - $C$33 *NORMSDIST(-$M42)</f>
        <v>4.2476144425111961</v>
      </c>
      <c r="K42" s="89">
        <f>($E42-$C$2)/365</f>
        <v>0.13698630136986301</v>
      </c>
      <c r="L42" s="89">
        <f t="shared" si="4"/>
        <v>-1.1834093686567126</v>
      </c>
      <c r="M42" s="92">
        <f t="shared" si="8"/>
        <v>-1.0384041783254212</v>
      </c>
      <c r="N42" s="101">
        <v>50000</v>
      </c>
      <c r="O42" s="134">
        <f t="shared" si="9"/>
        <v>212500</v>
      </c>
      <c r="P42" s="102">
        <f t="shared" si="10"/>
        <v>-215000</v>
      </c>
      <c r="R42" s="160">
        <f>_xlfn.NORM.DIST(M42,0,1,TRUE) - 1</f>
        <v>-0.85045903744041307</v>
      </c>
      <c r="S42" s="68">
        <f t="shared" si="11"/>
        <v>-42522.951872020654</v>
      </c>
      <c r="T42" s="68">
        <f t="shared" si="6"/>
        <v>1.7931152777968907E-2</v>
      </c>
      <c r="U42" s="72">
        <f t="shared" si="12"/>
        <v>896.55763889844536</v>
      </c>
    </row>
    <row r="43" spans="2:21" ht="13.5" thickBot="1" x14ac:dyDescent="0.25">
      <c r="B43" s="88"/>
      <c r="C43" s="89"/>
      <c r="D43" s="89"/>
      <c r="E43" s="89"/>
      <c r="F43" s="93"/>
      <c r="G43" s="93"/>
      <c r="H43" s="94"/>
      <c r="I43" s="111"/>
      <c r="J43" s="111"/>
      <c r="K43" s="89"/>
      <c r="L43" s="89"/>
      <c r="M43" s="92"/>
      <c r="N43" s="101"/>
      <c r="O43" s="93"/>
      <c r="P43" s="102"/>
      <c r="R43" s="159"/>
      <c r="S43" s="68"/>
      <c r="T43" s="71"/>
      <c r="U43" s="72"/>
    </row>
    <row r="44" spans="2:21" ht="13.5" thickBot="1" x14ac:dyDescent="0.25">
      <c r="B44" s="88"/>
      <c r="C44" s="89"/>
      <c r="D44" s="89"/>
      <c r="E44" s="89"/>
      <c r="F44" s="93"/>
      <c r="G44" s="93"/>
      <c r="H44" s="94"/>
      <c r="I44" s="111"/>
      <c r="J44" s="111"/>
      <c r="K44" s="89"/>
      <c r="L44" s="89"/>
      <c r="M44" s="92"/>
      <c r="N44" s="101"/>
      <c r="O44" s="93"/>
      <c r="P44" s="102"/>
      <c r="R44" s="159"/>
      <c r="S44" s="68"/>
      <c r="T44" s="71"/>
      <c r="U44" s="72"/>
    </row>
    <row r="45" spans="2:21" ht="13.5" thickBot="1" x14ac:dyDescent="0.25">
      <c r="B45" s="88"/>
      <c r="C45" s="89"/>
      <c r="D45" s="89"/>
      <c r="E45" s="89"/>
      <c r="F45" s="93"/>
      <c r="G45" s="93"/>
      <c r="H45" s="94"/>
      <c r="I45" s="111"/>
      <c r="J45" s="111"/>
      <c r="K45" s="89"/>
      <c r="L45" s="89"/>
      <c r="M45" s="92"/>
      <c r="N45" s="101"/>
      <c r="O45" s="93"/>
      <c r="P45" s="102"/>
      <c r="R45" s="159"/>
      <c r="S45" s="68"/>
      <c r="T45" s="71"/>
      <c r="U45" s="72"/>
    </row>
    <row r="46" spans="2:21" ht="13.5" thickBot="1" x14ac:dyDescent="0.25">
      <c r="B46" s="88"/>
      <c r="C46" s="89"/>
      <c r="D46" s="89"/>
      <c r="E46" s="89"/>
      <c r="F46" s="93"/>
      <c r="G46" s="93"/>
      <c r="H46" s="94"/>
      <c r="I46" s="111"/>
      <c r="J46" s="111"/>
      <c r="K46" s="89"/>
      <c r="L46" s="89"/>
      <c r="M46" s="92"/>
      <c r="N46" s="101"/>
      <c r="O46" s="93"/>
      <c r="P46" s="102"/>
      <c r="R46" s="159"/>
      <c r="S46" s="68"/>
      <c r="T46" s="71"/>
      <c r="U46" s="72"/>
    </row>
    <row r="47" spans="2:21" ht="13.5" thickBot="1" x14ac:dyDescent="0.25">
      <c r="B47" s="88"/>
      <c r="C47" s="89"/>
      <c r="D47" s="89"/>
      <c r="E47" s="89"/>
      <c r="F47" s="93"/>
      <c r="G47" s="93"/>
      <c r="H47" s="94"/>
      <c r="I47" s="111"/>
      <c r="J47" s="111"/>
      <c r="K47" s="89"/>
      <c r="L47" s="89"/>
      <c r="M47" s="92"/>
      <c r="N47" s="101"/>
      <c r="O47" s="93"/>
      <c r="P47" s="102"/>
      <c r="R47" s="159"/>
      <c r="S47" s="68"/>
      <c r="T47" s="71"/>
      <c r="U47" s="72"/>
    </row>
    <row r="48" spans="2:21" ht="13.5" thickBot="1" x14ac:dyDescent="0.25">
      <c r="B48" s="88"/>
      <c r="C48" s="89"/>
      <c r="D48" s="89"/>
      <c r="E48" s="89"/>
      <c r="F48" s="93"/>
      <c r="G48" s="93"/>
      <c r="H48" s="94"/>
      <c r="I48" s="111"/>
      <c r="J48" s="111"/>
      <c r="K48" s="89"/>
      <c r="L48" s="89"/>
      <c r="M48" s="92"/>
      <c r="N48" s="101"/>
      <c r="O48" s="93"/>
      <c r="P48" s="102"/>
      <c r="R48" s="159"/>
      <c r="S48" s="68"/>
      <c r="T48" s="71"/>
      <c r="U48" s="72"/>
    </row>
    <row r="49" spans="2:21" ht="13.5" thickBot="1" x14ac:dyDescent="0.25">
      <c r="B49" s="88"/>
      <c r="C49" s="89"/>
      <c r="D49" s="89"/>
      <c r="E49" s="89"/>
      <c r="F49" s="93"/>
      <c r="G49" s="93"/>
      <c r="H49" s="94"/>
      <c r="I49" s="111"/>
      <c r="J49" s="111"/>
      <c r="K49" s="89"/>
      <c r="L49" s="89"/>
      <c r="M49" s="92"/>
      <c r="N49" s="101"/>
      <c r="O49" s="93"/>
      <c r="P49" s="102"/>
      <c r="R49" s="159"/>
      <c r="S49" s="68"/>
      <c r="T49" s="71"/>
      <c r="U49" s="72"/>
    </row>
    <row r="50" spans="2:21" ht="13.5" thickBot="1" x14ac:dyDescent="0.25">
      <c r="B50" s="88"/>
      <c r="C50" s="89"/>
      <c r="D50" s="89"/>
      <c r="E50" s="89"/>
      <c r="F50" s="93"/>
      <c r="G50" s="93"/>
      <c r="H50" s="94"/>
      <c r="I50" s="111"/>
      <c r="J50" s="111"/>
      <c r="K50" s="89"/>
      <c r="L50" s="89"/>
      <c r="M50" s="92"/>
      <c r="N50" s="101"/>
      <c r="O50" s="93"/>
      <c r="P50" s="102"/>
      <c r="R50" s="159"/>
      <c r="S50" s="68"/>
      <c r="T50" s="71"/>
      <c r="U50" s="72"/>
    </row>
    <row r="51" spans="2:21" ht="13.5" thickBot="1" x14ac:dyDescent="0.25">
      <c r="B51" s="88"/>
      <c r="C51" s="89"/>
      <c r="D51" s="89"/>
      <c r="E51" s="89"/>
      <c r="F51" s="93"/>
      <c r="G51" s="93"/>
      <c r="H51" s="94"/>
      <c r="I51" s="111"/>
      <c r="J51" s="111"/>
      <c r="K51" s="89"/>
      <c r="L51" s="89"/>
      <c r="M51" s="92"/>
      <c r="N51" s="101"/>
      <c r="O51" s="93"/>
      <c r="P51" s="102"/>
      <c r="R51" s="159"/>
      <c r="S51" s="68"/>
      <c r="T51" s="71"/>
      <c r="U51" s="72"/>
    </row>
    <row r="52" spans="2:21" ht="13.5" thickBot="1" x14ac:dyDescent="0.25">
      <c r="B52" s="88"/>
      <c r="C52" s="89"/>
      <c r="D52" s="89"/>
      <c r="E52" s="89"/>
      <c r="F52" s="93"/>
      <c r="G52" s="93"/>
      <c r="H52" s="94"/>
      <c r="I52" s="111"/>
      <c r="J52" s="111"/>
      <c r="K52" s="89"/>
      <c r="L52" s="89"/>
      <c r="M52" s="92"/>
      <c r="N52" s="101"/>
      <c r="O52" s="93"/>
      <c r="P52" s="102"/>
      <c r="R52" s="159"/>
      <c r="S52" s="68"/>
      <c r="T52" s="71"/>
      <c r="U52" s="72"/>
    </row>
    <row r="53" spans="2:21" ht="13.5" thickBot="1" x14ac:dyDescent="0.25">
      <c r="B53" s="79"/>
      <c r="C53" s="95"/>
      <c r="D53" s="95"/>
      <c r="E53" s="95"/>
      <c r="F53" s="96"/>
      <c r="G53" s="96"/>
      <c r="H53" s="97"/>
      <c r="I53" s="112"/>
      <c r="J53" s="112"/>
      <c r="K53" s="95"/>
      <c r="L53" s="95"/>
      <c r="M53" s="98"/>
      <c r="N53" s="103"/>
      <c r="O53" s="96"/>
      <c r="P53" s="104"/>
      <c r="R53" s="159"/>
      <c r="S53" s="68"/>
      <c r="T53" s="80"/>
      <c r="U53" s="8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9AC0-A000-462A-BDAD-334FE025DFA2}">
  <sheetPr codeName="Sheet5"/>
  <dimension ref="B1:U53"/>
  <sheetViews>
    <sheetView topLeftCell="A7" workbookViewId="0">
      <selection activeCell="N12" sqref="N12"/>
    </sheetView>
  </sheetViews>
  <sheetFormatPr defaultRowHeight="12.75" x14ac:dyDescent="0.2"/>
  <cols>
    <col min="2" max="2" width="13.7109375" customWidth="1"/>
    <col min="3" max="3" width="12.28515625" customWidth="1"/>
    <col min="4" max="4" width="16.5703125" customWidth="1"/>
    <col min="5" max="5" width="14.85546875" customWidth="1"/>
    <col min="9" max="9" width="19.140625" customWidth="1"/>
    <col min="14" max="14" width="18.28515625" customWidth="1"/>
    <col min="15" max="15" width="15.42578125" customWidth="1"/>
    <col min="16" max="16" width="15.85546875" customWidth="1"/>
  </cols>
  <sheetData>
    <row r="1" spans="2:21" ht="13.5" thickBot="1" x14ac:dyDescent="0.25"/>
    <row r="2" spans="2:21" x14ac:dyDescent="0.2">
      <c r="B2" s="5" t="s">
        <v>1</v>
      </c>
      <c r="C2" s="11">
        <v>43776</v>
      </c>
      <c r="D2" s="1"/>
      <c r="E2" s="27" t="s">
        <v>30</v>
      </c>
      <c r="F2" t="s">
        <v>32</v>
      </c>
    </row>
    <row r="3" spans="2:21" ht="13.5" thickBot="1" x14ac:dyDescent="0.25">
      <c r="B3" s="6"/>
      <c r="C3" s="12"/>
      <c r="E3" s="29" t="s">
        <v>31</v>
      </c>
      <c r="F3" t="s">
        <v>33</v>
      </c>
    </row>
    <row r="4" spans="2:21" ht="13.5" thickBot="1" x14ac:dyDescent="0.25">
      <c r="B4" s="7" t="s">
        <v>19</v>
      </c>
      <c r="C4" s="11">
        <v>43769</v>
      </c>
    </row>
    <row r="5" spans="2:21" x14ac:dyDescent="0.2">
      <c r="C5" s="2"/>
    </row>
    <row r="6" spans="2:21" x14ac:dyDescent="0.2">
      <c r="B6" t="s">
        <v>13</v>
      </c>
      <c r="C6" s="2">
        <v>0.02</v>
      </c>
    </row>
    <row r="9" spans="2:21" ht="20.25" x14ac:dyDescent="0.3">
      <c r="B9" s="48" t="s">
        <v>20</v>
      </c>
      <c r="N9" s="48" t="s">
        <v>23</v>
      </c>
      <c r="O9" s="48"/>
    </row>
    <row r="10" spans="2:21" ht="13.5" thickBot="1" x14ac:dyDescent="0.25"/>
    <row r="11" spans="2:21" ht="18" x14ac:dyDescent="0.25">
      <c r="B11" s="43" t="s">
        <v>11</v>
      </c>
      <c r="C11" s="44" t="s">
        <v>10</v>
      </c>
      <c r="D11" s="45" t="s">
        <v>12</v>
      </c>
      <c r="I11" s="119" t="s">
        <v>2</v>
      </c>
      <c r="J11" s="121"/>
      <c r="N11" s="137" t="s">
        <v>4</v>
      </c>
    </row>
    <row r="12" spans="2:21" ht="18.75" thickBot="1" x14ac:dyDescent="0.3">
      <c r="B12" s="153">
        <v>596225.09465543577</v>
      </c>
      <c r="C12" s="9">
        <f>(C2-C4)/365</f>
        <v>1.9178082191780823E-2</v>
      </c>
      <c r="D12" s="10">
        <f>B12*EXP($C$6*C12)</f>
        <v>596453.82759662496</v>
      </c>
      <c r="G12" s="3"/>
      <c r="I12" s="120">
        <f>D12+D16+SUM(I20:I29)+D33+SUM(I37:I46)</f>
        <v>31050.206921156961</v>
      </c>
      <c r="J12" s="122"/>
      <c r="N12" s="136">
        <f>D12+P16+SUM(P20:P29)+P33+SUM(P37:P53)</f>
        <v>-18684.522403375042</v>
      </c>
    </row>
    <row r="13" spans="2:21" ht="13.5" thickBot="1" x14ac:dyDescent="0.25">
      <c r="G13" s="148"/>
    </row>
    <row r="14" spans="2:21" x14ac:dyDescent="0.2">
      <c r="B14" s="21" t="s">
        <v>38</v>
      </c>
      <c r="C14" s="15"/>
      <c r="D14" s="16"/>
      <c r="G14" s="140">
        <f>AVERAGE(G22,H22)</f>
        <v>13.75</v>
      </c>
      <c r="N14" s="49" t="s">
        <v>38</v>
      </c>
      <c r="O14" s="127"/>
      <c r="P14" s="54"/>
      <c r="R14" s="21" t="s">
        <v>38</v>
      </c>
      <c r="S14" s="15"/>
      <c r="T14" s="15"/>
      <c r="U14" s="16"/>
    </row>
    <row r="15" spans="2:21" x14ac:dyDescent="0.2">
      <c r="B15" s="40" t="s">
        <v>7</v>
      </c>
      <c r="C15" s="41" t="s">
        <v>5</v>
      </c>
      <c r="D15" s="42" t="s">
        <v>6</v>
      </c>
      <c r="N15" s="22" t="s">
        <v>7</v>
      </c>
      <c r="O15" s="23" t="s">
        <v>6</v>
      </c>
      <c r="P15" s="55" t="s">
        <v>46</v>
      </c>
      <c r="R15" s="17" t="s">
        <v>41</v>
      </c>
      <c r="S15" s="18"/>
      <c r="T15" s="18"/>
      <c r="U15" s="19" t="s">
        <v>28</v>
      </c>
    </row>
    <row r="16" spans="2:21" ht="13.5" thickBot="1" x14ac:dyDescent="0.25">
      <c r="B16" s="26"/>
      <c r="C16" s="146">
        <v>1001.56</v>
      </c>
      <c r="D16" s="25">
        <f>B16*C16</f>
        <v>0</v>
      </c>
      <c r="N16" s="64">
        <v>600</v>
      </c>
      <c r="O16" s="129">
        <f>N16*C16</f>
        <v>600936</v>
      </c>
      <c r="P16" s="56">
        <f>(B16-N16)*C16</f>
        <v>-600936</v>
      </c>
      <c r="R16" s="20">
        <f>N16+SUM(S20:S29)</f>
        <v>5942.2116614164079</v>
      </c>
      <c r="S16" s="30"/>
      <c r="T16" s="30"/>
      <c r="U16" s="31">
        <f>SUM(U20:U29)</f>
        <v>-29.399985597882896</v>
      </c>
    </row>
    <row r="17" spans="2:21" ht="13.5" thickBot="1" x14ac:dyDescent="0.25">
      <c r="P17" s="28"/>
    </row>
    <row r="18" spans="2:21" x14ac:dyDescent="0.2">
      <c r="B18" s="65" t="s">
        <v>39</v>
      </c>
      <c r="C18" s="32"/>
      <c r="D18" s="32"/>
      <c r="E18" s="32"/>
      <c r="F18" s="32"/>
      <c r="G18" s="32" t="s">
        <v>44</v>
      </c>
      <c r="H18" s="32" t="s">
        <v>45</v>
      </c>
      <c r="I18" s="52"/>
      <c r="J18" s="32" t="s">
        <v>42</v>
      </c>
      <c r="K18" s="32" t="s">
        <v>34</v>
      </c>
      <c r="L18" s="32"/>
      <c r="M18" s="33"/>
      <c r="N18" s="49" t="s">
        <v>39</v>
      </c>
      <c r="O18" s="127"/>
      <c r="P18" s="54"/>
      <c r="R18" s="14"/>
      <c r="S18" s="15"/>
      <c r="T18" s="15"/>
      <c r="U18" s="16"/>
    </row>
    <row r="19" spans="2:21" ht="13.5" thickBot="1" x14ac:dyDescent="0.25">
      <c r="B19" s="24" t="s">
        <v>7</v>
      </c>
      <c r="C19" s="34" t="s">
        <v>21</v>
      </c>
      <c r="D19" s="34" t="s">
        <v>8</v>
      </c>
      <c r="E19" s="34" t="s">
        <v>9</v>
      </c>
      <c r="F19" s="34" t="s">
        <v>18</v>
      </c>
      <c r="G19" s="53" t="s">
        <v>16</v>
      </c>
      <c r="H19" s="53" t="s">
        <v>16</v>
      </c>
      <c r="I19" s="34" t="s">
        <v>6</v>
      </c>
      <c r="J19" s="34" t="s">
        <v>43</v>
      </c>
      <c r="K19" s="34" t="s">
        <v>35</v>
      </c>
      <c r="L19" s="34" t="s">
        <v>14</v>
      </c>
      <c r="M19" s="35" t="s">
        <v>15</v>
      </c>
      <c r="N19" s="24" t="s">
        <v>7</v>
      </c>
      <c r="O19" s="34" t="s">
        <v>6</v>
      </c>
      <c r="P19" s="57" t="s">
        <v>46</v>
      </c>
      <c r="R19" s="20" t="s">
        <v>24</v>
      </c>
      <c r="S19" s="30" t="s">
        <v>25</v>
      </c>
      <c r="T19" s="30" t="s">
        <v>26</v>
      </c>
      <c r="U19" s="31" t="s">
        <v>27</v>
      </c>
    </row>
    <row r="20" spans="2:21" x14ac:dyDescent="0.2">
      <c r="B20" s="46">
        <v>-20000</v>
      </c>
      <c r="C20" s="145" t="s">
        <v>48</v>
      </c>
      <c r="D20" s="36">
        <v>975</v>
      </c>
      <c r="E20" s="37">
        <v>43810</v>
      </c>
      <c r="F20" s="144">
        <v>0.08</v>
      </c>
      <c r="G20" s="66">
        <v>16.8</v>
      </c>
      <c r="H20" s="66">
        <v>16.8</v>
      </c>
      <c r="I20" s="106">
        <f>B20*AVERAGE(H20,G20)</f>
        <v>-336000</v>
      </c>
      <c r="J20" s="106">
        <v>9.98</v>
      </c>
      <c r="K20" s="32">
        <f>($E20-$C$2)/365</f>
        <v>9.3150684931506855E-2</v>
      </c>
      <c r="L20" s="32"/>
      <c r="M20" s="32"/>
      <c r="N20" s="62">
        <f>B20</f>
        <v>-20000</v>
      </c>
      <c r="O20" s="131">
        <f>N20*AVERAGE(G20:H20)</f>
        <v>-336000</v>
      </c>
      <c r="P20" s="58">
        <f>MIN((B20-N20)*G20,(B20-N20)*H20)</f>
        <v>0</v>
      </c>
      <c r="R20" s="141">
        <v>0.70430000000000004</v>
      </c>
      <c r="S20" s="15">
        <f>R20*N20</f>
        <v>-14086</v>
      </c>
      <c r="T20">
        <v>1.47E-3</v>
      </c>
      <c r="U20" s="143">
        <f>T20*N20</f>
        <v>-29.4</v>
      </c>
    </row>
    <row r="21" spans="2:21" x14ac:dyDescent="0.2">
      <c r="B21" s="47">
        <v>-15000</v>
      </c>
      <c r="C21" s="23" t="s">
        <v>47</v>
      </c>
      <c r="D21" s="38">
        <v>1000</v>
      </c>
      <c r="E21" s="39">
        <v>43819</v>
      </c>
      <c r="F21" s="147">
        <v>0.103394268326591</v>
      </c>
      <c r="G21" s="124">
        <v>11.35</v>
      </c>
      <c r="H21" s="124">
        <v>13.2</v>
      </c>
      <c r="I21" s="107">
        <f>B21*AVERAGE(H21,G21)</f>
        <v>-184124.99999999997</v>
      </c>
      <c r="J21" s="123">
        <f>-$C$16*NORMSDIST(-M21)+D21*EXP(-$C$6*K21)*NORMSDIST(-L21)</f>
        <v>12.280711965674016</v>
      </c>
      <c r="K21" s="23">
        <f>($E21-$C$2)/365</f>
        <v>0.11780821917808219</v>
      </c>
      <c r="L21" s="23">
        <f>(LN($C$16/D21)+($C$6-F21*F21/2)*K21)/(F21*SQRT(K21))</f>
        <v>9.257273308431882E-2</v>
      </c>
      <c r="M21" s="23">
        <f>L21+F21*SQRT(K21)</f>
        <v>0.12806095660196484</v>
      </c>
      <c r="N21" s="63">
        <v>-12380</v>
      </c>
      <c r="O21" s="132">
        <f>N21*AVERAGE(G21:H21)</f>
        <v>-151964.49999999997</v>
      </c>
      <c r="P21" s="59">
        <f>MIN((B21-N21)*G21,(B21-N21)*H21)</f>
        <v>-34584</v>
      </c>
      <c r="R21" s="161">
        <f xml:space="preserve"> _xlfn.NORM.DIST(M21,0,1,TRUE) - 1</f>
        <v>-0.44905036684966171</v>
      </c>
      <c r="S21" s="162">
        <f>N21 * R21</f>
        <v>5559.243541598812</v>
      </c>
      <c r="T21" s="18">
        <f t="shared" ref="T21:T22" si="0" xml:space="preserve"> _xlfn.NORM.S.DIST($L21, FALSE) / ($F21*$F21 * $C$16 * $C$16 * $K21)</f>
        <v>3.1443198262207567E-4</v>
      </c>
      <c r="U21" s="19">
        <f xml:space="preserve"> T21 *R21</f>
        <v>-1.4119579714570954E-4</v>
      </c>
    </row>
    <row r="22" spans="2:21" x14ac:dyDescent="0.2">
      <c r="B22" s="47">
        <v>-49125</v>
      </c>
      <c r="C22" s="155" t="s">
        <v>47</v>
      </c>
      <c r="D22" s="23">
        <v>955</v>
      </c>
      <c r="E22" s="39">
        <v>43910</v>
      </c>
      <c r="F22" s="157">
        <v>0.14445444555532799</v>
      </c>
      <c r="G22" s="156">
        <v>6.85</v>
      </c>
      <c r="H22" s="50">
        <v>20.65</v>
      </c>
      <c r="I22" s="107">
        <f>B22*AVERAGE(H22,G22)</f>
        <v>-675468.75</v>
      </c>
      <c r="J22" s="123">
        <f>-$C$16*NORMSDIST(-M22)+D22*EXP(-$C$6*K22)*NORMSDIST(-L22)</f>
        <v>13.740002957543936</v>
      </c>
      <c r="K22" s="23">
        <f>($E22-$C$2)/365</f>
        <v>0.36712328767123287</v>
      </c>
      <c r="L22" s="23">
        <f>(LN($C$16/D22)+($C$6-F22*F22/2)*K22)/(F22*SQRT(K22))</f>
        <v>0.58399579339486907</v>
      </c>
      <c r="M22" s="23">
        <f>L22+F22*SQRT(K22)</f>
        <v>0.67152175254458579</v>
      </c>
      <c r="N22" s="63">
        <v>-44999</v>
      </c>
      <c r="O22" s="132">
        <f>N22*AVERAGE(G22:H22)</f>
        <v>-618736.25</v>
      </c>
      <c r="P22" s="59">
        <f t="shared" ref="P22:P23" si="1">MIN((B22-N22)*G22,(B22-N22)*H22)</f>
        <v>-85201.9</v>
      </c>
      <c r="R22" s="161">
        <f>_xlfn.NORM.DIST(M22,0,1,TRUE) - 1</f>
        <v>-0.25094410341347984</v>
      </c>
      <c r="S22" s="162">
        <f>N22 * R22</f>
        <v>11292.23370950318</v>
      </c>
      <c r="T22" s="18">
        <f t="shared" si="0"/>
        <v>4.3774789162021136E-5</v>
      </c>
      <c r="U22" s="19">
        <f t="shared" ref="U22:U29" si="2" xml:space="preserve"> T22 *R22</f>
        <v>-1.0985025218377509E-5</v>
      </c>
    </row>
    <row r="23" spans="2:21" x14ac:dyDescent="0.2">
      <c r="B23" s="47"/>
      <c r="C23" s="23" t="s">
        <v>22</v>
      </c>
      <c r="D23" s="23">
        <v>985</v>
      </c>
      <c r="E23" s="39">
        <v>43847</v>
      </c>
      <c r="F23" s="167">
        <v>8.7363977941719975E-2</v>
      </c>
      <c r="G23" s="156">
        <v>23</v>
      </c>
      <c r="H23" s="50">
        <v>32.1</v>
      </c>
      <c r="I23" s="108"/>
      <c r="J23" s="123">
        <f xml:space="preserve"> $C$16 *NORMSDIST($M23) - D23*EXP(-$C$6*$K23)*NORMSDIST($L23)</f>
        <v>27.549956948686827</v>
      </c>
      <c r="K23" s="23">
        <f>($E23-$C$2)/365</f>
        <v>0.19452054794520549</v>
      </c>
      <c r="L23" s="23">
        <f>(LN($C$16/D23)+($C$6-F23*F23/2)*K23)/(F23*SQRT(K23))</f>
        <v>0.51439816586704268</v>
      </c>
      <c r="M23" s="23">
        <f>L23+F23*SQRT(K23)</f>
        <v>0.55292959724839164</v>
      </c>
      <c r="N23" s="63">
        <v>3630</v>
      </c>
      <c r="O23" s="132">
        <f>N23*AVERAGE(G23:H23)</f>
        <v>100006.5</v>
      </c>
      <c r="P23" s="59">
        <f t="shared" si="1"/>
        <v>-116523</v>
      </c>
      <c r="R23" s="161">
        <f>_xlfn.NORM.DIST(M23,0,1,TRUE)</f>
        <v>0.70984419016926092</v>
      </c>
      <c r="S23" s="162">
        <f t="shared" ref="S23:S29" si="3">N23 * R23</f>
        <v>2576.7344103144173</v>
      </c>
      <c r="T23" s="18">
        <f xml:space="preserve"> _xlfn.NORM.S.DIST($L23, FALSE) / ($F23*$F23 * $C$16 * $C$16 * $K23)</f>
        <v>2.3467535802324871E-4</v>
      </c>
      <c r="U23" s="19">
        <f t="shared" si="2"/>
        <v>1.6658293946869435E-4</v>
      </c>
    </row>
    <row r="24" spans="2:21" x14ac:dyDescent="0.2">
      <c r="B24" s="47"/>
      <c r="C24" s="23"/>
      <c r="D24" s="23"/>
      <c r="E24" s="23"/>
      <c r="F24" s="60"/>
      <c r="G24" s="60"/>
      <c r="H24" s="50"/>
      <c r="I24" s="108"/>
      <c r="J24" s="108"/>
      <c r="K24" s="23"/>
      <c r="L24" s="23"/>
      <c r="M24" s="23"/>
      <c r="N24" s="63"/>
      <c r="O24" s="60"/>
      <c r="P24" s="59"/>
      <c r="R24" s="17"/>
      <c r="S24" s="162">
        <f t="shared" si="3"/>
        <v>0</v>
      </c>
      <c r="T24" s="18"/>
      <c r="U24" s="19">
        <f t="shared" si="2"/>
        <v>0</v>
      </c>
    </row>
    <row r="25" spans="2:21" x14ac:dyDescent="0.2">
      <c r="B25" s="47"/>
      <c r="C25" s="23"/>
      <c r="D25" s="23"/>
      <c r="E25" s="23"/>
      <c r="F25" s="60"/>
      <c r="G25" s="60"/>
      <c r="H25" s="50"/>
      <c r="I25" s="108"/>
      <c r="J25" s="108"/>
      <c r="K25" s="23"/>
      <c r="L25" s="23"/>
      <c r="M25" s="23"/>
      <c r="N25" s="63"/>
      <c r="O25" s="60"/>
      <c r="P25" s="59"/>
      <c r="R25" s="17"/>
      <c r="S25" s="162">
        <f t="shared" si="3"/>
        <v>0</v>
      </c>
      <c r="T25" s="18"/>
      <c r="U25" s="19">
        <f t="shared" si="2"/>
        <v>0</v>
      </c>
    </row>
    <row r="26" spans="2:21" x14ac:dyDescent="0.2">
      <c r="B26" s="47"/>
      <c r="C26" s="23"/>
      <c r="D26" s="23"/>
      <c r="E26" s="23"/>
      <c r="F26" s="60"/>
      <c r="G26" s="60"/>
      <c r="H26" s="50"/>
      <c r="I26" s="108"/>
      <c r="J26" s="108"/>
      <c r="K26" s="23"/>
      <c r="L26" s="23"/>
      <c r="M26" s="23"/>
      <c r="N26" s="63"/>
      <c r="O26" s="60"/>
      <c r="P26" s="59"/>
      <c r="R26" s="17"/>
      <c r="S26" s="162">
        <f t="shared" si="3"/>
        <v>0</v>
      </c>
      <c r="T26" s="18"/>
      <c r="U26" s="19">
        <f t="shared" si="2"/>
        <v>0</v>
      </c>
    </row>
    <row r="27" spans="2:21" x14ac:dyDescent="0.2">
      <c r="B27" s="47"/>
      <c r="C27" s="23"/>
      <c r="D27" s="23"/>
      <c r="E27" s="23"/>
      <c r="F27" s="60"/>
      <c r="G27" s="60"/>
      <c r="H27" s="50"/>
      <c r="I27" s="108"/>
      <c r="J27" s="108"/>
      <c r="K27" s="23"/>
      <c r="L27" s="23"/>
      <c r="M27" s="23"/>
      <c r="N27" s="63"/>
      <c r="O27" s="60"/>
      <c r="P27" s="59"/>
      <c r="R27" s="17"/>
      <c r="S27" s="162">
        <f t="shared" si="3"/>
        <v>0</v>
      </c>
      <c r="T27" s="18"/>
      <c r="U27" s="19">
        <f t="shared" si="2"/>
        <v>0</v>
      </c>
    </row>
    <row r="28" spans="2:21" x14ac:dyDescent="0.2">
      <c r="B28" s="47"/>
      <c r="C28" s="23"/>
      <c r="D28" s="23"/>
      <c r="E28" s="23"/>
      <c r="F28" s="60"/>
      <c r="G28" s="60"/>
      <c r="H28" s="50"/>
      <c r="I28" s="108"/>
      <c r="J28" s="108"/>
      <c r="K28" s="23"/>
      <c r="L28" s="23"/>
      <c r="M28" s="23"/>
      <c r="N28" s="63"/>
      <c r="O28" s="60"/>
      <c r="P28" s="59"/>
      <c r="R28" s="17"/>
      <c r="S28" s="162">
        <f t="shared" si="3"/>
        <v>0</v>
      </c>
      <c r="T28" s="18"/>
      <c r="U28" s="19">
        <f t="shared" si="2"/>
        <v>0</v>
      </c>
    </row>
    <row r="29" spans="2:21" ht="13.5" thickBot="1" x14ac:dyDescent="0.25">
      <c r="B29" s="26"/>
      <c r="C29" s="34"/>
      <c r="D29" s="34"/>
      <c r="E29" s="34"/>
      <c r="F29" s="61"/>
      <c r="G29" s="61"/>
      <c r="H29" s="51"/>
      <c r="I29" s="109"/>
      <c r="J29" s="109"/>
      <c r="K29" s="34"/>
      <c r="L29" s="34"/>
      <c r="M29" s="34"/>
      <c r="N29" s="64"/>
      <c r="O29" s="61"/>
      <c r="P29" s="56"/>
      <c r="R29" s="20"/>
      <c r="S29" s="162">
        <f t="shared" si="3"/>
        <v>0</v>
      </c>
      <c r="T29" s="30"/>
      <c r="U29" s="19">
        <f t="shared" si="2"/>
        <v>0</v>
      </c>
    </row>
    <row r="30" spans="2:21" ht="13.5" thickBot="1" x14ac:dyDescent="0.25">
      <c r="H30" s="3"/>
    </row>
    <row r="31" spans="2:21" x14ac:dyDescent="0.2">
      <c r="B31" s="74" t="s">
        <v>59</v>
      </c>
      <c r="C31" s="68"/>
      <c r="D31" s="69"/>
      <c r="H31" s="3"/>
      <c r="N31" s="113" t="s">
        <v>59</v>
      </c>
      <c r="O31" s="128"/>
      <c r="P31" s="69"/>
      <c r="R31" s="74" t="s">
        <v>59</v>
      </c>
      <c r="S31" s="68"/>
      <c r="T31" s="68"/>
      <c r="U31" s="69"/>
    </row>
    <row r="32" spans="2:21" x14ac:dyDescent="0.2">
      <c r="B32" s="75" t="s">
        <v>7</v>
      </c>
      <c r="C32" s="76" t="s">
        <v>5</v>
      </c>
      <c r="D32" s="77" t="s">
        <v>6</v>
      </c>
      <c r="H32" s="150"/>
      <c r="N32" s="114" t="s">
        <v>7</v>
      </c>
      <c r="O32" s="89" t="s">
        <v>6</v>
      </c>
      <c r="P32" s="115" t="s">
        <v>46</v>
      </c>
      <c r="R32" s="70" t="s">
        <v>40</v>
      </c>
      <c r="S32" s="71"/>
      <c r="T32" s="71"/>
      <c r="U32" s="72" t="s">
        <v>28</v>
      </c>
    </row>
    <row r="33" spans="2:21" ht="13.5" thickBot="1" x14ac:dyDescent="0.25">
      <c r="B33" s="79">
        <v>10000</v>
      </c>
      <c r="C33" s="154">
        <v>21.55</v>
      </c>
      <c r="D33" s="78">
        <f>B33*C33</f>
        <v>215500</v>
      </c>
      <c r="F33" s="148">
        <f>0.99 * C33</f>
        <v>21.334500000000002</v>
      </c>
      <c r="H33" s="152">
        <f>H32/J37</f>
        <v>0</v>
      </c>
      <c r="I33" s="140"/>
      <c r="N33" s="103">
        <v>10000</v>
      </c>
      <c r="O33" s="135">
        <f>N33*C33</f>
        <v>215500</v>
      </c>
      <c r="P33" s="104">
        <f>(B33-N33)*C33</f>
        <v>0</v>
      </c>
      <c r="R33" s="73">
        <f>SUM(S37:S53)</f>
        <v>-863.67915617488325</v>
      </c>
      <c r="S33" s="80"/>
      <c r="T33" s="80"/>
      <c r="U33" s="81">
        <f>SUM(U37:U53)</f>
        <v>375.8747214830006</v>
      </c>
    </row>
    <row r="34" spans="2:21" ht="13.5" thickBot="1" x14ac:dyDescent="0.25">
      <c r="H34" s="3"/>
    </row>
    <row r="35" spans="2:21" x14ac:dyDescent="0.2">
      <c r="B35" s="67" t="s">
        <v>17</v>
      </c>
      <c r="C35" s="68"/>
      <c r="D35" s="68"/>
      <c r="E35" s="68"/>
      <c r="F35" s="68"/>
      <c r="G35" s="84" t="s">
        <v>44</v>
      </c>
      <c r="H35" s="130" t="s">
        <v>45</v>
      </c>
      <c r="I35" s="68"/>
      <c r="J35" s="84" t="s">
        <v>42</v>
      </c>
      <c r="K35" s="68" t="s">
        <v>34</v>
      </c>
      <c r="L35" s="68"/>
      <c r="M35" s="69"/>
      <c r="N35" s="67" t="s">
        <v>17</v>
      </c>
      <c r="O35" s="68"/>
      <c r="P35" s="69"/>
      <c r="R35" s="67"/>
      <c r="S35" s="68"/>
      <c r="T35" s="68"/>
      <c r="U35" s="69"/>
    </row>
    <row r="36" spans="2:21" ht="13.5" thickBot="1" x14ac:dyDescent="0.25">
      <c r="B36" s="73" t="s">
        <v>7</v>
      </c>
      <c r="C36" s="80" t="s">
        <v>21</v>
      </c>
      <c r="D36" s="80" t="s">
        <v>8</v>
      </c>
      <c r="E36" s="80" t="s">
        <v>9</v>
      </c>
      <c r="F36" s="80" t="s">
        <v>18</v>
      </c>
      <c r="G36" s="82" t="s">
        <v>16</v>
      </c>
      <c r="H36" s="82" t="s">
        <v>16</v>
      </c>
      <c r="I36" s="95" t="s">
        <v>6</v>
      </c>
      <c r="J36" s="95" t="s">
        <v>43</v>
      </c>
      <c r="K36" s="80" t="s">
        <v>35</v>
      </c>
      <c r="L36" s="80" t="s">
        <v>14</v>
      </c>
      <c r="M36" s="81" t="s">
        <v>15</v>
      </c>
      <c r="N36" s="73" t="s">
        <v>7</v>
      </c>
      <c r="O36" s="95" t="s">
        <v>6</v>
      </c>
      <c r="P36" s="116" t="s">
        <v>46</v>
      </c>
      <c r="R36" s="73" t="s">
        <v>24</v>
      </c>
      <c r="S36" s="80" t="s">
        <v>25</v>
      </c>
      <c r="T36" s="80" t="s">
        <v>26</v>
      </c>
      <c r="U36" s="81" t="s">
        <v>27</v>
      </c>
    </row>
    <row r="37" spans="2:21" ht="13.5" thickBot="1" x14ac:dyDescent="0.25">
      <c r="B37" s="83">
        <v>-205555</v>
      </c>
      <c r="C37" s="84" t="s">
        <v>29</v>
      </c>
      <c r="D37" s="138">
        <v>22</v>
      </c>
      <c r="E37" s="85">
        <v>43810</v>
      </c>
      <c r="F37" s="86">
        <v>0.35</v>
      </c>
      <c r="G37" s="105">
        <f>J37</f>
        <v>0.58963642662775417</v>
      </c>
      <c r="H37" s="105">
        <f>J37</f>
        <v>0.58963642662775417</v>
      </c>
      <c r="I37" s="110">
        <f>B37*AVERAGE(H37,G37)</f>
        <v>-121202.715675468</v>
      </c>
      <c r="J37" s="125">
        <f>EXP(-$C$6 *K37) *NORMSDIST(-L37)</f>
        <v>0.58963642662775417</v>
      </c>
      <c r="K37" s="84">
        <f>(E37-$C$2)/365</f>
        <v>9.3150684931506855E-2</v>
      </c>
      <c r="L37" s="84">
        <f t="shared" ref="L37:L42" si="4">(LN($C$33/D37)+($C$6-F37*F37/2)*K37)/(F37*SQRT(K37))</f>
        <v>-0.22943852315961175</v>
      </c>
      <c r="M37" s="87">
        <f>L37+F37*SQRT(K37)</f>
        <v>-0.12261643319639492</v>
      </c>
      <c r="N37" s="99">
        <f>B37</f>
        <v>-205555</v>
      </c>
      <c r="O37" s="133">
        <f>N37*AVERAGE(G37:H37)</f>
        <v>-121202.715675468</v>
      </c>
      <c r="P37" s="100">
        <f>MIN((B37-N37)*G37,(B37-N37)*H37)</f>
        <v>0</v>
      </c>
      <c r="R37" s="160">
        <f>-1*EXP(-$C$6*$K37)*_xlfn.NORM.S.DIST($L37,FALSE)/($F37*$C$33*SQRT($K37))</f>
        <v>-0.1684851198767443</v>
      </c>
      <c r="S37" s="68">
        <f>IF($N37 = 0, "N/A", $R37 *$N37)</f>
        <v>34632.958816264174</v>
      </c>
      <c r="T37" s="68">
        <f xml:space="preserve"> _xlfn.NORM.S.DIST($L37, FALSE) / ($F37*$F37 * $C$33 * $C$33 * $K37)</f>
        <v>7.3326727397739502E-2</v>
      </c>
      <c r="U37" s="69">
        <f>T37*N37</f>
        <v>-15072.675450242343</v>
      </c>
    </row>
    <row r="38" spans="2:21" ht="13.5" thickBot="1" x14ac:dyDescent="0.25">
      <c r="B38" s="88">
        <v>15500</v>
      </c>
      <c r="C38" s="89" t="s">
        <v>22</v>
      </c>
      <c r="D38" s="139">
        <v>22</v>
      </c>
      <c r="E38" s="90">
        <v>43819</v>
      </c>
      <c r="F38" s="91">
        <v>0.31990000000000002</v>
      </c>
      <c r="G38" s="126">
        <v>0.75</v>
      </c>
      <c r="H38" s="126">
        <v>0.8</v>
      </c>
      <c r="I38" s="110">
        <f>B38*AVERAGE(H38,G38)</f>
        <v>12012.5</v>
      </c>
      <c r="J38" s="125">
        <f xml:space="preserve"> C33 * NORMSDIST(M38) - D38 * EXP(-C6*K38) * NORMSDIST(L38)</f>
        <v>0.76629947344661531</v>
      </c>
      <c r="K38" s="89">
        <f>(E38-$C$2)/365</f>
        <v>0.11780821917808219</v>
      </c>
      <c r="L38" s="89">
        <f>(LN($C$33/D38)+($C$6-F38*F38/2)*K38)/(F38*SQRT(K38))</f>
        <v>-0.22166212236606328</v>
      </c>
      <c r="M38" s="92">
        <f>L38+F38*SQRT(K38)</f>
        <v>-0.11186219934290988</v>
      </c>
      <c r="N38" s="101">
        <v>495</v>
      </c>
      <c r="O38" s="134">
        <f>N38*AVERAGE(G38:H38)</f>
        <v>383.625</v>
      </c>
      <c r="P38" s="102">
        <f>MIN((B38-N38)*G38,(B38-N38)*H38)</f>
        <v>11253.75</v>
      </c>
      <c r="R38" s="160">
        <f>_xlfn.NORM.DIST(M38,0,1,TRUE)</f>
        <v>0.45546633449444035</v>
      </c>
      <c r="S38" s="68">
        <f>IF($N38 = 0, "N/A", $R38 *$N38)</f>
        <v>225.45583557474797</v>
      </c>
      <c r="T38" s="68">
        <f t="shared" ref="T38:T42" si="5" xml:space="preserve"> _xlfn.NORM.S.DIST($L38, FALSE) / ($F38*$F38 * $C$33 * $C$33 * $K38)</f>
        <v>6.9525178419056824E-2</v>
      </c>
      <c r="U38" s="72">
        <f xml:space="preserve"> T38 * N38</f>
        <v>34.414963317433127</v>
      </c>
    </row>
    <row r="39" spans="2:21" ht="13.5" thickBot="1" x14ac:dyDescent="0.25">
      <c r="B39" s="88">
        <v>496875</v>
      </c>
      <c r="C39" s="89" t="s">
        <v>47</v>
      </c>
      <c r="D39" s="163">
        <v>17</v>
      </c>
      <c r="E39" s="90">
        <v>43938</v>
      </c>
      <c r="F39" s="165">
        <v>0.378</v>
      </c>
      <c r="G39" s="164">
        <v>0.37</v>
      </c>
      <c r="H39" s="94">
        <v>0.44</v>
      </c>
      <c r="I39" s="110">
        <f t="shared" ref="I39:I42" si="6">B39*AVERAGE(H39,G39)</f>
        <v>201234.375</v>
      </c>
      <c r="J39" s="111">
        <f xml:space="preserve"> $D39*EXP(-$C$6 *$K39) *NORMSDIST(-$L39) - $C$33 *NORMSDIST(-$M39)</f>
        <v>0.4155344516981172</v>
      </c>
      <c r="K39" s="89">
        <f>($E39-$C$2)/365</f>
        <v>0.44383561643835617</v>
      </c>
      <c r="L39" s="89">
        <f t="shared" si="4"/>
        <v>0.85110172041669641</v>
      </c>
      <c r="M39" s="92">
        <f t="shared" ref="M39:M42" si="7">L39+F39*SQRT(K39)</f>
        <v>1.1029290585259217</v>
      </c>
      <c r="N39" s="101">
        <v>27500</v>
      </c>
      <c r="O39" s="134">
        <f>N39*AVERAGE(G39:H39)</f>
        <v>11137.5</v>
      </c>
      <c r="P39" s="102">
        <f>MIN((B39-N39)*G39,(B39-N39)*H39)</f>
        <v>173668.75</v>
      </c>
      <c r="R39" s="160">
        <f>_xlfn.NORM.DIST(M38,0,1, TRUE)-1</f>
        <v>-0.54453366550555971</v>
      </c>
      <c r="S39" s="68">
        <f>IF($N39 = 0, "N/A", $R39 *$N39)</f>
        <v>-14974.675801402891</v>
      </c>
      <c r="T39" s="68">
        <f t="shared" si="5"/>
        <v>9.4300483935607724E-3</v>
      </c>
      <c r="U39" s="72">
        <f xml:space="preserve"> T39 * N39</f>
        <v>259.32633082292125</v>
      </c>
    </row>
    <row r="40" spans="2:21" ht="13.5" thickBot="1" x14ac:dyDescent="0.25">
      <c r="B40" s="88">
        <v>279150</v>
      </c>
      <c r="C40" s="89" t="s">
        <v>22</v>
      </c>
      <c r="D40" s="166">
        <v>32</v>
      </c>
      <c r="E40" s="90">
        <v>43938</v>
      </c>
      <c r="F40" s="165">
        <v>0.3745</v>
      </c>
      <c r="G40" s="164">
        <v>0.15</v>
      </c>
      <c r="H40" s="94">
        <v>0.2</v>
      </c>
      <c r="I40" s="110">
        <f t="shared" si="6"/>
        <v>48851.25</v>
      </c>
      <c r="J40" s="111">
        <f xml:space="preserve"> $C$33 * NORMSDIST($M40) - $D40 * EXP(-$C$6*$K40) * NORMSDIST($L40)</f>
        <v>0.16980841799981294</v>
      </c>
      <c r="K40" s="89">
        <f>($E40-$C$2)/365</f>
        <v>0.44383561643835617</v>
      </c>
      <c r="L40" s="89">
        <f t="shared" si="4"/>
        <v>-1.6738066569106642</v>
      </c>
      <c r="M40" s="92">
        <f t="shared" si="7"/>
        <v>-1.4243110534135615</v>
      </c>
      <c r="N40" s="101">
        <v>4145</v>
      </c>
      <c r="O40" s="134">
        <f>N40*AVERAGE(G40:H40)</f>
        <v>725.375</v>
      </c>
      <c r="P40" s="102">
        <f>MIN((B40-N40)*G40,(B40-N40)*H40)</f>
        <v>41250.75</v>
      </c>
      <c r="R40" s="160">
        <f>_xlfn.NORM.DIST(M39,0,1,TRUE)</f>
        <v>0.86497101305247093</v>
      </c>
      <c r="S40" s="68">
        <f>IF($N40 = 0, "N/A", $R40 *$N40)</f>
        <v>3585.304849102492</v>
      </c>
      <c r="T40" s="68">
        <f t="shared" si="5"/>
        <v>3.4003512010652073E-3</v>
      </c>
      <c r="U40" s="72">
        <f xml:space="preserve"> T40 * N40</f>
        <v>14.094455728415284</v>
      </c>
    </row>
    <row r="41" spans="2:21" ht="13.5" thickBot="1" x14ac:dyDescent="0.25">
      <c r="B41" s="88">
        <v>-1296</v>
      </c>
      <c r="C41" s="89" t="s">
        <v>22</v>
      </c>
      <c r="D41" s="163">
        <v>21</v>
      </c>
      <c r="E41" s="90">
        <v>43791</v>
      </c>
      <c r="F41" s="165">
        <v>0.35349999999999998</v>
      </c>
      <c r="G41" s="164">
        <v>0.91</v>
      </c>
      <c r="H41" s="94">
        <v>0.95</v>
      </c>
      <c r="I41" s="110">
        <f t="shared" si="6"/>
        <v>-1205.28</v>
      </c>
      <c r="J41" s="111">
        <f xml:space="preserve"> $C$33 * NORMSDIST($M41) - $D41 * EXP(-$C$6*$K41) * NORMSDIST($L41)</f>
        <v>0.93309242147342353</v>
      </c>
      <c r="K41" s="89">
        <f>($E41-$C$2)/365</f>
        <v>4.1095890410958902E-2</v>
      </c>
      <c r="L41" s="89">
        <f t="shared" si="4"/>
        <v>0.33640697067525915</v>
      </c>
      <c r="M41" s="92">
        <f t="shared" si="7"/>
        <v>0.40806891965452463</v>
      </c>
      <c r="N41" s="101">
        <v>93340</v>
      </c>
      <c r="O41" s="134">
        <f t="shared" ref="O41:O42" si="8">N41*AVERAGE(G41:H41)</f>
        <v>86806.2</v>
      </c>
      <c r="P41" s="102">
        <f t="shared" ref="P41:P42" si="9">MIN((B41-N41)*G41,(B41-N41)*H41)</f>
        <v>-89904.2</v>
      </c>
      <c r="R41" s="160">
        <f>_xlfn.NORM.DIST(M40,0,1,TRUE)</f>
        <v>7.7178224596658462E-2</v>
      </c>
      <c r="S41" s="68">
        <f t="shared" ref="S41:S42" si="10">IF($N41 = 0, "N/A", $R41 *$N41)</f>
        <v>7203.8154838521004</v>
      </c>
      <c r="T41" s="68">
        <f t="shared" si="5"/>
        <v>0.1580752250270554</v>
      </c>
      <c r="U41" s="72">
        <f t="shared" ref="U41:U42" si="11" xml:space="preserve"> T41 * N41</f>
        <v>14754.741504025351</v>
      </c>
    </row>
    <row r="42" spans="2:21" ht="13.5" thickBot="1" x14ac:dyDescent="0.25">
      <c r="B42" s="88">
        <v>50000</v>
      </c>
      <c r="C42" s="89" t="s">
        <v>47</v>
      </c>
      <c r="D42" s="163">
        <v>27</v>
      </c>
      <c r="E42" s="90">
        <v>43819</v>
      </c>
      <c r="F42" s="165">
        <v>0.43759999999999999</v>
      </c>
      <c r="G42" s="164">
        <v>5.45</v>
      </c>
      <c r="H42" s="94">
        <v>5.55</v>
      </c>
      <c r="I42" s="111">
        <f t="shared" si="6"/>
        <v>275000</v>
      </c>
      <c r="J42" s="111">
        <f xml:space="preserve"> D42*EXP(-$C$6 *$K42) *NORMSDIST(-$L42) - $C$33 *NORMSDIST(-$M42)</f>
        <v>5.4958693913804133</v>
      </c>
      <c r="K42" s="89">
        <f>($E42-$C$2)/365</f>
        <v>0.11780821917808219</v>
      </c>
      <c r="L42" s="89">
        <f t="shared" si="4"/>
        <v>-1.5605010509957522</v>
      </c>
      <c r="M42" s="92">
        <f t="shared" si="7"/>
        <v>-1.4103027192829296</v>
      </c>
      <c r="N42" s="101">
        <v>34250</v>
      </c>
      <c r="O42" s="134">
        <f t="shared" si="8"/>
        <v>188375</v>
      </c>
      <c r="P42" s="102">
        <f t="shared" si="9"/>
        <v>85837.5</v>
      </c>
      <c r="R42" s="160">
        <f>_xlfn.NORM.DIST(M42,0,1, TRUE)-1</f>
        <v>-0.92077484203110982</v>
      </c>
      <c r="S42" s="68">
        <f t="shared" si="10"/>
        <v>-31536.538339565512</v>
      </c>
      <c r="T42" s="68">
        <f t="shared" si="5"/>
        <v>1.1269282272444475E-2</v>
      </c>
      <c r="U42" s="72">
        <f t="shared" si="11"/>
        <v>385.9729178312233</v>
      </c>
    </row>
    <row r="43" spans="2:21" ht="13.5" thickBot="1" x14ac:dyDescent="0.25">
      <c r="B43" s="88"/>
      <c r="C43" s="89"/>
      <c r="D43" s="89"/>
      <c r="E43" s="89"/>
      <c r="F43" s="93"/>
      <c r="G43" s="93"/>
      <c r="H43" s="94"/>
      <c r="I43" s="111"/>
      <c r="J43" s="111"/>
      <c r="K43" s="89"/>
      <c r="L43" s="89"/>
      <c r="M43" s="92"/>
      <c r="N43" s="101"/>
      <c r="O43" s="93"/>
      <c r="P43" s="102"/>
      <c r="R43" s="159"/>
      <c r="S43" s="68"/>
      <c r="T43" s="71"/>
      <c r="U43" s="72"/>
    </row>
    <row r="44" spans="2:21" ht="13.5" thickBot="1" x14ac:dyDescent="0.25">
      <c r="B44" s="88"/>
      <c r="C44" s="89"/>
      <c r="D44" s="89"/>
      <c r="E44" s="89"/>
      <c r="F44" s="93"/>
      <c r="G44" s="93"/>
      <c r="H44" s="94"/>
      <c r="I44" s="111"/>
      <c r="J44" s="111"/>
      <c r="K44" s="89"/>
      <c r="L44" s="89"/>
      <c r="M44" s="92"/>
      <c r="N44" s="101"/>
      <c r="O44" s="93"/>
      <c r="P44" s="102"/>
      <c r="R44" s="159"/>
      <c r="S44" s="68"/>
      <c r="T44" s="71"/>
      <c r="U44" s="72"/>
    </row>
    <row r="45" spans="2:21" ht="13.5" thickBot="1" x14ac:dyDescent="0.25">
      <c r="B45" s="88"/>
      <c r="C45" s="89"/>
      <c r="D45" s="89"/>
      <c r="E45" s="89"/>
      <c r="F45" s="93"/>
      <c r="G45" s="93"/>
      <c r="H45" s="94"/>
      <c r="I45" s="111"/>
      <c r="J45" s="111"/>
      <c r="K45" s="89"/>
      <c r="L45" s="89"/>
      <c r="M45" s="92"/>
      <c r="N45" s="101"/>
      <c r="O45" s="93"/>
      <c r="P45" s="102"/>
      <c r="R45" s="159"/>
      <c r="S45" s="68"/>
      <c r="T45" s="71"/>
      <c r="U45" s="72"/>
    </row>
    <row r="46" spans="2:21" ht="13.5" thickBot="1" x14ac:dyDescent="0.25">
      <c r="B46" s="88"/>
      <c r="C46" s="89"/>
      <c r="D46" s="89"/>
      <c r="E46" s="89"/>
      <c r="F46" s="93"/>
      <c r="G46" s="93"/>
      <c r="H46" s="94"/>
      <c r="I46" s="111"/>
      <c r="J46" s="111"/>
      <c r="K46" s="89"/>
      <c r="L46" s="89"/>
      <c r="M46" s="92"/>
      <c r="N46" s="101"/>
      <c r="O46" s="93"/>
      <c r="P46" s="102"/>
      <c r="R46" s="159"/>
      <c r="S46" s="68"/>
      <c r="T46" s="71"/>
      <c r="U46" s="72"/>
    </row>
    <row r="47" spans="2:21" ht="13.5" thickBot="1" x14ac:dyDescent="0.25">
      <c r="B47" s="88"/>
      <c r="C47" s="89"/>
      <c r="D47" s="89"/>
      <c r="E47" s="89"/>
      <c r="F47" s="93"/>
      <c r="G47" s="93"/>
      <c r="H47" s="94"/>
      <c r="I47" s="111"/>
      <c r="J47" s="111"/>
      <c r="K47" s="89"/>
      <c r="L47" s="89"/>
      <c r="M47" s="92"/>
      <c r="N47" s="101"/>
      <c r="O47" s="93"/>
      <c r="P47" s="102"/>
      <c r="R47" s="159"/>
      <c r="S47" s="68"/>
      <c r="T47" s="71"/>
      <c r="U47" s="72"/>
    </row>
    <row r="48" spans="2:21" ht="13.5" thickBot="1" x14ac:dyDescent="0.25">
      <c r="B48" s="88"/>
      <c r="C48" s="89"/>
      <c r="D48" s="89"/>
      <c r="E48" s="89"/>
      <c r="F48" s="93"/>
      <c r="G48" s="93"/>
      <c r="H48" s="94"/>
      <c r="I48" s="111"/>
      <c r="J48" s="111"/>
      <c r="K48" s="89"/>
      <c r="L48" s="89"/>
      <c r="M48" s="92"/>
      <c r="N48" s="101"/>
      <c r="O48" s="93"/>
      <c r="P48" s="102"/>
      <c r="R48" s="159"/>
      <c r="S48" s="68"/>
      <c r="T48" s="71"/>
      <c r="U48" s="72"/>
    </row>
    <row r="49" spans="2:21" ht="13.5" thickBot="1" x14ac:dyDescent="0.25">
      <c r="B49" s="88"/>
      <c r="C49" s="89"/>
      <c r="D49" s="89"/>
      <c r="E49" s="89"/>
      <c r="F49" s="93"/>
      <c r="G49" s="93"/>
      <c r="H49" s="94"/>
      <c r="I49" s="111"/>
      <c r="J49" s="111"/>
      <c r="K49" s="89"/>
      <c r="L49" s="89"/>
      <c r="M49" s="92"/>
      <c r="N49" s="101"/>
      <c r="O49" s="93"/>
      <c r="P49" s="102"/>
      <c r="R49" s="159"/>
      <c r="S49" s="68"/>
      <c r="T49" s="71"/>
      <c r="U49" s="72"/>
    </row>
    <row r="50" spans="2:21" ht="13.5" thickBot="1" x14ac:dyDescent="0.25">
      <c r="B50" s="88"/>
      <c r="C50" s="89"/>
      <c r="D50" s="89"/>
      <c r="E50" s="89"/>
      <c r="F50" s="93"/>
      <c r="G50" s="93"/>
      <c r="H50" s="94"/>
      <c r="I50" s="111"/>
      <c r="J50" s="111"/>
      <c r="K50" s="89"/>
      <c r="L50" s="89"/>
      <c r="M50" s="92"/>
      <c r="N50" s="101"/>
      <c r="O50" s="93"/>
      <c r="P50" s="102"/>
      <c r="R50" s="159"/>
      <c r="S50" s="68"/>
      <c r="T50" s="71"/>
      <c r="U50" s="72"/>
    </row>
    <row r="51" spans="2:21" ht="13.5" thickBot="1" x14ac:dyDescent="0.25">
      <c r="B51" s="88"/>
      <c r="C51" s="89"/>
      <c r="D51" s="89"/>
      <c r="E51" s="89"/>
      <c r="F51" s="93"/>
      <c r="G51" s="93"/>
      <c r="H51" s="94"/>
      <c r="I51" s="111"/>
      <c r="J51" s="111"/>
      <c r="K51" s="89"/>
      <c r="L51" s="89"/>
      <c r="M51" s="92"/>
      <c r="N51" s="101"/>
      <c r="O51" s="93"/>
      <c r="P51" s="102"/>
      <c r="R51" s="159"/>
      <c r="S51" s="68"/>
      <c r="T51" s="71"/>
      <c r="U51" s="72"/>
    </row>
    <row r="52" spans="2:21" ht="13.5" thickBot="1" x14ac:dyDescent="0.25">
      <c r="B52" s="88"/>
      <c r="C52" s="89"/>
      <c r="D52" s="89"/>
      <c r="E52" s="89"/>
      <c r="F52" s="93"/>
      <c r="G52" s="93"/>
      <c r="H52" s="94"/>
      <c r="I52" s="111"/>
      <c r="J52" s="111"/>
      <c r="K52" s="89"/>
      <c r="L52" s="89"/>
      <c r="M52" s="92"/>
      <c r="N52" s="101"/>
      <c r="O52" s="93"/>
      <c r="P52" s="102"/>
      <c r="R52" s="159"/>
      <c r="S52" s="68"/>
      <c r="T52" s="71"/>
      <c r="U52" s="72"/>
    </row>
    <row r="53" spans="2:21" ht="13.5" thickBot="1" x14ac:dyDescent="0.25">
      <c r="B53" s="79"/>
      <c r="C53" s="95"/>
      <c r="D53" s="95"/>
      <c r="E53" s="95"/>
      <c r="F53" s="96"/>
      <c r="G53" s="96"/>
      <c r="H53" s="97"/>
      <c r="I53" s="112"/>
      <c r="J53" s="112"/>
      <c r="K53" s="95"/>
      <c r="L53" s="95"/>
      <c r="M53" s="98"/>
      <c r="N53" s="103"/>
      <c r="O53" s="96"/>
      <c r="P53" s="104"/>
      <c r="R53" s="159"/>
      <c r="S53" s="68"/>
      <c r="T53" s="80"/>
      <c r="U53" s="8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F0350-D3F4-4DA5-A73A-B0416A4FE633}">
  <sheetPr codeName="Sheet6"/>
  <dimension ref="B1:U53"/>
  <sheetViews>
    <sheetView topLeftCell="C7" workbookViewId="0">
      <selection activeCell="N12" sqref="N12"/>
    </sheetView>
  </sheetViews>
  <sheetFormatPr defaultRowHeight="12.75" x14ac:dyDescent="0.2"/>
  <cols>
    <col min="2" max="2" width="14.42578125" customWidth="1"/>
    <col min="3" max="3" width="17.28515625" customWidth="1"/>
    <col min="4" max="4" width="22.28515625" customWidth="1"/>
    <col min="5" max="5" width="14.28515625" customWidth="1"/>
    <col min="9" max="9" width="24" customWidth="1"/>
    <col min="14" max="14" width="18.140625" customWidth="1"/>
    <col min="15" max="15" width="13.28515625" customWidth="1"/>
    <col min="16" max="16" width="14.28515625" customWidth="1"/>
    <col min="20" max="20" width="14.140625" customWidth="1"/>
  </cols>
  <sheetData>
    <row r="1" spans="2:21" ht="13.5" thickBot="1" x14ac:dyDescent="0.25"/>
    <row r="2" spans="2:21" x14ac:dyDescent="0.2">
      <c r="B2" s="5" t="s">
        <v>1</v>
      </c>
      <c r="C2" s="11">
        <f>C4 +7</f>
        <v>43783</v>
      </c>
      <c r="D2" s="1"/>
      <c r="E2" s="27" t="s">
        <v>30</v>
      </c>
      <c r="F2" t="s">
        <v>32</v>
      </c>
    </row>
    <row r="3" spans="2:21" ht="13.5" thickBot="1" x14ac:dyDescent="0.25">
      <c r="B3" s="6"/>
      <c r="C3" s="12"/>
      <c r="E3" s="29" t="s">
        <v>31</v>
      </c>
      <c r="F3" t="s">
        <v>33</v>
      </c>
    </row>
    <row r="4" spans="2:21" ht="13.5" thickBot="1" x14ac:dyDescent="0.25">
      <c r="B4" s="7" t="s">
        <v>19</v>
      </c>
      <c r="C4" s="11">
        <v>43776</v>
      </c>
    </row>
    <row r="5" spans="2:21" x14ac:dyDescent="0.2">
      <c r="C5" s="2"/>
    </row>
    <row r="6" spans="2:21" x14ac:dyDescent="0.2">
      <c r="B6" t="s">
        <v>13</v>
      </c>
      <c r="C6" s="2">
        <v>0.02</v>
      </c>
    </row>
    <row r="9" spans="2:21" ht="20.25" x14ac:dyDescent="0.3">
      <c r="B9" s="48" t="s">
        <v>20</v>
      </c>
      <c r="N9" s="48" t="s">
        <v>23</v>
      </c>
      <c r="O9" s="48"/>
    </row>
    <row r="10" spans="2:21" ht="13.5" thickBot="1" x14ac:dyDescent="0.25"/>
    <row r="11" spans="2:21" ht="18" x14ac:dyDescent="0.25">
      <c r="B11" s="43" t="s">
        <v>11</v>
      </c>
      <c r="C11" s="44" t="s">
        <v>10</v>
      </c>
      <c r="D11" s="45" t="s">
        <v>12</v>
      </c>
      <c r="I11" s="119" t="s">
        <v>2</v>
      </c>
      <c r="J11" s="121"/>
      <c r="N11" s="137" t="s">
        <v>4</v>
      </c>
    </row>
    <row r="12" spans="2:21" ht="18.75" thickBot="1" x14ac:dyDescent="0.3">
      <c r="B12" s="153">
        <v>-18684.522403375042</v>
      </c>
      <c r="C12" s="9">
        <f>(C2-C4)/365</f>
        <v>1.9178082191780823E-2</v>
      </c>
      <c r="D12" s="10">
        <f>B12*EXP($C$6*C12)</f>
        <v>-18691.690444107226</v>
      </c>
      <c r="G12" s="3"/>
      <c r="I12" s="120">
        <f>D12+D16+SUM(I20:I29)+D33+SUM(I37:I46)</f>
        <v>225769.31700024643</v>
      </c>
      <c r="J12" s="122"/>
      <c r="N12" s="136">
        <f>D12+P16+SUM(P20:P29)+P33+SUM(P37:P53)</f>
        <v>-1015017.5904441072</v>
      </c>
    </row>
    <row r="13" spans="2:21" ht="13.5" thickBot="1" x14ac:dyDescent="0.25">
      <c r="G13" s="148"/>
    </row>
    <row r="14" spans="2:21" x14ac:dyDescent="0.2">
      <c r="B14" s="21" t="s">
        <v>38</v>
      </c>
      <c r="C14" s="15"/>
      <c r="D14" s="16"/>
      <c r="G14" s="140">
        <f>AVERAGE(2.1,9.9)</f>
        <v>6</v>
      </c>
      <c r="N14" s="49" t="s">
        <v>38</v>
      </c>
      <c r="O14" s="127"/>
      <c r="P14" s="54"/>
      <c r="R14" s="21" t="s">
        <v>38</v>
      </c>
      <c r="S14" s="15"/>
      <c r="T14" s="15"/>
      <c r="U14" s="16"/>
    </row>
    <row r="15" spans="2:21" x14ac:dyDescent="0.2">
      <c r="B15" s="40" t="s">
        <v>7</v>
      </c>
      <c r="C15" s="41" t="s">
        <v>5</v>
      </c>
      <c r="D15" s="42" t="s">
        <v>6</v>
      </c>
      <c r="N15" s="22" t="s">
        <v>7</v>
      </c>
      <c r="O15" s="23" t="s">
        <v>6</v>
      </c>
      <c r="P15" s="55" t="s">
        <v>46</v>
      </c>
      <c r="R15" s="17" t="s">
        <v>41</v>
      </c>
      <c r="S15" s="18"/>
      <c r="T15" s="18"/>
      <c r="U15" s="19" t="s">
        <v>28</v>
      </c>
    </row>
    <row r="16" spans="2:21" ht="13.5" thickBot="1" x14ac:dyDescent="0.25">
      <c r="B16" s="26">
        <v>600</v>
      </c>
      <c r="C16" s="146">
        <v>1016.03</v>
      </c>
      <c r="D16" s="25">
        <f>B16*C16</f>
        <v>609618</v>
      </c>
      <c r="N16" s="64">
        <v>1500</v>
      </c>
      <c r="O16" s="129">
        <f>N16*C16</f>
        <v>1524045</v>
      </c>
      <c r="P16" s="56">
        <f>(B16-N16)*C16</f>
        <v>-914427</v>
      </c>
      <c r="R16" s="20">
        <f>N16+SUM(S20:S29)</f>
        <v>2.0397514158503327E-3</v>
      </c>
      <c r="S16" s="30"/>
      <c r="T16" s="30"/>
      <c r="U16" s="31">
        <f>SUM(U20:U29)</f>
        <v>-4.662781128997967E-2</v>
      </c>
    </row>
    <row r="17" spans="2:21" ht="13.5" thickBot="1" x14ac:dyDescent="0.25">
      <c r="P17" s="28"/>
    </row>
    <row r="18" spans="2:21" x14ac:dyDescent="0.2">
      <c r="B18" s="65" t="s">
        <v>39</v>
      </c>
      <c r="C18" s="32"/>
      <c r="D18" s="32"/>
      <c r="E18" s="32"/>
      <c r="F18" s="32"/>
      <c r="G18" s="32" t="s">
        <v>44</v>
      </c>
      <c r="H18" s="32" t="s">
        <v>45</v>
      </c>
      <c r="I18" s="52"/>
      <c r="J18" s="32" t="s">
        <v>42</v>
      </c>
      <c r="K18" s="32" t="s">
        <v>34</v>
      </c>
      <c r="L18" s="32"/>
      <c r="M18" s="33"/>
      <c r="N18" s="49" t="s">
        <v>39</v>
      </c>
      <c r="O18" s="127"/>
      <c r="P18" s="54"/>
      <c r="R18" s="14"/>
      <c r="S18" s="15"/>
      <c r="T18" s="15"/>
      <c r="U18" s="16"/>
    </row>
    <row r="19" spans="2:21" ht="13.5" thickBot="1" x14ac:dyDescent="0.25">
      <c r="B19" s="24" t="s">
        <v>7</v>
      </c>
      <c r="C19" s="34" t="s">
        <v>21</v>
      </c>
      <c r="D19" s="34" t="s">
        <v>8</v>
      </c>
      <c r="E19" s="34" t="s">
        <v>9</v>
      </c>
      <c r="F19" s="34" t="s">
        <v>18</v>
      </c>
      <c r="G19" s="53" t="s">
        <v>16</v>
      </c>
      <c r="H19" s="53" t="s">
        <v>16</v>
      </c>
      <c r="I19" s="34" t="s">
        <v>6</v>
      </c>
      <c r="J19" s="34" t="s">
        <v>43</v>
      </c>
      <c r="K19" s="34" t="s">
        <v>35</v>
      </c>
      <c r="L19" s="34" t="s">
        <v>14</v>
      </c>
      <c r="M19" s="35" t="s">
        <v>15</v>
      </c>
      <c r="N19" s="24" t="s">
        <v>7</v>
      </c>
      <c r="O19" s="34" t="s">
        <v>6</v>
      </c>
      <c r="P19" s="57" t="s">
        <v>46</v>
      </c>
      <c r="R19" s="20" t="s">
        <v>24</v>
      </c>
      <c r="S19" s="30" t="s">
        <v>25</v>
      </c>
      <c r="T19" s="30" t="s">
        <v>26</v>
      </c>
      <c r="U19" s="31" t="s">
        <v>27</v>
      </c>
    </row>
    <row r="20" spans="2:21" x14ac:dyDescent="0.2">
      <c r="B20" s="46">
        <v>-20000</v>
      </c>
      <c r="C20" s="145" t="s">
        <v>48</v>
      </c>
      <c r="D20" s="36">
        <v>975</v>
      </c>
      <c r="E20" s="37">
        <v>43810</v>
      </c>
      <c r="F20" s="144">
        <v>0.08</v>
      </c>
      <c r="G20" s="66">
        <v>36.409999999999997</v>
      </c>
      <c r="H20" s="66">
        <v>36.409999999999997</v>
      </c>
      <c r="I20" s="106">
        <f>B20*AVERAGE(H20,G20)</f>
        <v>-728199.99999999988</v>
      </c>
      <c r="J20" s="106">
        <v>9.98</v>
      </c>
      <c r="K20" s="32">
        <f>($E20-$C$2)/365</f>
        <v>7.3972602739726029E-2</v>
      </c>
      <c r="L20" s="32"/>
      <c r="M20" s="32"/>
      <c r="N20" s="62">
        <f>B20</f>
        <v>-20000</v>
      </c>
      <c r="O20" s="131">
        <f>N20*AVERAGE(G20:H20)</f>
        <v>-728199.99999999988</v>
      </c>
      <c r="P20" s="58">
        <f>MIN((B20-N20)*G20,(B20-N20)*H20)</f>
        <v>0</v>
      </c>
      <c r="R20" s="141">
        <v>0.57099999999999995</v>
      </c>
      <c r="S20" s="15">
        <f>R20*N20</f>
        <v>-11419.999999999998</v>
      </c>
      <c r="T20">
        <v>2.34E-6</v>
      </c>
      <c r="U20" s="143">
        <f>T20*N20</f>
        <v>-4.6800000000000001E-2</v>
      </c>
    </row>
    <row r="21" spans="2:21" x14ac:dyDescent="0.2">
      <c r="B21" s="47">
        <v>-12380</v>
      </c>
      <c r="C21" s="23" t="s">
        <v>47</v>
      </c>
      <c r="D21" s="38">
        <v>1000</v>
      </c>
      <c r="E21" s="39">
        <v>43819</v>
      </c>
      <c r="F21" s="147">
        <v>9.4100000000000003E-2</v>
      </c>
      <c r="G21" s="124">
        <v>4.5999999999999996</v>
      </c>
      <c r="H21" s="124">
        <v>5.35</v>
      </c>
      <c r="I21" s="107">
        <f>B21*AVERAGE(H21,G21)</f>
        <v>-61590.499999999993</v>
      </c>
      <c r="J21" s="123">
        <f>-$C$16*NORMSDIST(-M21)+D21*EXP(-$C$6*K21)*NORMSDIST(-L21)</f>
        <v>4.9796075469718062</v>
      </c>
      <c r="K21" s="23">
        <f>($E21-$C$2)/365</f>
        <v>9.8630136986301367E-2</v>
      </c>
      <c r="L21" s="23">
        <f>(LN($C$16/D21)+($C$6-F21*F21/2)*K21)/(F21*SQRT(K21))</f>
        <v>0.59009541666953058</v>
      </c>
      <c r="M21" s="23">
        <f>L21+F21*SQRT(K21)</f>
        <v>0.619647931338974</v>
      </c>
      <c r="N21" s="63">
        <v>-12379</v>
      </c>
      <c r="O21" s="132">
        <f>N21*AVERAGE(G21:H21)</f>
        <v>-61585.524999999994</v>
      </c>
      <c r="P21" s="59">
        <f>MIN((B21-N21)*G21,(B21-N21)*H21)</f>
        <v>-5.35</v>
      </c>
      <c r="R21" s="161">
        <f xml:space="preserve"> _xlfn.NORM.DIST(M21,0,1,TRUE) - 1</f>
        <v>-0.26774480147277668</v>
      </c>
      <c r="S21" s="162">
        <f>N21 * R21</f>
        <v>3314.4128974315026</v>
      </c>
      <c r="T21" s="18">
        <f t="shared" ref="T21:T22" si="0" xml:space="preserve"> _xlfn.NORM.S.DIST($L21, FALSE) / ($F21*$F21 * $C$16 * $C$16 * $K21)</f>
        <v>3.7178744023927147E-4</v>
      </c>
      <c r="U21" s="19">
        <f xml:space="preserve"> T21 *R21</f>
        <v>-9.9544154376935559E-5</v>
      </c>
    </row>
    <row r="22" spans="2:21" x14ac:dyDescent="0.2">
      <c r="B22" s="47">
        <v>-44999</v>
      </c>
      <c r="C22" s="155" t="s">
        <v>47</v>
      </c>
      <c r="D22" s="23">
        <v>955</v>
      </c>
      <c r="E22" s="39">
        <v>43910</v>
      </c>
      <c r="F22" s="157">
        <v>7.9299999999999995E-2</v>
      </c>
      <c r="G22" s="156">
        <v>1.1499999999999999</v>
      </c>
      <c r="H22" s="50">
        <v>1.7</v>
      </c>
      <c r="I22" s="107">
        <f>B22*AVERAGE(H22,G22)</f>
        <v>-64123.57499999999</v>
      </c>
      <c r="J22" s="123">
        <f>-$C$16*NORMSDIST(-M22)+D22*EXP(-$C$6*K22)*NORMSDIST(-L22)</f>
        <v>1.4301552684943033</v>
      </c>
      <c r="K22" s="23">
        <f>($E22-$C$2)/365</f>
        <v>0.34794520547945207</v>
      </c>
      <c r="L22" s="23">
        <f>(LN($C$16/D22)+($C$6-F22*F22/2)*K22)/(F22*SQRT(K22))</f>
        <v>1.4496927851281396</v>
      </c>
      <c r="M22" s="23">
        <f>L22+F22*SQRT(K22)</f>
        <v>1.4964693812548939</v>
      </c>
      <c r="N22" s="63">
        <v>-44998</v>
      </c>
      <c r="O22" s="132">
        <f>N22*AVERAGE(G22:H22)</f>
        <v>-64122.149999999994</v>
      </c>
      <c r="P22" s="59">
        <f t="shared" ref="P22:P23" si="1">MIN((B22-N22)*G22,(B22-N22)*H22)</f>
        <v>-1.7</v>
      </c>
      <c r="R22" s="161">
        <f>_xlfn.NORM.DIST(M22,0,1,TRUE) - 1</f>
        <v>-6.7265690560233793E-2</v>
      </c>
      <c r="S22" s="162">
        <f>N22 * R22</f>
        <v>3026.8215438294001</v>
      </c>
      <c r="T22" s="18">
        <f t="shared" si="0"/>
        <v>6.1756281585590412E-5</v>
      </c>
      <c r="U22" s="19">
        <f t="shared" ref="U22:U29" si="2" xml:space="preserve"> T22 *R22</f>
        <v>-4.1540789272869892E-6</v>
      </c>
    </row>
    <row r="23" spans="2:21" x14ac:dyDescent="0.2">
      <c r="B23" s="47">
        <v>3630</v>
      </c>
      <c r="C23" s="23" t="s">
        <v>22</v>
      </c>
      <c r="D23" s="23">
        <v>985</v>
      </c>
      <c r="E23" s="39">
        <v>43847</v>
      </c>
      <c r="F23" s="167">
        <v>8.7363977941719975E-2</v>
      </c>
      <c r="G23" s="156">
        <v>23</v>
      </c>
      <c r="H23" s="50">
        <v>32.1</v>
      </c>
      <c r="I23" s="107">
        <f>B23*AVERAGE(H23,G23)</f>
        <v>100006.5</v>
      </c>
      <c r="J23" s="123">
        <f xml:space="preserve"> $C$16 *NORMSDIST($M23) - D23*EXP(-$C$6*$K23)*NORMSDIST($L23)</f>
        <v>37.862164676819475</v>
      </c>
      <c r="K23" s="23">
        <f>($E23-$C$2)/365</f>
        <v>0.17534246575342466</v>
      </c>
      <c r="L23" s="23">
        <f>(LN($C$16/D23)+($C$6-F23*F23/2)*K23)/(F23*SQRT(K23))</f>
        <v>0.92541557217688419</v>
      </c>
      <c r="M23" s="23">
        <f>L23+F23*SQRT(K23)</f>
        <v>0.96199828899875617</v>
      </c>
      <c r="N23" s="63">
        <v>0</v>
      </c>
      <c r="O23" s="132">
        <f>N23*AVERAGE(G23:H23)</f>
        <v>0</v>
      </c>
      <c r="P23" s="59">
        <f t="shared" si="1"/>
        <v>83490</v>
      </c>
      <c r="R23" s="161">
        <f>_xlfn.NORM.DIST(M23,0,1,TRUE)</f>
        <v>0.83197476829486749</v>
      </c>
      <c r="S23" s="162">
        <f t="shared" ref="S23:S29" si="3">N23 * R23</f>
        <v>0</v>
      </c>
      <c r="T23" s="18">
        <f xml:space="preserve"> _xlfn.NORM.S.DIST($L23, FALSE) / ($F23*$F23 * $C$16 * $C$16 * $K23)</f>
        <v>1.8818348290852529E-4</v>
      </c>
      <c r="U23" s="19">
        <f t="shared" si="2"/>
        <v>1.5656390958974147E-4</v>
      </c>
    </row>
    <row r="24" spans="2:21" x14ac:dyDescent="0.2">
      <c r="B24" s="47"/>
      <c r="C24" s="23" t="s">
        <v>22</v>
      </c>
      <c r="D24" s="23">
        <v>1035</v>
      </c>
      <c r="E24" s="39">
        <v>43847</v>
      </c>
      <c r="F24" s="157">
        <v>7.0999999999999994E-2</v>
      </c>
      <c r="G24" s="60">
        <v>2.1</v>
      </c>
      <c r="H24" s="50">
        <v>9.9</v>
      </c>
      <c r="I24" s="107">
        <f>B24*AVERAGE(H24,G24)</f>
        <v>0</v>
      </c>
      <c r="J24" s="123">
        <f xml:space="preserve"> $C$16 *NORMSDIST($M24) - D24*EXP(-$C$6*$K24)*NORMSDIST($L24)</f>
        <v>5.9796242009706475</v>
      </c>
      <c r="K24" s="23">
        <f>($E24-$C$2)/365</f>
        <v>0.17534246575342466</v>
      </c>
      <c r="L24" s="23">
        <f>(LN($C$16/D24)+($C$6-F24*F24/2)*K24)/(F24*SQRT(K24))</f>
        <v>-0.51911884467054437</v>
      </c>
      <c r="M24" s="23">
        <f>L24+F24*SQRT(K24)</f>
        <v>-0.48938836586742024</v>
      </c>
      <c r="N24" s="63">
        <v>11460</v>
      </c>
      <c r="O24" s="132">
        <f>N24*AVERAGE(G24:H24)</f>
        <v>68760</v>
      </c>
      <c r="P24" s="59"/>
      <c r="R24" s="161">
        <f>_xlfn.NORM.DIST(M24,0,1,TRUE)</f>
        <v>0.31228338555763624</v>
      </c>
      <c r="S24" s="162">
        <f t="shared" si="3"/>
        <v>3578.7675984905113</v>
      </c>
      <c r="T24" s="18">
        <f xml:space="preserve"> _xlfn.NORM.S.DIST($L24, FALSE) / ($F24*$F24 * $C$16 * $C$16 * $K24)</f>
        <v>3.8209856576820468E-4</v>
      </c>
      <c r="U24" s="19">
        <f t="shared" si="2"/>
        <v>1.1932303373481209E-4</v>
      </c>
    </row>
    <row r="25" spans="2:21" x14ac:dyDescent="0.2">
      <c r="B25" s="47"/>
      <c r="C25" s="23"/>
      <c r="D25" s="23"/>
      <c r="E25" s="23"/>
      <c r="F25" s="60"/>
      <c r="G25" s="60"/>
      <c r="H25" s="50"/>
      <c r="I25" s="108"/>
      <c r="J25" s="108"/>
      <c r="K25" s="23"/>
      <c r="L25" s="23"/>
      <c r="M25" s="23"/>
      <c r="N25" s="63"/>
      <c r="O25" s="60"/>
      <c r="P25" s="59"/>
      <c r="R25" s="17"/>
      <c r="S25" s="162">
        <f t="shared" si="3"/>
        <v>0</v>
      </c>
      <c r="T25" s="18"/>
      <c r="U25" s="19">
        <f t="shared" si="2"/>
        <v>0</v>
      </c>
    </row>
    <row r="26" spans="2:21" x14ac:dyDescent="0.2">
      <c r="B26" s="47"/>
      <c r="C26" s="23"/>
      <c r="D26" s="23"/>
      <c r="E26" s="23"/>
      <c r="F26" s="60"/>
      <c r="G26" s="60"/>
      <c r="H26" s="50"/>
      <c r="I26" s="108"/>
      <c r="J26" s="108"/>
      <c r="K26" s="23"/>
      <c r="L26" s="23"/>
      <c r="M26" s="23"/>
      <c r="N26" s="63"/>
      <c r="O26" s="60"/>
      <c r="P26" s="59"/>
      <c r="R26" s="17"/>
      <c r="S26" s="162">
        <f t="shared" si="3"/>
        <v>0</v>
      </c>
      <c r="T26" s="18"/>
      <c r="U26" s="19">
        <f t="shared" si="2"/>
        <v>0</v>
      </c>
    </row>
    <row r="27" spans="2:21" x14ac:dyDescent="0.2">
      <c r="B27" s="47"/>
      <c r="C27" s="23"/>
      <c r="D27" s="23"/>
      <c r="E27" s="23"/>
      <c r="F27" s="60"/>
      <c r="G27" s="60"/>
      <c r="H27" s="50"/>
      <c r="I27" s="108"/>
      <c r="J27" s="108"/>
      <c r="K27" s="23"/>
      <c r="L27" s="23"/>
      <c r="M27" s="23"/>
      <c r="N27" s="63"/>
      <c r="O27" s="60"/>
      <c r="P27" s="59"/>
      <c r="R27" s="17"/>
      <c r="S27" s="162">
        <f t="shared" si="3"/>
        <v>0</v>
      </c>
      <c r="T27" s="18"/>
      <c r="U27" s="19">
        <f t="shared" si="2"/>
        <v>0</v>
      </c>
    </row>
    <row r="28" spans="2:21" x14ac:dyDescent="0.2">
      <c r="B28" s="47"/>
      <c r="C28" s="23"/>
      <c r="D28" s="23"/>
      <c r="E28" s="23"/>
      <c r="F28" s="60"/>
      <c r="G28" s="60"/>
      <c r="H28" s="50"/>
      <c r="I28" s="108"/>
      <c r="J28" s="108"/>
      <c r="K28" s="23"/>
      <c r="L28" s="23"/>
      <c r="M28" s="23"/>
      <c r="N28" s="63"/>
      <c r="O28" s="60"/>
      <c r="P28" s="59"/>
      <c r="R28" s="17"/>
      <c r="S28" s="162">
        <f t="shared" si="3"/>
        <v>0</v>
      </c>
      <c r="T28" s="18"/>
      <c r="U28" s="19">
        <f t="shared" si="2"/>
        <v>0</v>
      </c>
    </row>
    <row r="29" spans="2:21" ht="13.5" thickBot="1" x14ac:dyDescent="0.25">
      <c r="B29" s="26"/>
      <c r="C29" s="34"/>
      <c r="D29" s="34"/>
      <c r="E29" s="34"/>
      <c r="F29" s="61"/>
      <c r="G29" s="61"/>
      <c r="H29" s="51"/>
      <c r="I29" s="109"/>
      <c r="J29" s="109"/>
      <c r="K29" s="34"/>
      <c r="L29" s="34"/>
      <c r="M29" s="34"/>
      <c r="N29" s="64"/>
      <c r="O29" s="61"/>
      <c r="P29" s="56"/>
      <c r="R29" s="20"/>
      <c r="S29" s="162">
        <f t="shared" si="3"/>
        <v>0</v>
      </c>
      <c r="T29" s="30"/>
      <c r="U29" s="19">
        <f t="shared" si="2"/>
        <v>0</v>
      </c>
    </row>
    <row r="30" spans="2:21" ht="13.5" thickBot="1" x14ac:dyDescent="0.25">
      <c r="H30" s="3"/>
    </row>
    <row r="31" spans="2:21" x14ac:dyDescent="0.2">
      <c r="B31" s="74" t="s">
        <v>59</v>
      </c>
      <c r="C31" s="68"/>
      <c r="D31" s="69"/>
      <c r="H31" s="3"/>
      <c r="N31" s="113" t="s">
        <v>59</v>
      </c>
      <c r="O31" s="128"/>
      <c r="P31" s="69"/>
      <c r="R31" s="74" t="s">
        <v>59</v>
      </c>
      <c r="S31" s="68"/>
      <c r="T31" s="68"/>
      <c r="U31" s="69"/>
    </row>
    <row r="32" spans="2:21" x14ac:dyDescent="0.2">
      <c r="B32" s="75" t="s">
        <v>7</v>
      </c>
      <c r="C32" s="76" t="s">
        <v>5</v>
      </c>
      <c r="D32" s="77" t="s">
        <v>6</v>
      </c>
      <c r="H32" s="150"/>
      <c r="N32" s="114" t="s">
        <v>7</v>
      </c>
      <c r="O32" s="89" t="s">
        <v>6</v>
      </c>
      <c r="P32" s="115" t="s">
        <v>46</v>
      </c>
      <c r="R32" s="70" t="s">
        <v>40</v>
      </c>
      <c r="S32" s="71"/>
      <c r="T32" s="71"/>
      <c r="U32" s="72" t="s">
        <v>28</v>
      </c>
    </row>
    <row r="33" spans="2:21" ht="13.5" thickBot="1" x14ac:dyDescent="0.25">
      <c r="B33" s="79">
        <v>10000</v>
      </c>
      <c r="C33" s="154">
        <v>21.84</v>
      </c>
      <c r="D33" s="78">
        <f>B33*C33</f>
        <v>218400</v>
      </c>
      <c r="F33" s="148">
        <f>AVERAGE(2.43, 2.84)</f>
        <v>2.6349999999999998</v>
      </c>
      <c r="H33" s="152">
        <f>H32/J37</f>
        <v>0</v>
      </c>
      <c r="I33" s="140"/>
      <c r="N33" s="103">
        <v>5500</v>
      </c>
      <c r="O33" s="135">
        <f>N33*C33</f>
        <v>120120</v>
      </c>
      <c r="P33" s="104">
        <f>(B33-N33)*C33</f>
        <v>98280</v>
      </c>
      <c r="R33" s="73">
        <f>SUM(S37:S53)</f>
        <v>0.13950854626455111</v>
      </c>
      <c r="S33" s="80"/>
      <c r="T33" s="80"/>
      <c r="U33" s="81">
        <f>SUM(U37:U53)</f>
        <v>-0.13516226697879574</v>
      </c>
    </row>
    <row r="34" spans="2:21" ht="13.5" thickBot="1" x14ac:dyDescent="0.25">
      <c r="H34" s="3"/>
    </row>
    <row r="35" spans="2:21" x14ac:dyDescent="0.2">
      <c r="B35" s="67" t="s">
        <v>17</v>
      </c>
      <c r="C35" s="68"/>
      <c r="D35" s="68"/>
      <c r="E35" s="68"/>
      <c r="F35" s="68"/>
      <c r="G35" s="84" t="s">
        <v>44</v>
      </c>
      <c r="H35" s="130" t="s">
        <v>45</v>
      </c>
      <c r="I35" s="68"/>
      <c r="J35" s="84" t="s">
        <v>42</v>
      </c>
      <c r="K35" s="68" t="s">
        <v>34</v>
      </c>
      <c r="L35" s="68"/>
      <c r="M35" s="69"/>
      <c r="N35" s="67" t="s">
        <v>17</v>
      </c>
      <c r="O35" s="68"/>
      <c r="P35" s="69"/>
      <c r="R35" s="67"/>
      <c r="S35" s="68"/>
      <c r="T35" s="68"/>
      <c r="U35" s="69"/>
    </row>
    <row r="36" spans="2:21" ht="13.5" thickBot="1" x14ac:dyDescent="0.25">
      <c r="B36" s="73" t="s">
        <v>7</v>
      </c>
      <c r="C36" s="80" t="s">
        <v>21</v>
      </c>
      <c r="D36" s="80" t="s">
        <v>8</v>
      </c>
      <c r="E36" s="80" t="s">
        <v>9</v>
      </c>
      <c r="F36" s="80" t="s">
        <v>18</v>
      </c>
      <c r="G36" s="82" t="s">
        <v>16</v>
      </c>
      <c r="H36" s="82" t="s">
        <v>16</v>
      </c>
      <c r="I36" s="95" t="s">
        <v>6</v>
      </c>
      <c r="J36" s="95" t="s">
        <v>43</v>
      </c>
      <c r="K36" s="80" t="s">
        <v>35</v>
      </c>
      <c r="L36" s="80" t="s">
        <v>14</v>
      </c>
      <c r="M36" s="81" t="s">
        <v>15</v>
      </c>
      <c r="N36" s="73" t="s">
        <v>7</v>
      </c>
      <c r="O36" s="95" t="s">
        <v>6</v>
      </c>
      <c r="P36" s="116" t="s">
        <v>46</v>
      </c>
      <c r="R36" s="73" t="s">
        <v>24</v>
      </c>
      <c r="S36" s="80" t="s">
        <v>25</v>
      </c>
      <c r="T36" s="80" t="s">
        <v>26</v>
      </c>
      <c r="U36" s="81" t="s">
        <v>27</v>
      </c>
    </row>
    <row r="37" spans="2:21" ht="13.5" thickBot="1" x14ac:dyDescent="0.25">
      <c r="B37" s="83">
        <v>-205555</v>
      </c>
      <c r="C37" s="84" t="s">
        <v>29</v>
      </c>
      <c r="D37" s="138">
        <v>22</v>
      </c>
      <c r="E37" s="85">
        <v>43810</v>
      </c>
      <c r="F37" s="86">
        <v>0.35</v>
      </c>
      <c r="G37" s="105">
        <f>J37</f>
        <v>0.54249005159517671</v>
      </c>
      <c r="H37" s="105">
        <f>J37</f>
        <v>0.54249005159517671</v>
      </c>
      <c r="I37" s="110">
        <f>B37*AVERAGE(H37,G37)</f>
        <v>-111511.54255564655</v>
      </c>
      <c r="J37" s="125">
        <f>EXP(-$C$6 *K37) *NORMSDIST(-L37)</f>
        <v>0.54249005159517671</v>
      </c>
      <c r="K37" s="84">
        <f>(E37-$C$2)/365</f>
        <v>7.3972602739726029E-2</v>
      </c>
      <c r="L37" s="84">
        <f t="shared" ref="L37:L42" si="4">(LN($C$33/D37)+($C$6-F37*F37/2)*K37)/(F37*SQRT(K37))</f>
        <v>-0.10873392541010872</v>
      </c>
      <c r="M37" s="87">
        <f>L37+F37*SQRT(K37)</f>
        <v>-1.3541258488667565E-2</v>
      </c>
      <c r="N37" s="99">
        <f>B37</f>
        <v>-205555</v>
      </c>
      <c r="O37" s="133">
        <f>N37*AVERAGE(G37:H37)</f>
        <v>-111511.54255564655</v>
      </c>
      <c r="P37" s="100">
        <f>MIN((B37-N37)*G37,(B37-N37)*H37)</f>
        <v>0</v>
      </c>
      <c r="R37" s="160">
        <f>-1*EXP(-$C$6*$K37)*_xlfn.NORM.S.DIST($L37,FALSE)/($F37*$C$33*SQRT($K37))</f>
        <v>-0.19047767152720069</v>
      </c>
      <c r="S37" s="68">
        <f>IF($N37 = 0, "N/A", $R37 *$N37)</f>
        <v>39153.637770773734</v>
      </c>
      <c r="T37" s="68">
        <f xml:space="preserve"> _xlfn.NORM.S.DIST($L37, FALSE) / ($F37*$F37 * $C$33 * $C$33 * $K37)</f>
        <v>9.1755152861148742E-2</v>
      </c>
      <c r="U37" s="69">
        <f>T37*N37</f>
        <v>-18860.730446373429</v>
      </c>
    </row>
    <row r="38" spans="2:21" ht="13.5" thickBot="1" x14ac:dyDescent="0.25">
      <c r="B38" s="88">
        <v>495</v>
      </c>
      <c r="C38" s="89" t="s">
        <v>22</v>
      </c>
      <c r="D38" s="139">
        <v>22</v>
      </c>
      <c r="E38" s="90">
        <v>43819</v>
      </c>
      <c r="F38" s="91">
        <v>0.315</v>
      </c>
      <c r="G38" s="126">
        <v>0.8</v>
      </c>
      <c r="H38" s="126">
        <v>0.82</v>
      </c>
      <c r="I38" s="110">
        <f>B38*AVERAGE(H38,G38)</f>
        <v>400.95000000000005</v>
      </c>
      <c r="J38" s="125">
        <f xml:space="preserve"> $C$33 * NORMSDIST(M38) - D38 * EXP(-$C$6*K38) * NORMSDIST(L38)</f>
        <v>0.80681978298444079</v>
      </c>
      <c r="K38" s="89">
        <f>(E38-$C$2)/365</f>
        <v>9.8630136986301367E-2</v>
      </c>
      <c r="L38" s="89">
        <f>(LN($C$33/D38)+($C$6-F38*F38/2)*K38)/(F38*SQRT(K38))</f>
        <v>-0.10330824622846202</v>
      </c>
      <c r="M38" s="92">
        <f>L38+F38*SQRT(K38)</f>
        <v>-4.3811248589116364E-3</v>
      </c>
      <c r="N38" s="101">
        <v>192165</v>
      </c>
      <c r="O38" s="134">
        <f>N38*AVERAGE(G38:H38)</f>
        <v>155653.65000000002</v>
      </c>
      <c r="P38" s="102">
        <f>MIN((B38-N38)*G38,(B38-N38)*H38)</f>
        <v>-157169.4</v>
      </c>
      <c r="R38" s="160">
        <f>_xlfn.NORM.DIST(M38,0,1,TRUE)</f>
        <v>0.49825218964938378</v>
      </c>
      <c r="S38" s="68">
        <f>IF($N38 = 0, "N/A", $R38 *$N38)</f>
        <v>95746.632023973827</v>
      </c>
      <c r="T38" s="68">
        <f t="shared" ref="T38:T43" si="5" xml:space="preserve"> _xlfn.NORM.S.DIST($L38, FALSE) / ($F38*$F38 * $C$33 * $C$33 * $K38)</f>
        <v>8.5007360137455149E-2</v>
      </c>
      <c r="U38" s="72">
        <f xml:space="preserve"> T38 * N38</f>
        <v>16335.439360814069</v>
      </c>
    </row>
    <row r="39" spans="2:21" ht="13.5" thickBot="1" x14ac:dyDescent="0.25">
      <c r="B39" s="88">
        <v>27500</v>
      </c>
      <c r="C39" s="89" t="s">
        <v>47</v>
      </c>
      <c r="D39" s="163">
        <v>17</v>
      </c>
      <c r="E39" s="90">
        <v>43938</v>
      </c>
      <c r="F39" s="165">
        <v>0.37919999999999998</v>
      </c>
      <c r="G39" s="164">
        <v>0.33</v>
      </c>
      <c r="H39" s="94">
        <v>0.38</v>
      </c>
      <c r="I39" s="110">
        <f t="shared" ref="I39:I42" si="6">B39*AVERAGE(H39,G39)</f>
        <v>9762.5</v>
      </c>
      <c r="J39" s="111">
        <f xml:space="preserve"> $D39*EXP(-$C$6 *$K39) *NORMSDIST(-$L39) - $C$33 *NORMSDIST(-$M39)</f>
        <v>0.35829712542641801</v>
      </c>
      <c r="K39" s="89">
        <f>($E39-$C$2)/365</f>
        <v>0.42465753424657532</v>
      </c>
      <c r="L39" s="89">
        <f t="shared" si="4"/>
        <v>0.92466107561203836</v>
      </c>
      <c r="M39" s="92">
        <f t="shared" ref="M39:M42" si="7">L39+F39*SQRT(K39)</f>
        <v>1.1717696103598398</v>
      </c>
      <c r="N39" s="101">
        <v>112500</v>
      </c>
      <c r="O39" s="134">
        <f>N39*AVERAGE(G39:H39)</f>
        <v>39937.5</v>
      </c>
      <c r="P39" s="102">
        <f>MIN((B39-N39)*G39,(B39-N39)*H39)</f>
        <v>-32300</v>
      </c>
      <c r="R39" s="160">
        <f>_xlfn.NORM.DIST(M38,0,1, TRUE)-1</f>
        <v>-0.50174781035061622</v>
      </c>
      <c r="S39" s="68">
        <f>IF($N39 = 0, "N/A", $R39 *$N39)</f>
        <v>-56446.628664444324</v>
      </c>
      <c r="T39" s="68">
        <f t="shared" si="5"/>
        <v>8.9324136642175127E-3</v>
      </c>
      <c r="U39" s="72">
        <f xml:space="preserve"> T39 * N39</f>
        <v>1004.8965372244702</v>
      </c>
    </row>
    <row r="40" spans="2:21" ht="13.5" thickBot="1" x14ac:dyDescent="0.25">
      <c r="B40" s="88">
        <v>4145</v>
      </c>
      <c r="C40" s="89" t="s">
        <v>22</v>
      </c>
      <c r="D40" s="166">
        <v>32</v>
      </c>
      <c r="E40" s="90">
        <v>43938</v>
      </c>
      <c r="F40" s="165">
        <v>0.3745</v>
      </c>
      <c r="G40" s="164">
        <v>0.15</v>
      </c>
      <c r="H40" s="94">
        <v>0.2</v>
      </c>
      <c r="I40" s="110">
        <f t="shared" si="6"/>
        <v>725.375</v>
      </c>
      <c r="J40" s="111">
        <f xml:space="preserve"> $C$33 * NORMSDIST($M40) - $D40 * EXP(-$C$6*$K40) * NORMSDIST($L40)</f>
        <v>0.1746396789526341</v>
      </c>
      <c r="K40" s="89">
        <f>($E40-$C$2)/365</f>
        <v>0.42465753424657532</v>
      </c>
      <c r="L40" s="89">
        <f t="shared" si="4"/>
        <v>-1.652472018962365</v>
      </c>
      <c r="M40" s="92">
        <f t="shared" si="7"/>
        <v>-1.4084262745977771</v>
      </c>
      <c r="N40" s="101">
        <v>1610</v>
      </c>
      <c r="O40" s="134">
        <f>N40*AVERAGE(G40:H40)</f>
        <v>281.75</v>
      </c>
      <c r="P40" s="102">
        <f>MIN((B40-N40)*G40,(B40-N40)*H40)</f>
        <v>380.25</v>
      </c>
      <c r="R40" s="160">
        <f>_xlfn.NORM.DIST(M39,0,1,TRUE)</f>
        <v>0.87935521660638549</v>
      </c>
      <c r="S40" s="68">
        <f>IF($N40 = 0, "N/A", $R40 *$N40)</f>
        <v>1415.7618987362807</v>
      </c>
      <c r="T40" s="68">
        <f t="shared" si="5"/>
        <v>3.5851407927364001E-3</v>
      </c>
      <c r="U40" s="72">
        <f xml:space="preserve"> T40 * N40</f>
        <v>5.7720766763056037</v>
      </c>
    </row>
    <row r="41" spans="2:21" ht="13.5" thickBot="1" x14ac:dyDescent="0.25">
      <c r="B41" s="88">
        <v>93340</v>
      </c>
      <c r="C41" s="89" t="s">
        <v>22</v>
      </c>
      <c r="D41" s="163">
        <v>21</v>
      </c>
      <c r="E41" s="90">
        <v>43791</v>
      </c>
      <c r="F41" s="165">
        <v>0.35749999999999998</v>
      </c>
      <c r="G41" s="164">
        <v>0.97</v>
      </c>
      <c r="H41" s="94">
        <v>1.02</v>
      </c>
      <c r="I41" s="110">
        <f t="shared" si="6"/>
        <v>92873.3</v>
      </c>
      <c r="J41" s="111">
        <f xml:space="preserve"> $C$33 * NORMSDIST($M41) - $D41 * EXP(-$C$6*$K41) * NORMSDIST($L41)</f>
        <v>0.99798919267769293</v>
      </c>
      <c r="K41" s="89">
        <f>($E41-$C$2)/365</f>
        <v>2.1917808219178082E-2</v>
      </c>
      <c r="L41" s="89">
        <f t="shared" si="4"/>
        <v>0.72285767469204532</v>
      </c>
      <c r="M41" s="92">
        <f>$L41+$F41*SQRT(K41)</f>
        <v>0.77578434922117412</v>
      </c>
      <c r="N41" s="101">
        <v>0</v>
      </c>
      <c r="O41" s="134">
        <f t="shared" ref="O41:O43" si="8">N41*AVERAGE(G41:H41)</f>
        <v>0</v>
      </c>
      <c r="P41" s="102">
        <f t="shared" ref="P41:P43" si="9">MIN((B41-N41)*G41,(B41-N41)*H41)</f>
        <v>90539.8</v>
      </c>
      <c r="R41" s="160">
        <f>_xlfn.NORM.DIST(M40,0,1,TRUE)</f>
        <v>7.950244179077276E-2</v>
      </c>
      <c r="S41" s="68" t="str">
        <f t="shared" ref="S41:S43" si="10">IF($N41 = 0, "N/A", $R41 *$N41)</f>
        <v>N/A</v>
      </c>
      <c r="T41" s="68">
        <f t="shared" si="5"/>
        <v>0.22992760090412376</v>
      </c>
      <c r="U41" s="72">
        <f t="shared" ref="U41:U43" si="11" xml:space="preserve"> T41 * N41</f>
        <v>0</v>
      </c>
    </row>
    <row r="42" spans="2:21" ht="13.5" thickBot="1" x14ac:dyDescent="0.25">
      <c r="B42" s="88">
        <v>34250</v>
      </c>
      <c r="C42" s="89" t="s">
        <v>47</v>
      </c>
      <c r="D42" s="163">
        <v>27</v>
      </c>
      <c r="E42" s="90">
        <v>43819</v>
      </c>
      <c r="F42" s="165">
        <v>0.43759999999999999</v>
      </c>
      <c r="G42" s="164">
        <v>5.15</v>
      </c>
      <c r="H42" s="94">
        <v>5.25</v>
      </c>
      <c r="I42" s="111">
        <f t="shared" si="6"/>
        <v>178100</v>
      </c>
      <c r="J42" s="111">
        <f xml:space="preserve"> D42*EXP(-$C$6 *$K42) *NORMSDIST(-$L42) - $C$33 *NORMSDIST(-$M42)</f>
        <v>5.1980778316820455</v>
      </c>
      <c r="K42" s="89">
        <f>($E42-$C$2)/365</f>
        <v>9.8630136986301367E-2</v>
      </c>
      <c r="L42" s="89">
        <f t="shared" si="4"/>
        <v>-1.5976449430969102</v>
      </c>
      <c r="M42" s="92">
        <f t="shared" si="7"/>
        <v>-1.4602147579816238</v>
      </c>
      <c r="N42" s="101">
        <v>30000</v>
      </c>
      <c r="O42" s="134">
        <f t="shared" si="8"/>
        <v>156000</v>
      </c>
      <c r="P42" s="102">
        <f t="shared" si="9"/>
        <v>21887.5</v>
      </c>
      <c r="R42" s="160">
        <f>_xlfn.NORM.DIST(M42,0,1, TRUE)-1</f>
        <v>-0.92788446970639649</v>
      </c>
      <c r="S42" s="68">
        <f t="shared" si="10"/>
        <v>-27836.534091191894</v>
      </c>
      <c r="T42" s="68">
        <f t="shared" si="5"/>
        <v>1.235887258171511E-2</v>
      </c>
      <c r="U42" s="72">
        <f t="shared" si="11"/>
        <v>370.7661774514533</v>
      </c>
    </row>
    <row r="43" spans="2:21" ht="13.5" thickBot="1" x14ac:dyDescent="0.25">
      <c r="B43" s="88">
        <v>0</v>
      </c>
      <c r="C43" s="89" t="s">
        <v>47</v>
      </c>
      <c r="D43" s="139">
        <v>23</v>
      </c>
      <c r="E43" s="90">
        <v>43847</v>
      </c>
      <c r="F43" s="91">
        <v>0.63</v>
      </c>
      <c r="G43" s="126">
        <v>1.83</v>
      </c>
      <c r="H43" s="126">
        <v>1.87</v>
      </c>
      <c r="I43" s="110">
        <f>B43*AVERAGE(H43,G43)</f>
        <v>0</v>
      </c>
      <c r="J43" s="169">
        <f xml:space="preserve"> $C$33 * NORMSDIST(M43) - D43 * EXP(-$C$6*K43) * NORMSDIST(L43)</f>
        <v>1.847689419334019</v>
      </c>
      <c r="K43" s="89">
        <f>(E43-$C$2)/365</f>
        <v>0.17534246575342466</v>
      </c>
      <c r="L43" s="89">
        <f>(LN($C$33/D43)+($C$6-F43*F43/2)*K43)/(F43*SQRT(K43))</f>
        <v>-0.31478069505809902</v>
      </c>
      <c r="M43" s="92">
        <f>L43+F43*SQRT(K43)</f>
        <v>-5.0975038072631318E-2</v>
      </c>
      <c r="N43" s="101">
        <v>100000</v>
      </c>
      <c r="O43" s="134">
        <f t="shared" si="8"/>
        <v>185000</v>
      </c>
      <c r="P43" s="102">
        <f t="shared" si="9"/>
        <v>-187000</v>
      </c>
      <c r="R43" s="160">
        <f>_xlfn.NORM.DIST(M43,0,1, TRUE)-1</f>
        <v>-0.52032729429301361</v>
      </c>
      <c r="S43" s="68">
        <f t="shared" si="10"/>
        <v>-52032.729429301362</v>
      </c>
      <c r="T43" s="68">
        <f t="shared" si="5"/>
        <v>1.143721131940152E-2</v>
      </c>
      <c r="U43" s="72">
        <f t="shared" si="11"/>
        <v>1143.721131940152</v>
      </c>
    </row>
    <row r="44" spans="2:21" ht="13.5" thickBot="1" x14ac:dyDescent="0.25">
      <c r="B44" s="88"/>
      <c r="C44" s="89"/>
      <c r="D44" s="89"/>
      <c r="E44" s="89"/>
      <c r="F44" s="93"/>
      <c r="G44" s="93"/>
      <c r="H44" s="94"/>
      <c r="I44" s="111"/>
      <c r="J44" s="111"/>
      <c r="K44" s="89"/>
      <c r="L44" s="89"/>
      <c r="M44" s="92"/>
      <c r="N44" s="101"/>
      <c r="O44" s="93"/>
      <c r="P44" s="102"/>
      <c r="R44" s="159"/>
      <c r="S44" s="68"/>
      <c r="T44" s="71"/>
      <c r="U44" s="72"/>
    </row>
    <row r="45" spans="2:21" ht="13.5" thickBot="1" x14ac:dyDescent="0.25">
      <c r="B45" s="88"/>
      <c r="C45" s="89"/>
      <c r="D45" s="89"/>
      <c r="E45" s="89"/>
      <c r="F45" s="93"/>
      <c r="G45" s="93"/>
      <c r="H45" s="94"/>
      <c r="I45" s="111"/>
      <c r="J45" s="111"/>
      <c r="K45" s="89"/>
      <c r="L45" s="89"/>
      <c r="M45" s="92"/>
      <c r="N45" s="101"/>
      <c r="O45" s="93"/>
      <c r="P45" s="102"/>
      <c r="R45" s="159"/>
      <c r="S45" s="68"/>
      <c r="T45" s="71"/>
      <c r="U45" s="72"/>
    </row>
    <row r="46" spans="2:21" ht="13.5" thickBot="1" x14ac:dyDescent="0.25">
      <c r="B46" s="88"/>
      <c r="C46" s="89"/>
      <c r="D46" s="89"/>
      <c r="E46" s="89"/>
      <c r="F46" s="93"/>
      <c r="G46" s="93"/>
      <c r="H46" s="94"/>
      <c r="I46" s="111"/>
      <c r="J46" s="111"/>
      <c r="K46" s="89"/>
      <c r="L46" s="89"/>
      <c r="M46" s="92"/>
      <c r="N46" s="101"/>
      <c r="O46" s="93"/>
      <c r="P46" s="102"/>
      <c r="R46" s="159"/>
      <c r="S46" s="68"/>
      <c r="T46" s="71"/>
      <c r="U46" s="72"/>
    </row>
    <row r="47" spans="2:21" ht="13.5" thickBot="1" x14ac:dyDescent="0.25">
      <c r="B47" s="88"/>
      <c r="C47" s="89"/>
      <c r="D47" s="89"/>
      <c r="E47" s="89"/>
      <c r="F47" s="93"/>
      <c r="G47" s="93"/>
      <c r="H47" s="94"/>
      <c r="I47" s="111"/>
      <c r="J47" s="111"/>
      <c r="K47" s="89"/>
      <c r="L47" s="89"/>
      <c r="M47" s="92"/>
      <c r="N47" s="101"/>
      <c r="O47" s="93"/>
      <c r="P47" s="102"/>
      <c r="R47" s="159"/>
      <c r="S47" s="68"/>
      <c r="T47" s="71"/>
      <c r="U47" s="72"/>
    </row>
    <row r="48" spans="2:21" ht="13.5" thickBot="1" x14ac:dyDescent="0.25">
      <c r="B48" s="88"/>
      <c r="C48" s="89"/>
      <c r="D48" s="89"/>
      <c r="E48" s="89"/>
      <c r="F48" s="93"/>
      <c r="G48" s="93"/>
      <c r="H48" s="94"/>
      <c r="I48" s="111"/>
      <c r="J48" s="111"/>
      <c r="K48" s="89"/>
      <c r="L48" s="89"/>
      <c r="M48" s="92"/>
      <c r="N48" s="101"/>
      <c r="O48" s="93"/>
      <c r="P48" s="102"/>
      <c r="R48" s="159"/>
      <c r="S48" s="68"/>
      <c r="T48" s="71"/>
      <c r="U48" s="72"/>
    </row>
    <row r="49" spans="2:21" ht="13.5" thickBot="1" x14ac:dyDescent="0.25">
      <c r="B49" s="88"/>
      <c r="C49" s="89"/>
      <c r="D49" s="89"/>
      <c r="E49" s="89"/>
      <c r="F49" s="93"/>
      <c r="G49" s="93"/>
      <c r="H49" s="94"/>
      <c r="I49" s="111"/>
      <c r="J49" s="111"/>
      <c r="K49" s="89"/>
      <c r="L49" s="89"/>
      <c r="M49" s="92"/>
      <c r="N49" s="101"/>
      <c r="O49" s="93"/>
      <c r="P49" s="102"/>
      <c r="R49" s="159"/>
      <c r="S49" s="68"/>
      <c r="T49" s="71"/>
      <c r="U49" s="72"/>
    </row>
    <row r="50" spans="2:21" ht="13.5" thickBot="1" x14ac:dyDescent="0.25">
      <c r="B50" s="88"/>
      <c r="C50" s="89"/>
      <c r="D50" s="89"/>
      <c r="E50" s="89"/>
      <c r="F50" s="93"/>
      <c r="G50" s="93"/>
      <c r="H50" s="94"/>
      <c r="I50" s="111"/>
      <c r="J50" s="111"/>
      <c r="K50" s="89"/>
      <c r="L50" s="89"/>
      <c r="M50" s="92"/>
      <c r="N50" s="101"/>
      <c r="O50" s="93"/>
      <c r="P50" s="102"/>
      <c r="R50" s="159"/>
      <c r="S50" s="68"/>
      <c r="T50" s="71"/>
      <c r="U50" s="72"/>
    </row>
    <row r="51" spans="2:21" ht="13.5" thickBot="1" x14ac:dyDescent="0.25">
      <c r="B51" s="88"/>
      <c r="C51" s="89"/>
      <c r="D51" s="89"/>
      <c r="E51" s="89"/>
      <c r="F51" s="93"/>
      <c r="G51" s="93"/>
      <c r="H51" s="94"/>
      <c r="I51" s="111"/>
      <c r="J51" s="111"/>
      <c r="K51" s="89"/>
      <c r="L51" s="89"/>
      <c r="M51" s="92"/>
      <c r="N51" s="101"/>
      <c r="O51" s="93"/>
      <c r="P51" s="102"/>
      <c r="R51" s="159"/>
      <c r="S51" s="68"/>
      <c r="T51" s="71"/>
      <c r="U51" s="72"/>
    </row>
    <row r="52" spans="2:21" ht="13.5" thickBot="1" x14ac:dyDescent="0.25">
      <c r="B52" s="88"/>
      <c r="C52" s="89"/>
      <c r="D52" s="89"/>
      <c r="E52" s="89"/>
      <c r="F52" s="93"/>
      <c r="G52" s="93"/>
      <c r="H52" s="94"/>
      <c r="I52" s="111"/>
      <c r="J52" s="111"/>
      <c r="K52" s="89"/>
      <c r="L52" s="89"/>
      <c r="M52" s="92"/>
      <c r="N52" s="101"/>
      <c r="O52" s="93"/>
      <c r="P52" s="102"/>
      <c r="R52" s="159"/>
      <c r="S52" s="68"/>
      <c r="T52" s="71"/>
      <c r="U52" s="72"/>
    </row>
    <row r="53" spans="2:21" ht="13.5" thickBot="1" x14ac:dyDescent="0.25">
      <c r="B53" s="79"/>
      <c r="C53" s="95"/>
      <c r="D53" s="95"/>
      <c r="E53" s="95"/>
      <c r="F53" s="96"/>
      <c r="G53" s="96"/>
      <c r="H53" s="97"/>
      <c r="I53" s="112"/>
      <c r="J53" s="112"/>
      <c r="K53" s="95"/>
      <c r="L53" s="95"/>
      <c r="M53" s="98"/>
      <c r="N53" s="103"/>
      <c r="O53" s="96"/>
      <c r="P53" s="104"/>
      <c r="R53" s="159"/>
      <c r="S53" s="68"/>
      <c r="T53" s="80"/>
      <c r="U53" s="8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4E3F9D-6DBF-4DBA-B388-B27E822A84DB}">
  <sheetPr codeName="Sheet7"/>
  <dimension ref="B1:U53"/>
  <sheetViews>
    <sheetView topLeftCell="F7" workbookViewId="0">
      <selection activeCell="N12" sqref="N12"/>
    </sheetView>
  </sheetViews>
  <sheetFormatPr defaultRowHeight="12.75" x14ac:dyDescent="0.2"/>
  <cols>
    <col min="2" max="2" width="20.7109375" customWidth="1"/>
    <col min="3" max="3" width="18" customWidth="1"/>
    <col min="4" max="4" width="22" customWidth="1"/>
    <col min="5" max="5" width="17.42578125" customWidth="1"/>
    <col min="9" max="9" width="23.140625" customWidth="1"/>
    <col min="14" max="14" width="16.42578125" customWidth="1"/>
    <col min="15" max="15" width="15.140625" customWidth="1"/>
    <col min="16" max="16" width="15.42578125" customWidth="1"/>
  </cols>
  <sheetData>
    <row r="1" spans="2:21" ht="13.5" thickBot="1" x14ac:dyDescent="0.25"/>
    <row r="2" spans="2:21" x14ac:dyDescent="0.2">
      <c r="B2" s="5" t="s">
        <v>1</v>
      </c>
      <c r="C2" s="11">
        <f>C4 +7</f>
        <v>43790</v>
      </c>
      <c r="D2" s="1"/>
      <c r="E2" s="27" t="s">
        <v>30</v>
      </c>
      <c r="F2" t="s">
        <v>32</v>
      </c>
    </row>
    <row r="3" spans="2:21" ht="13.5" thickBot="1" x14ac:dyDescent="0.25">
      <c r="B3" s="6"/>
      <c r="C3" s="12"/>
      <c r="E3" s="29" t="s">
        <v>31</v>
      </c>
      <c r="F3" t="s">
        <v>33</v>
      </c>
    </row>
    <row r="4" spans="2:21" ht="13.5" thickBot="1" x14ac:dyDescent="0.25">
      <c r="B4" s="7" t="s">
        <v>19</v>
      </c>
      <c r="C4" s="11">
        <v>43783</v>
      </c>
    </row>
    <row r="5" spans="2:21" x14ac:dyDescent="0.2">
      <c r="C5" s="2"/>
    </row>
    <row r="6" spans="2:21" x14ac:dyDescent="0.2">
      <c r="B6" t="s">
        <v>13</v>
      </c>
      <c r="C6" s="2">
        <v>0.02</v>
      </c>
    </row>
    <row r="9" spans="2:21" ht="20.25" x14ac:dyDescent="0.3">
      <c r="B9" s="48" t="s">
        <v>20</v>
      </c>
      <c r="N9" s="48" t="s">
        <v>23</v>
      </c>
      <c r="O9" s="48"/>
    </row>
    <row r="10" spans="2:21" ht="13.5" thickBot="1" x14ac:dyDescent="0.25"/>
    <row r="11" spans="2:21" ht="18" x14ac:dyDescent="0.25">
      <c r="B11" s="43" t="s">
        <v>11</v>
      </c>
      <c r="C11" s="44" t="s">
        <v>10</v>
      </c>
      <c r="D11" s="45" t="s">
        <v>12</v>
      </c>
      <c r="I11" s="119" t="s">
        <v>2</v>
      </c>
      <c r="J11" s="121"/>
      <c r="N11" s="137" t="s">
        <v>4</v>
      </c>
    </row>
    <row r="12" spans="2:21" ht="18.75" thickBot="1" x14ac:dyDescent="0.3">
      <c r="B12" s="153">
        <v>-1015017.5904441072</v>
      </c>
      <c r="C12" s="9">
        <f>(C2-C4)/365</f>
        <v>1.9178082191780823E-2</v>
      </c>
      <c r="D12" s="10">
        <f>B12*EXP($C$6*C12)</f>
        <v>-1015406.9869336247</v>
      </c>
      <c r="G12" s="3"/>
      <c r="I12" s="120">
        <f>D12+D16+SUM(I20:I29)+D33+SUM(I37:I46)</f>
        <v>-397632.65907401009</v>
      </c>
      <c r="J12" s="122"/>
      <c r="N12" s="136">
        <f>D12+P16+SUM(P20:P29)+P33+SUM(P37:P53)</f>
        <v>-1379513.4869336248</v>
      </c>
    </row>
    <row r="13" spans="2:21" ht="13.5" thickBot="1" x14ac:dyDescent="0.25">
      <c r="G13" s="148"/>
    </row>
    <row r="14" spans="2:21" x14ac:dyDescent="0.2">
      <c r="B14" s="21" t="s">
        <v>38</v>
      </c>
      <c r="C14" s="15"/>
      <c r="D14" s="16"/>
      <c r="G14" s="140"/>
      <c r="N14" s="49" t="s">
        <v>38</v>
      </c>
      <c r="O14" s="127"/>
      <c r="P14" s="54"/>
      <c r="R14" s="21" t="s">
        <v>38</v>
      </c>
      <c r="S14" s="15"/>
      <c r="T14" s="15"/>
      <c r="U14" s="16"/>
    </row>
    <row r="15" spans="2:21" x14ac:dyDescent="0.2">
      <c r="B15" s="40" t="s">
        <v>7</v>
      </c>
      <c r="C15" s="41" t="s">
        <v>5</v>
      </c>
      <c r="D15" s="42" t="s">
        <v>6</v>
      </c>
      <c r="N15" s="22" t="s">
        <v>7</v>
      </c>
      <c r="O15" s="23" t="s">
        <v>6</v>
      </c>
      <c r="P15" s="55" t="s">
        <v>46</v>
      </c>
      <c r="R15" s="17" t="s">
        <v>41</v>
      </c>
      <c r="S15" s="18"/>
      <c r="T15" s="18"/>
      <c r="U15" s="19" t="s">
        <v>28</v>
      </c>
    </row>
    <row r="16" spans="2:21" ht="13.5" thickBot="1" x14ac:dyDescent="0.25">
      <c r="B16" s="26">
        <v>1500</v>
      </c>
      <c r="C16" s="146">
        <v>1017.79</v>
      </c>
      <c r="D16" s="25">
        <f>B16*C16</f>
        <v>1526685</v>
      </c>
      <c r="N16" s="64">
        <v>800</v>
      </c>
      <c r="O16" s="129">
        <f>N16*C16</f>
        <v>814232</v>
      </c>
      <c r="P16" s="56">
        <f>(B16-N16)*C16</f>
        <v>712453</v>
      </c>
      <c r="R16" s="20">
        <f>N16+SUM(S20:S29)</f>
        <v>800.48855551924521</v>
      </c>
      <c r="S16" s="30"/>
      <c r="T16" s="30"/>
      <c r="U16" s="31">
        <f>SUM(U20:U29)</f>
        <v>-235.99997744940248</v>
      </c>
    </row>
    <row r="17" spans="2:21" ht="13.5" thickBot="1" x14ac:dyDescent="0.25">
      <c r="P17" s="28"/>
    </row>
    <row r="18" spans="2:21" x14ac:dyDescent="0.2">
      <c r="B18" s="65" t="s">
        <v>39</v>
      </c>
      <c r="C18" s="32"/>
      <c r="D18" s="32"/>
      <c r="E18" s="32"/>
      <c r="F18" s="32"/>
      <c r="G18" s="32" t="s">
        <v>44</v>
      </c>
      <c r="H18" s="32" t="s">
        <v>45</v>
      </c>
      <c r="I18" s="52"/>
      <c r="J18" s="32" t="s">
        <v>42</v>
      </c>
      <c r="K18" s="32" t="s">
        <v>34</v>
      </c>
      <c r="L18" s="32"/>
      <c r="M18" s="33"/>
      <c r="N18" s="49" t="s">
        <v>39</v>
      </c>
      <c r="O18" s="127"/>
      <c r="P18" s="54"/>
      <c r="R18" s="14"/>
      <c r="S18" s="15"/>
      <c r="T18" s="15"/>
      <c r="U18" s="16"/>
    </row>
    <row r="19" spans="2:21" ht="13.5" thickBot="1" x14ac:dyDescent="0.25">
      <c r="B19" s="24" t="s">
        <v>7</v>
      </c>
      <c r="C19" s="34" t="s">
        <v>21</v>
      </c>
      <c r="D19" s="34" t="s">
        <v>8</v>
      </c>
      <c r="E19" s="34" t="s">
        <v>9</v>
      </c>
      <c r="F19" s="34" t="s">
        <v>18</v>
      </c>
      <c r="G19" s="53" t="s">
        <v>16</v>
      </c>
      <c r="H19" s="53" t="s">
        <v>16</v>
      </c>
      <c r="I19" s="34" t="s">
        <v>6</v>
      </c>
      <c r="J19" s="34" t="s">
        <v>43</v>
      </c>
      <c r="K19" s="34" t="s">
        <v>35</v>
      </c>
      <c r="L19" s="34" t="s">
        <v>14</v>
      </c>
      <c r="M19" s="35" t="s">
        <v>15</v>
      </c>
      <c r="N19" s="24" t="s">
        <v>7</v>
      </c>
      <c r="O19" s="34" t="s">
        <v>6</v>
      </c>
      <c r="P19" s="57" t="s">
        <v>46</v>
      </c>
      <c r="R19" s="20" t="s">
        <v>24</v>
      </c>
      <c r="S19" s="30" t="s">
        <v>25</v>
      </c>
      <c r="T19" s="30" t="s">
        <v>26</v>
      </c>
      <c r="U19" s="31" t="s">
        <v>27</v>
      </c>
    </row>
    <row r="20" spans="2:21" x14ac:dyDescent="0.2">
      <c r="B20" s="46">
        <v>0</v>
      </c>
      <c r="C20" s="145" t="s">
        <v>48</v>
      </c>
      <c r="D20" s="36">
        <v>1010</v>
      </c>
      <c r="E20" s="37">
        <v>43810</v>
      </c>
      <c r="F20" s="144">
        <v>0.08</v>
      </c>
      <c r="G20" s="66">
        <v>3.19</v>
      </c>
      <c r="H20" s="66">
        <v>3.19</v>
      </c>
      <c r="I20" s="106">
        <f t="shared" ref="I20:I25" si="0">B20*AVERAGE(H20,G20)</f>
        <v>0</v>
      </c>
      <c r="J20" s="106">
        <v>9.98</v>
      </c>
      <c r="K20" s="32">
        <f t="shared" ref="K20:K25" si="1">($E20-$C$2)/365</f>
        <v>5.4794520547945202E-2</v>
      </c>
      <c r="L20" s="32"/>
      <c r="M20" s="32"/>
      <c r="N20" s="62">
        <v>-20000</v>
      </c>
      <c r="O20" s="131">
        <f t="shared" ref="O20:O25" si="2">N20*AVERAGE(G20:H20)</f>
        <v>-63800</v>
      </c>
      <c r="P20" s="58">
        <f>MIN((B20-N20)*G20,(B20-N20)*H20)</f>
        <v>63800</v>
      </c>
      <c r="R20" s="141">
        <v>0.25600000000000001</v>
      </c>
      <c r="S20" s="15">
        <f>R20*N20</f>
        <v>-5120</v>
      </c>
      <c r="T20">
        <v>1.18E-2</v>
      </c>
      <c r="U20" s="143">
        <f>T20*N20</f>
        <v>-236</v>
      </c>
    </row>
    <row r="21" spans="2:21" x14ac:dyDescent="0.2">
      <c r="B21" s="47">
        <v>-12379</v>
      </c>
      <c r="C21" s="23" t="s">
        <v>47</v>
      </c>
      <c r="D21" s="38">
        <v>1000</v>
      </c>
      <c r="E21" s="39">
        <v>43819</v>
      </c>
      <c r="F21" s="147">
        <v>0.1054479</v>
      </c>
      <c r="G21" s="124">
        <v>4.5999999999999996</v>
      </c>
      <c r="H21" s="124">
        <v>5.4</v>
      </c>
      <c r="I21" s="107">
        <f t="shared" si="0"/>
        <v>-61895</v>
      </c>
      <c r="J21" s="123">
        <f>-$C$16*NORMSDIST(-M21)+D21*EXP(-$C$6*K21)*NORMSDIST(-L21)</f>
        <v>4.6803398916327978</v>
      </c>
      <c r="K21" s="23">
        <f t="shared" si="1"/>
        <v>7.9452054794520555E-2</v>
      </c>
      <c r="L21" s="23">
        <f>(LN($C$16/D21)+($C$6-F21*F21/2)*K21)/(F21*SQRT(K21))</f>
        <v>0.6318682374452057</v>
      </c>
      <c r="M21" s="23">
        <f>L21+F21*SQRT(K21)</f>
        <v>0.66159109101209268</v>
      </c>
      <c r="N21" s="63">
        <v>-13000</v>
      </c>
      <c r="O21" s="132">
        <f t="shared" si="2"/>
        <v>-65000</v>
      </c>
      <c r="P21" s="59">
        <f>MIN((B21-N21)*G21,(B21-N21)*H21)</f>
        <v>2856.6</v>
      </c>
      <c r="R21" s="161">
        <f xml:space="preserve"> _xlfn.NORM.DIST(M21,0,1,TRUE) - 1</f>
        <v>-0.25411665933397287</v>
      </c>
      <c r="S21" s="162">
        <f>N21 * R21</f>
        <v>3303.5165713416472</v>
      </c>
      <c r="T21" s="18">
        <f t="shared" ref="T21:T22" si="3" xml:space="preserve"> _xlfn.NORM.S.DIST($L21, FALSE) / ($F21*$F21 * $C$16 * $C$16 * $K21)</f>
        <v>3.5703849654910213E-4</v>
      </c>
      <c r="U21" s="19">
        <f xml:space="preserve"> T21 *R21</f>
        <v>-9.0729429996682038E-5</v>
      </c>
    </row>
    <row r="22" spans="2:21" x14ac:dyDescent="0.2">
      <c r="B22" s="47">
        <v>-44998</v>
      </c>
      <c r="C22" s="155" t="s">
        <v>47</v>
      </c>
      <c r="D22" s="23">
        <v>955</v>
      </c>
      <c r="E22" s="39">
        <v>43910</v>
      </c>
      <c r="F22" s="157">
        <v>0.18469583270000001</v>
      </c>
      <c r="G22" s="156">
        <v>6.7</v>
      </c>
      <c r="H22" s="50">
        <v>23.5</v>
      </c>
      <c r="I22" s="107">
        <f t="shared" si="0"/>
        <v>-679469.79999999993</v>
      </c>
      <c r="J22" s="123">
        <f>-$C$16*NORMSDIST(-M22)+D22*EXP(-$C$6*K22)*NORMSDIST(-L22)</f>
        <v>15.80045631720651</v>
      </c>
      <c r="K22" s="23">
        <f t="shared" si="1"/>
        <v>0.32876712328767121</v>
      </c>
      <c r="L22" s="23">
        <f>(LN($C$16/D22)+($C$6-F22*F22/2)*K22)/(F22*SQRT(K22))</f>
        <v>0.61043017422028567</v>
      </c>
      <c r="M22" s="23">
        <f>L22+F22*SQRT(K22)</f>
        <v>0.71633147324099067</v>
      </c>
      <c r="N22" s="63">
        <v>-7670</v>
      </c>
      <c r="O22" s="132">
        <f t="shared" si="2"/>
        <v>-115817</v>
      </c>
      <c r="P22" s="59">
        <f t="shared" ref="P22:P25" si="4">MIN((B22-N22)*G22,(B22-N22)*H22)</f>
        <v>-877208</v>
      </c>
      <c r="R22" s="161">
        <f>_xlfn.NORM.DIST(M22,0,1,TRUE) - 1</f>
        <v>-0.23689334865418488</v>
      </c>
      <c r="S22" s="162">
        <f>N22 * R22</f>
        <v>1816.971984177598</v>
      </c>
      <c r="T22" s="18">
        <f t="shared" si="3"/>
        <v>2.8502085724266328E-5</v>
      </c>
      <c r="U22" s="19">
        <f t="shared" ref="U22:U29" si="5" xml:space="preserve"> T22 *R22</f>
        <v>-6.751954530850089E-6</v>
      </c>
    </row>
    <row r="23" spans="2:21" x14ac:dyDescent="0.2">
      <c r="B23" s="47">
        <v>0</v>
      </c>
      <c r="C23" s="23" t="s">
        <v>22</v>
      </c>
      <c r="D23" s="23">
        <v>985</v>
      </c>
      <c r="E23" s="39">
        <v>43847</v>
      </c>
      <c r="F23" s="167">
        <v>0.02</v>
      </c>
      <c r="G23" s="156">
        <v>32.25</v>
      </c>
      <c r="H23" s="50">
        <v>36.15</v>
      </c>
      <c r="I23" s="107">
        <f t="shared" si="0"/>
        <v>0</v>
      </c>
      <c r="J23" s="123">
        <f xml:space="preserve"> $C$16 *NORMSDIST($M23) - D23*EXP(-$C$6*$K23)*NORMSDIST($L23)</f>
        <v>35.861643591837606</v>
      </c>
      <c r="K23" s="23">
        <f t="shared" si="1"/>
        <v>0.15616438356164383</v>
      </c>
      <c r="L23" s="23">
        <f>(LN($C$16/D23)+($C$6-F23*F23/2)*K23)/(F23*SQRT(K23))</f>
        <v>4.5345955659138726</v>
      </c>
      <c r="M23" s="23">
        <f>L23+F23*SQRT(K23)</f>
        <v>4.5424990938239045</v>
      </c>
      <c r="N23" s="63">
        <v>0</v>
      </c>
      <c r="O23" s="132">
        <f t="shared" si="2"/>
        <v>0</v>
      </c>
      <c r="P23" s="59">
        <f t="shared" si="4"/>
        <v>0</v>
      </c>
      <c r="R23" s="161">
        <f>_xlfn.NORM.DIST(M23,0,1,TRUE)</f>
        <v>0.99999722043821992</v>
      </c>
      <c r="S23" s="162">
        <f t="shared" ref="S23:S29" si="6">N23 * R23</f>
        <v>0</v>
      </c>
      <c r="T23" s="18">
        <f xml:space="preserve"> _xlfn.NORM.S.DIST($L23, FALSE) / ($F23*$F23 * $C$16 * $C$16 * $K23)</f>
        <v>2.1127553806013548E-7</v>
      </c>
      <c r="U23" s="19">
        <f t="shared" si="5"/>
        <v>2.1127495080672484E-7</v>
      </c>
    </row>
    <row r="24" spans="2:21" x14ac:dyDescent="0.2">
      <c r="B24" s="47">
        <v>11460</v>
      </c>
      <c r="C24" s="23" t="s">
        <v>22</v>
      </c>
      <c r="D24" s="23">
        <v>1035</v>
      </c>
      <c r="E24" s="39">
        <v>43847</v>
      </c>
      <c r="F24" s="157">
        <v>7.9809621299999994E-2</v>
      </c>
      <c r="G24" s="60">
        <v>3.75</v>
      </c>
      <c r="H24" s="50">
        <v>5.3</v>
      </c>
      <c r="I24" s="107">
        <f t="shared" si="0"/>
        <v>51856.500000000007</v>
      </c>
      <c r="J24" s="123">
        <f xml:space="preserve"> $C$16 *NORMSDIST($M24) - D24*EXP(-$C$6*$K24)*NORMSDIST($L24)</f>
        <v>7.0902472938665824</v>
      </c>
      <c r="K24" s="23">
        <f t="shared" si="1"/>
        <v>0.15616438356164383</v>
      </c>
      <c r="L24" s="23">
        <f>(LN($C$16/D24)+($C$6-F24*F24/2)*K24)/(F24*SQRT(K24))</f>
        <v>-0.44839512841533313</v>
      </c>
      <c r="M24" s="23">
        <f>L24+F24*SQRT(K24)</f>
        <v>-0.41685624994365073</v>
      </c>
      <c r="N24" s="63">
        <v>0</v>
      </c>
      <c r="O24" s="132">
        <f t="shared" si="2"/>
        <v>0</v>
      </c>
      <c r="P24" s="59">
        <f t="shared" si="4"/>
        <v>42975</v>
      </c>
      <c r="R24" s="161">
        <f>_xlfn.NORM.DIST(M24,0,1,TRUE)</f>
        <v>0.33839177792603703</v>
      </c>
      <c r="S24" s="162">
        <f t="shared" si="6"/>
        <v>0</v>
      </c>
      <c r="T24" s="18">
        <f xml:space="preserve"> _xlfn.NORM.S.DIST($L24, FALSE) / ($F24*$F24 * $C$16 * $C$16 * $K24)</f>
        <v>3.5014020681805962E-4</v>
      </c>
      <c r="U24" s="19">
        <f t="shared" si="5"/>
        <v>1.184845671085535E-4</v>
      </c>
    </row>
    <row r="25" spans="2:21" x14ac:dyDescent="0.2">
      <c r="B25" s="47">
        <v>-20000</v>
      </c>
      <c r="C25" s="23" t="s">
        <v>48</v>
      </c>
      <c r="D25" s="23">
        <v>975</v>
      </c>
      <c r="E25" s="39">
        <v>44176</v>
      </c>
      <c r="F25" s="170">
        <v>0.08</v>
      </c>
      <c r="G25" s="60">
        <v>36.409999999999997</v>
      </c>
      <c r="H25" s="50">
        <v>36.409999999999997</v>
      </c>
      <c r="I25" s="107">
        <f t="shared" si="0"/>
        <v>-728199.99999999988</v>
      </c>
      <c r="J25" s="123">
        <f xml:space="preserve"> $C$16 *NORMSDIST($M25) - D25*EXP(-$C$6*$K25)*NORMSDIST($L25)</f>
        <v>73.301043717605808</v>
      </c>
      <c r="K25" s="23">
        <f t="shared" si="1"/>
        <v>1.0575342465753426</v>
      </c>
      <c r="L25" s="23">
        <f>(LN($C$16/D25)+($C$6-F25*F25/2)*K25)/(F25*SQRT(K25))</f>
        <v>0.73804051474109034</v>
      </c>
      <c r="M25" s="23">
        <f>L25+F25*SQRT(K25)</f>
        <v>0.82030970203549725</v>
      </c>
      <c r="N25" s="63">
        <v>0</v>
      </c>
      <c r="O25" s="60">
        <f t="shared" si="2"/>
        <v>0</v>
      </c>
      <c r="P25" s="59">
        <f t="shared" si="4"/>
        <v>-728199.99999999988</v>
      </c>
      <c r="R25" s="17">
        <v>0.57099999999999995</v>
      </c>
      <c r="S25" s="162">
        <f t="shared" si="6"/>
        <v>0</v>
      </c>
      <c r="T25">
        <v>2.34E-6</v>
      </c>
      <c r="U25" s="19">
        <f t="shared" si="5"/>
        <v>1.3361399999999998E-6</v>
      </c>
    </row>
    <row r="26" spans="2:21" x14ac:dyDescent="0.2">
      <c r="B26" s="47"/>
      <c r="C26" s="23"/>
      <c r="D26" s="23"/>
      <c r="E26" s="23"/>
      <c r="F26" s="60"/>
      <c r="G26" s="60"/>
      <c r="H26" s="50"/>
      <c r="I26" s="108"/>
      <c r="J26" s="108"/>
      <c r="K26" s="23"/>
      <c r="L26" s="23"/>
      <c r="M26" s="23"/>
      <c r="N26" s="63"/>
      <c r="O26" s="60"/>
      <c r="P26" s="59"/>
      <c r="R26" s="17"/>
      <c r="S26" s="162">
        <f t="shared" si="6"/>
        <v>0</v>
      </c>
      <c r="T26" s="18"/>
      <c r="U26" s="19">
        <f t="shared" si="5"/>
        <v>0</v>
      </c>
    </row>
    <row r="27" spans="2:21" x14ac:dyDescent="0.2">
      <c r="B27" s="47"/>
      <c r="C27" s="23"/>
      <c r="D27" s="23"/>
      <c r="E27" s="23"/>
      <c r="F27" s="60"/>
      <c r="G27" s="60"/>
      <c r="H27" s="50"/>
      <c r="I27" s="108"/>
      <c r="J27" s="108"/>
      <c r="K27" s="23"/>
      <c r="L27" s="23"/>
      <c r="M27" s="23"/>
      <c r="N27" s="63"/>
      <c r="O27" s="60"/>
      <c r="P27" s="59"/>
      <c r="R27" s="17"/>
      <c r="S27" s="162">
        <f t="shared" si="6"/>
        <v>0</v>
      </c>
      <c r="T27" s="18"/>
      <c r="U27" s="19">
        <f t="shared" si="5"/>
        <v>0</v>
      </c>
    </row>
    <row r="28" spans="2:21" x14ac:dyDescent="0.2">
      <c r="B28" s="47"/>
      <c r="C28" s="23"/>
      <c r="D28" s="23"/>
      <c r="E28" s="23"/>
      <c r="F28" s="60"/>
      <c r="G28" s="60"/>
      <c r="H28" s="50"/>
      <c r="I28" s="108"/>
      <c r="J28" s="108"/>
      <c r="K28" s="23"/>
      <c r="L28" s="23"/>
      <c r="M28" s="23"/>
      <c r="N28" s="63"/>
      <c r="O28" s="60"/>
      <c r="P28" s="59"/>
      <c r="R28" s="17"/>
      <c r="S28" s="162">
        <f t="shared" si="6"/>
        <v>0</v>
      </c>
      <c r="T28" s="18"/>
      <c r="U28" s="19">
        <f t="shared" si="5"/>
        <v>0</v>
      </c>
    </row>
    <row r="29" spans="2:21" ht="13.5" thickBot="1" x14ac:dyDescent="0.25">
      <c r="B29" s="26"/>
      <c r="C29" s="34"/>
      <c r="D29" s="34"/>
      <c r="E29" s="34"/>
      <c r="F29" s="61"/>
      <c r="G29" s="61"/>
      <c r="H29" s="51"/>
      <c r="I29" s="109"/>
      <c r="J29" s="109"/>
      <c r="K29" s="34"/>
      <c r="L29" s="34"/>
      <c r="M29" s="34"/>
      <c r="N29" s="64"/>
      <c r="O29" s="61"/>
      <c r="P29" s="56"/>
      <c r="R29" s="20"/>
      <c r="S29" s="162">
        <f t="shared" si="6"/>
        <v>0</v>
      </c>
      <c r="T29" s="30"/>
      <c r="U29" s="19">
        <f t="shared" si="5"/>
        <v>0</v>
      </c>
    </row>
    <row r="30" spans="2:21" ht="13.5" thickBot="1" x14ac:dyDescent="0.25">
      <c r="H30" s="3"/>
    </row>
    <row r="31" spans="2:21" x14ac:dyDescent="0.2">
      <c r="B31" s="74" t="s">
        <v>59</v>
      </c>
      <c r="C31" s="68"/>
      <c r="D31" s="69"/>
      <c r="H31" s="3"/>
      <c r="N31" s="113" t="s">
        <v>59</v>
      </c>
      <c r="O31" s="128"/>
      <c r="P31" s="69"/>
      <c r="R31" s="74" t="s">
        <v>59</v>
      </c>
      <c r="S31" s="68"/>
      <c r="T31" s="68"/>
      <c r="U31" s="69"/>
    </row>
    <row r="32" spans="2:21" x14ac:dyDescent="0.2">
      <c r="B32" s="75" t="s">
        <v>7</v>
      </c>
      <c r="C32" s="76" t="s">
        <v>5</v>
      </c>
      <c r="D32" s="77" t="s">
        <v>6</v>
      </c>
      <c r="H32" s="150"/>
      <c r="N32" s="114" t="s">
        <v>7</v>
      </c>
      <c r="O32" s="89" t="s">
        <v>6</v>
      </c>
      <c r="P32" s="115" t="s">
        <v>46</v>
      </c>
      <c r="R32" s="70" t="s">
        <v>40</v>
      </c>
      <c r="S32" s="71"/>
      <c r="T32" s="71"/>
      <c r="U32" s="72" t="s">
        <v>28</v>
      </c>
    </row>
    <row r="33" spans="2:21" ht="13.5" thickBot="1" x14ac:dyDescent="0.25">
      <c r="B33" s="79">
        <v>5500</v>
      </c>
      <c r="C33" s="154">
        <v>22.12</v>
      </c>
      <c r="D33" s="78">
        <f>B33*C33</f>
        <v>121660</v>
      </c>
      <c r="F33" s="148">
        <f>AVERAGE(2.43, 2.84)</f>
        <v>2.6349999999999998</v>
      </c>
      <c r="H33" s="152">
        <f>H32/J37</f>
        <v>0</v>
      </c>
      <c r="I33" s="140"/>
      <c r="N33" s="103">
        <v>3500</v>
      </c>
      <c r="O33" s="135">
        <f>N33*C33</f>
        <v>77420</v>
      </c>
      <c r="P33" s="104">
        <f>(B33-N33)*C33</f>
        <v>44240</v>
      </c>
      <c r="R33" s="73">
        <f>SUM(S37:S53)</f>
        <v>-613.19929289467302</v>
      </c>
      <c r="S33" s="80"/>
      <c r="T33" s="80"/>
      <c r="U33" s="81">
        <f>SUM(U37:U53)</f>
        <v>-21956.163836173298</v>
      </c>
    </row>
    <row r="34" spans="2:21" ht="13.5" thickBot="1" x14ac:dyDescent="0.25">
      <c r="H34" s="3"/>
    </row>
    <row r="35" spans="2:21" x14ac:dyDescent="0.2">
      <c r="B35" s="67" t="s">
        <v>17</v>
      </c>
      <c r="C35" s="68"/>
      <c r="D35" s="68"/>
      <c r="E35" s="68"/>
      <c r="F35" s="68"/>
      <c r="G35" s="84" t="s">
        <v>44</v>
      </c>
      <c r="H35" s="130" t="s">
        <v>45</v>
      </c>
      <c r="I35" s="68"/>
      <c r="J35" s="84" t="s">
        <v>42</v>
      </c>
      <c r="K35" s="68" t="s">
        <v>34</v>
      </c>
      <c r="L35" s="68"/>
      <c r="M35" s="69"/>
      <c r="N35" s="67" t="s">
        <v>17</v>
      </c>
      <c r="O35" s="68"/>
      <c r="P35" s="69"/>
      <c r="R35" s="67"/>
      <c r="S35" s="68"/>
      <c r="T35" s="68"/>
      <c r="U35" s="69"/>
    </row>
    <row r="36" spans="2:21" ht="13.5" thickBot="1" x14ac:dyDescent="0.25">
      <c r="B36" s="73" t="s">
        <v>7</v>
      </c>
      <c r="C36" s="80" t="s">
        <v>21</v>
      </c>
      <c r="D36" s="80" t="s">
        <v>8</v>
      </c>
      <c r="E36" s="80" t="s">
        <v>9</v>
      </c>
      <c r="F36" s="80" t="s">
        <v>18</v>
      </c>
      <c r="G36" s="82" t="s">
        <v>16</v>
      </c>
      <c r="H36" s="82" t="s">
        <v>16</v>
      </c>
      <c r="I36" s="95" t="s">
        <v>6</v>
      </c>
      <c r="J36" s="95" t="s">
        <v>43</v>
      </c>
      <c r="K36" s="80" t="s">
        <v>35</v>
      </c>
      <c r="L36" s="80" t="s">
        <v>14</v>
      </c>
      <c r="M36" s="81" t="s">
        <v>15</v>
      </c>
      <c r="N36" s="73" t="s">
        <v>7</v>
      </c>
      <c r="O36" s="95" t="s">
        <v>6</v>
      </c>
      <c r="P36" s="116" t="s">
        <v>46</v>
      </c>
      <c r="R36" s="73" t="s">
        <v>24</v>
      </c>
      <c r="S36" s="80" t="s">
        <v>25</v>
      </c>
      <c r="T36" s="80" t="s">
        <v>26</v>
      </c>
      <c r="U36" s="81" t="s">
        <v>27</v>
      </c>
    </row>
    <row r="37" spans="2:21" ht="13.5" thickBot="1" x14ac:dyDescent="0.25">
      <c r="B37" s="83">
        <v>-205555</v>
      </c>
      <c r="C37" s="84" t="s">
        <v>29</v>
      </c>
      <c r="D37" s="138">
        <v>22</v>
      </c>
      <c r="E37" s="85">
        <v>43810</v>
      </c>
      <c r="F37" s="86">
        <v>0.35</v>
      </c>
      <c r="G37" s="105">
        <f>J37</f>
        <v>0.48399125363229073</v>
      </c>
      <c r="H37" s="105">
        <f>J37</f>
        <v>0.48399125363229073</v>
      </c>
      <c r="I37" s="110">
        <f>B37*AVERAGE(H37,G37)</f>
        <v>-99486.822140385528</v>
      </c>
      <c r="J37" s="125">
        <f>EXP(-$C$6 *K37) *NORMSDIST(-L37)</f>
        <v>0.48399125363229073</v>
      </c>
      <c r="K37" s="84">
        <f>(E37-$C$2)/365</f>
        <v>5.4794520547945202E-2</v>
      </c>
      <c r="L37" s="84">
        <f t="shared" ref="L37:L42" si="7">(LN($C$33/D37)+($C$6-F37*F37/2)*K37)/(F37*SQRT(K37))</f>
        <v>3.8807467036573423E-2</v>
      </c>
      <c r="M37" s="87">
        <f>L37+F37*SQRT(K37)</f>
        <v>0.12073627007386481</v>
      </c>
      <c r="N37" s="99">
        <f>B37</f>
        <v>-205555</v>
      </c>
      <c r="O37" s="133">
        <f>N37*AVERAGE(G37:H37)</f>
        <v>-99486.822140385528</v>
      </c>
      <c r="P37" s="100">
        <f>MIN((B37-N37)*G37,(B37-N37)*H37)</f>
        <v>0</v>
      </c>
      <c r="R37" s="160">
        <f>-1*EXP(-$C$6*$K37)*_xlfn.NORM.S.DIST($L37,FALSE)/($F37*$C$33*SQRT($K37))</f>
        <v>-0.21972798147439823</v>
      </c>
      <c r="S37" s="68">
        <f>IF($N37 = 0, "N/A", $R37 *$N37)</f>
        <v>45166.185231969932</v>
      </c>
      <c r="T37" s="68">
        <f xml:space="preserve"> _xlfn.NORM.S.DIST($L37, FALSE) / ($F37*$F37 * $C$33 * $C$33 * $K37)</f>
        <v>0.12137788695505324</v>
      </c>
      <c r="U37" s="69">
        <f>T37*N37</f>
        <v>-24949.831553045969</v>
      </c>
    </row>
    <row r="38" spans="2:21" ht="13.5" thickBot="1" x14ac:dyDescent="0.25">
      <c r="B38" s="88">
        <v>192165</v>
      </c>
      <c r="C38" s="89" t="s">
        <v>22</v>
      </c>
      <c r="D38" s="139">
        <v>22</v>
      </c>
      <c r="E38" s="90">
        <v>43819</v>
      </c>
      <c r="F38" s="91">
        <v>0.2567532857</v>
      </c>
      <c r="G38" s="126">
        <v>0.7</v>
      </c>
      <c r="H38" s="126">
        <v>0.74</v>
      </c>
      <c r="I38" s="110">
        <f>B38*AVERAGE(H38,G38)</f>
        <v>138358.79999999999</v>
      </c>
      <c r="J38" s="125">
        <f xml:space="preserve"> $C$33 * NORMSDIST(M38) - D38 * EXP(-$C$6*K38) * NORMSDIST(L38)</f>
        <v>0.71673847722848194</v>
      </c>
      <c r="K38" s="89">
        <f>(E38-$C$2)/365</f>
        <v>7.9452054794520555E-2</v>
      </c>
      <c r="L38" s="89">
        <f>(LN($C$33/D38)+($C$6-F38*F38/2)*K38)/(F38*SQRT(K38))</f>
        <v>6.0934554514477067E-2</v>
      </c>
      <c r="M38" s="92">
        <f>L38+F38*SQRT(K38)</f>
        <v>0.13330622160010119</v>
      </c>
      <c r="N38" s="101">
        <v>0</v>
      </c>
      <c r="O38" s="134">
        <f>N38*AVERAGE(G38:H38)</f>
        <v>0</v>
      </c>
      <c r="P38" s="102">
        <f>MIN((B38-N38)*G38,(B38-N38)*H38)</f>
        <v>134515.5</v>
      </c>
      <c r="R38" s="160">
        <f>_xlfn.NORM.DIST(M38,0,1,TRUE)</f>
        <v>0.553024396303892</v>
      </c>
      <c r="S38" s="68" t="str">
        <f>IF($N38 = 0, "N/A", $R38 *$N38)</f>
        <v>N/A</v>
      </c>
      <c r="T38" s="68">
        <f t="shared" ref="T38:T45" si="8" xml:space="preserve"> _xlfn.NORM.S.DIST($L38, FALSE) / ($F38*$F38 * $C$33 * $C$33 * $K38)</f>
        <v>0.15538045721245755</v>
      </c>
      <c r="U38" s="72">
        <f xml:space="preserve"> T38 * N38</f>
        <v>0</v>
      </c>
    </row>
    <row r="39" spans="2:21" ht="13.5" thickBot="1" x14ac:dyDescent="0.25">
      <c r="B39" s="88">
        <v>112500</v>
      </c>
      <c r="C39" s="89" t="s">
        <v>47</v>
      </c>
      <c r="D39" s="163">
        <v>17</v>
      </c>
      <c r="E39" s="90">
        <v>43938</v>
      </c>
      <c r="F39" s="165">
        <v>0.39835720000000002</v>
      </c>
      <c r="G39" s="164">
        <v>0.34</v>
      </c>
      <c r="H39" s="94">
        <v>0.38</v>
      </c>
      <c r="I39" s="110">
        <f t="shared" ref="I39:I42" si="9">B39*AVERAGE(H39,G39)</f>
        <v>40500</v>
      </c>
      <c r="J39" s="111">
        <f xml:space="preserve"> $D39*EXP(-$C$6 *$K39) *NORMSDIST(-$L39) - $C$33 *NORMSDIST(-$M39)</f>
        <v>0.35485210656478383</v>
      </c>
      <c r="K39" s="89">
        <f>($E39-$C$2)/365</f>
        <v>0.40547945205479452</v>
      </c>
      <c r="L39" s="89">
        <f t="shared" si="7"/>
        <v>0.94300699083433814</v>
      </c>
      <c r="M39" s="92">
        <f t="shared" ref="M39:M42" si="10">L39+F39*SQRT(K39)</f>
        <v>1.1966699745712939</v>
      </c>
      <c r="N39" s="101">
        <v>25000</v>
      </c>
      <c r="O39" s="134">
        <f>N39*AVERAGE(G39:H39)</f>
        <v>9000</v>
      </c>
      <c r="P39" s="102">
        <f>MIN((B39-N39)*G39,(B39-N39)*H39)</f>
        <v>29750.000000000004</v>
      </c>
      <c r="R39" s="160">
        <f>_xlfn.NORM.DIST(M38,0,1, TRUE)-1</f>
        <v>-0.446975603696108</v>
      </c>
      <c r="S39" s="68">
        <f>IF($N39 = 0, "N/A", $R39 *$N39)</f>
        <v>-11174.3900924027</v>
      </c>
      <c r="T39" s="68">
        <f t="shared" si="8"/>
        <v>8.1231560716278767E-3</v>
      </c>
      <c r="U39" s="72">
        <f xml:space="preserve"> T39 * N39</f>
        <v>203.0789017906969</v>
      </c>
    </row>
    <row r="40" spans="2:21" ht="13.5" thickBot="1" x14ac:dyDescent="0.25">
      <c r="B40" s="88">
        <v>1610</v>
      </c>
      <c r="C40" s="89" t="s">
        <v>22</v>
      </c>
      <c r="D40" s="166">
        <v>32</v>
      </c>
      <c r="E40" s="90">
        <v>43938</v>
      </c>
      <c r="F40" s="165">
        <v>0.36971300000000001</v>
      </c>
      <c r="G40" s="164">
        <v>0.14000000000000001</v>
      </c>
      <c r="H40" s="94">
        <v>0.19</v>
      </c>
      <c r="I40" s="110">
        <f t="shared" si="9"/>
        <v>265.65000000000003</v>
      </c>
      <c r="J40" s="111">
        <f xml:space="preserve"> $C$33 * NORMSDIST($M40) - $D40 * EXP(-$C$6*$K40) * NORMSDIST($L40)</f>
        <v>0.16825056403912031</v>
      </c>
      <c r="K40" s="89">
        <f>($E40-$C$2)/365</f>
        <v>0.40547945205479452</v>
      </c>
      <c r="L40" s="89">
        <f t="shared" si="7"/>
        <v>-1.651732982129454</v>
      </c>
      <c r="M40" s="92">
        <f t="shared" si="10"/>
        <v>-1.4163098425292631</v>
      </c>
      <c r="N40" s="101">
        <v>0</v>
      </c>
      <c r="O40" s="134">
        <f>N40*AVERAGE(G40:H40)</f>
        <v>0</v>
      </c>
      <c r="P40" s="102">
        <f>MIN((B40-N40)*G40,(B40-N40)*H40)</f>
        <v>225.40000000000003</v>
      </c>
      <c r="R40" s="160">
        <f>_xlfn.NORM.DIST(M39,0,1,TRUE)</f>
        <v>0.88428239274773313</v>
      </c>
      <c r="S40" s="68" t="str">
        <f>IF($N40 = 0, "N/A", $R40 *$N40)</f>
        <v>N/A</v>
      </c>
      <c r="T40" s="68">
        <f t="shared" si="8"/>
        <v>3.760240996582538E-3</v>
      </c>
      <c r="U40" s="72">
        <f xml:space="preserve"> T40 * N40</f>
        <v>0</v>
      </c>
    </row>
    <row r="41" spans="2:21" ht="13.5" thickBot="1" x14ac:dyDescent="0.25">
      <c r="B41" s="88">
        <v>0</v>
      </c>
      <c r="C41" s="89" t="s">
        <v>22</v>
      </c>
      <c r="D41" s="163">
        <v>21</v>
      </c>
      <c r="E41" s="90">
        <v>43791</v>
      </c>
      <c r="F41" s="165">
        <v>0.15</v>
      </c>
      <c r="G41" s="164">
        <v>0.97</v>
      </c>
      <c r="H41" s="94">
        <v>1.02</v>
      </c>
      <c r="I41" s="110">
        <f t="shared" si="9"/>
        <v>0</v>
      </c>
      <c r="J41" s="111">
        <f xml:space="preserve"> $C$33 * NORMSDIST($M41) - $D41 * EXP(-$C$6*$K41) * NORMSDIST($L41)</f>
        <v>1.1211506534068967</v>
      </c>
      <c r="K41" s="89">
        <f>($E41-$C$2)/365</f>
        <v>2.7397260273972603E-3</v>
      </c>
      <c r="L41" s="89">
        <f t="shared" si="7"/>
        <v>6.6209827623983371</v>
      </c>
      <c r="M41" s="92">
        <f t="shared" si="10"/>
        <v>6.6288341212371904</v>
      </c>
      <c r="N41" s="101">
        <v>0</v>
      </c>
      <c r="O41" s="134">
        <f t="shared" ref="O41:O45" si="11">N41*AVERAGE(G41:H41)</f>
        <v>0</v>
      </c>
      <c r="P41" s="102">
        <f t="shared" ref="P41:P45" si="12">MIN((B41-N41)*G41,(B41-N41)*H41)</f>
        <v>0</v>
      </c>
      <c r="R41" s="160">
        <f>_xlfn.NORM.DIST(M40,0,1,TRUE)</f>
        <v>7.8342403677281874E-2</v>
      </c>
      <c r="S41" s="68" t="str">
        <f t="shared" ref="S41:S45" si="13">IF($N41 = 0, "N/A", $R41 *$N41)</f>
        <v>N/A</v>
      </c>
      <c r="T41" s="68">
        <f t="shared" si="8"/>
        <v>4.0019986698883928E-9</v>
      </c>
      <c r="U41" s="72">
        <f t="shared" ref="U41:U45" si="14" xml:space="preserve"> T41 * N41</f>
        <v>0</v>
      </c>
    </row>
    <row r="42" spans="2:21" ht="13.5" thickBot="1" x14ac:dyDescent="0.25">
      <c r="B42" s="88">
        <v>30000</v>
      </c>
      <c r="C42" s="89" t="s">
        <v>47</v>
      </c>
      <c r="D42" s="163">
        <v>27</v>
      </c>
      <c r="E42" s="90">
        <v>43819</v>
      </c>
      <c r="F42" s="165">
        <v>0.48283589999999998</v>
      </c>
      <c r="G42" s="164">
        <v>4.9000000000000004</v>
      </c>
      <c r="H42" s="94">
        <v>5</v>
      </c>
      <c r="I42" s="111">
        <f t="shared" si="9"/>
        <v>148500</v>
      </c>
      <c r="J42" s="111">
        <f xml:space="preserve"> D42*EXP(-$C$6 *$K42) *NORMSDIST(-$L42) - $C$33 *NORMSDIST(-$M42)</f>
        <v>4.9452435499632905</v>
      </c>
      <c r="K42" s="89">
        <f>($E42-$C$2)/365</f>
        <v>7.9452054794520555E-2</v>
      </c>
      <c r="L42" s="89">
        <f t="shared" si="7"/>
        <v>-1.5211598804951483</v>
      </c>
      <c r="M42" s="92">
        <f t="shared" si="10"/>
        <v>-1.3850617623483092</v>
      </c>
      <c r="N42" s="101">
        <v>0</v>
      </c>
      <c r="O42" s="134">
        <f t="shared" si="11"/>
        <v>0</v>
      </c>
      <c r="P42" s="102">
        <f t="shared" si="12"/>
        <v>147000</v>
      </c>
      <c r="R42" s="160">
        <f>_xlfn.NORM.DIST(M42,0,1, TRUE)-1</f>
        <v>-0.91698320862253768</v>
      </c>
      <c r="S42" s="68" t="str">
        <f t="shared" si="13"/>
        <v>N/A</v>
      </c>
      <c r="T42" s="68">
        <f t="shared" si="8"/>
        <v>1.384116460311456E-2</v>
      </c>
      <c r="U42" s="72">
        <f t="shared" si="14"/>
        <v>0</v>
      </c>
    </row>
    <row r="43" spans="2:21" ht="13.5" thickBot="1" x14ac:dyDescent="0.25">
      <c r="B43" s="88">
        <v>100000</v>
      </c>
      <c r="C43" s="89" t="s">
        <v>47</v>
      </c>
      <c r="D43" s="139">
        <v>23</v>
      </c>
      <c r="E43" s="90">
        <v>43847</v>
      </c>
      <c r="F43" s="91">
        <v>0.32209375000000001</v>
      </c>
      <c r="G43" s="126">
        <v>1.57</v>
      </c>
      <c r="H43" s="126">
        <v>1.61</v>
      </c>
      <c r="I43" s="110">
        <f>B43*AVERAGE(H43,G43)</f>
        <v>159000</v>
      </c>
      <c r="J43" s="111">
        <f t="shared" ref="J43:J44" si="15" xml:space="preserve"> D43*EXP(-$C$6 *$K43) *NORMSDIST(-$L43) - $C$33 *NORMSDIST(-$M43)</f>
        <v>1.5921859313699702</v>
      </c>
      <c r="K43" s="89">
        <f>(E43-$C$2)/365</f>
        <v>0.15616438356164383</v>
      </c>
      <c r="L43" s="89">
        <f>(LN($C$33/D43)+($C$6-F43*F43/2)*K43)/(F43*SQRT(K43))</f>
        <v>-0.34560033707250043</v>
      </c>
      <c r="M43" s="92">
        <f>L43+F43*SQRT(K43)</f>
        <v>-0.21831648993390415</v>
      </c>
      <c r="N43" s="101">
        <v>60000</v>
      </c>
      <c r="O43" s="134">
        <f t="shared" si="11"/>
        <v>95400</v>
      </c>
      <c r="P43" s="102">
        <f t="shared" si="12"/>
        <v>62800</v>
      </c>
      <c r="R43" s="160">
        <f>_xlfn.NORM.DIST(M43,0,1, TRUE)-1</f>
        <v>-0.58640873639364899</v>
      </c>
      <c r="S43" s="68">
        <f t="shared" si="13"/>
        <v>-35184.524183618938</v>
      </c>
      <c r="T43" s="68">
        <f t="shared" si="8"/>
        <v>4.7408613671316949E-2</v>
      </c>
      <c r="U43" s="72">
        <f t="shared" si="14"/>
        <v>2844.5168202790169</v>
      </c>
    </row>
    <row r="44" spans="2:21" ht="13.5" thickBot="1" x14ac:dyDescent="0.25">
      <c r="B44" s="88">
        <v>0</v>
      </c>
      <c r="C44" s="89" t="s">
        <v>47</v>
      </c>
      <c r="D44" s="173">
        <v>21</v>
      </c>
      <c r="E44" s="90">
        <v>43847</v>
      </c>
      <c r="F44" s="171">
        <v>0.32923400000000003</v>
      </c>
      <c r="G44" s="93">
        <v>0.6</v>
      </c>
      <c r="H44" s="94">
        <v>0.64</v>
      </c>
      <c r="I44" s="110">
        <f>B44*AVERAGE(H44,G44)</f>
        <v>0</v>
      </c>
      <c r="J44" s="111">
        <f t="shared" si="15"/>
        <v>0.62226364784815136</v>
      </c>
      <c r="K44" s="89">
        <f>(E44-$C$2)/365</f>
        <v>0.15616438356164383</v>
      </c>
      <c r="L44" s="89">
        <f>(LN($C$33/D44)+($C$6-F44*F44/2)*K44)/(F44*SQRT(K44))</f>
        <v>0.35831923631973672</v>
      </c>
      <c r="M44" s="92">
        <f>L44+F44*SQRT(K44)</f>
        <v>0.48842474171631334</v>
      </c>
      <c r="N44" s="101">
        <v>-1500</v>
      </c>
      <c r="O44" s="172">
        <f t="shared" si="11"/>
        <v>-930</v>
      </c>
      <c r="P44" s="102">
        <f t="shared" si="12"/>
        <v>900</v>
      </c>
      <c r="R44" s="160">
        <f>_xlfn.NORM.DIST(M44,0,1, TRUE)-1</f>
        <v>-0.31262451021071103</v>
      </c>
      <c r="S44" s="68">
        <f t="shared" si="13"/>
        <v>468.93676531606656</v>
      </c>
      <c r="T44" s="71">
        <f t="shared" si="8"/>
        <v>4.5171899919786242E-2</v>
      </c>
      <c r="U44" s="72">
        <f t="shared" si="14"/>
        <v>-67.75784987967937</v>
      </c>
    </row>
    <row r="45" spans="2:21" ht="13.5" thickBot="1" x14ac:dyDescent="0.25">
      <c r="B45" s="88">
        <v>0</v>
      </c>
      <c r="C45" s="89" t="s">
        <v>22</v>
      </c>
      <c r="D45" s="174">
        <v>22</v>
      </c>
      <c r="E45" s="90">
        <v>43847</v>
      </c>
      <c r="F45" s="165">
        <v>0.27473857000000002</v>
      </c>
      <c r="G45" s="172">
        <v>1.04</v>
      </c>
      <c r="H45" s="94">
        <v>1.07</v>
      </c>
      <c r="I45" s="110">
        <f>B45*AVERAGE(H45,G45)</f>
        <v>0</v>
      </c>
      <c r="J45" s="111">
        <f xml:space="preserve"> $C$33 * NORMSDIST($M45) - $D45 * EXP(-$C$6*$K45) * NORMSDIST($L45)</f>
        <v>1.050799899672116</v>
      </c>
      <c r="K45" s="89">
        <f>(E45-$C$2)/365</f>
        <v>0.15616438356164383</v>
      </c>
      <c r="L45" s="89">
        <f>(LN($C$33/D45)+($C$6-F45*F45/2)*K45)/(F45*SQRT(K45))</f>
        <v>2.4585633039804194E-2</v>
      </c>
      <c r="M45" s="92">
        <f>L45+F45*SQRT(K45)</f>
        <v>0.1331558308376706</v>
      </c>
      <c r="N45" s="101">
        <v>200</v>
      </c>
      <c r="O45" s="93">
        <f t="shared" si="11"/>
        <v>211.00000000000003</v>
      </c>
      <c r="P45" s="102">
        <f t="shared" si="12"/>
        <v>-214</v>
      </c>
      <c r="R45" s="160">
        <f>_xlfn.NORM.DIST(M45,0,1,TRUE)</f>
        <v>0.5529649292048513</v>
      </c>
      <c r="S45" s="68">
        <f t="shared" si="13"/>
        <v>110.59298584097026</v>
      </c>
      <c r="T45" s="71">
        <f t="shared" si="8"/>
        <v>6.9149223413188146E-2</v>
      </c>
      <c r="U45" s="72">
        <f t="shared" si="14"/>
        <v>13.82984468263763</v>
      </c>
    </row>
    <row r="46" spans="2:21" ht="13.5" thickBot="1" x14ac:dyDescent="0.25">
      <c r="B46" s="88"/>
      <c r="C46" s="89"/>
      <c r="D46" s="89"/>
      <c r="E46" s="89"/>
      <c r="F46" s="93"/>
      <c r="G46" s="93"/>
      <c r="H46" s="94"/>
      <c r="I46" s="111"/>
      <c r="J46" s="111"/>
      <c r="K46" s="89"/>
      <c r="L46" s="89"/>
      <c r="M46" s="92"/>
      <c r="N46" s="101"/>
      <c r="O46" s="93"/>
      <c r="P46" s="102"/>
      <c r="R46" s="159"/>
      <c r="S46" s="68"/>
      <c r="T46" s="71"/>
      <c r="U46" s="72"/>
    </row>
    <row r="47" spans="2:21" ht="13.5" thickBot="1" x14ac:dyDescent="0.25">
      <c r="B47" s="88"/>
      <c r="C47" s="89"/>
      <c r="D47" s="89"/>
      <c r="E47" s="89"/>
      <c r="F47" s="93"/>
      <c r="G47" s="93"/>
      <c r="H47" s="94"/>
      <c r="I47" s="111"/>
      <c r="J47" s="111"/>
      <c r="K47" s="89"/>
      <c r="L47" s="89"/>
      <c r="M47" s="92"/>
      <c r="N47" s="101"/>
      <c r="O47" s="93"/>
      <c r="P47" s="102"/>
      <c r="R47" s="159"/>
      <c r="S47" s="68"/>
      <c r="T47" s="71"/>
      <c r="U47" s="72"/>
    </row>
    <row r="48" spans="2:21" ht="13.5" thickBot="1" x14ac:dyDescent="0.25">
      <c r="B48" s="88"/>
      <c r="C48" s="89"/>
      <c r="D48" s="89"/>
      <c r="E48" s="89"/>
      <c r="F48" s="93"/>
      <c r="G48" s="93"/>
      <c r="H48" s="94"/>
      <c r="I48" s="111"/>
      <c r="J48" s="111"/>
      <c r="K48" s="89"/>
      <c r="L48" s="89"/>
      <c r="M48" s="92"/>
      <c r="N48" s="101"/>
      <c r="O48" s="93"/>
      <c r="P48" s="102"/>
      <c r="R48" s="159"/>
      <c r="S48" s="68"/>
      <c r="T48" s="71"/>
      <c r="U48" s="72"/>
    </row>
    <row r="49" spans="2:21" ht="13.5" thickBot="1" x14ac:dyDescent="0.25">
      <c r="B49" s="88"/>
      <c r="C49" s="89"/>
      <c r="D49" s="89"/>
      <c r="E49" s="89"/>
      <c r="F49" s="93"/>
      <c r="G49" s="93"/>
      <c r="H49" s="94"/>
      <c r="I49" s="111"/>
      <c r="J49" s="111"/>
      <c r="K49" s="89"/>
      <c r="L49" s="89"/>
      <c r="M49" s="92"/>
      <c r="N49" s="101"/>
      <c r="O49" s="93"/>
      <c r="P49" s="102"/>
      <c r="R49" s="159"/>
      <c r="S49" s="68"/>
      <c r="T49" s="71"/>
      <c r="U49" s="72"/>
    </row>
    <row r="50" spans="2:21" ht="13.5" thickBot="1" x14ac:dyDescent="0.25">
      <c r="B50" s="88"/>
      <c r="C50" s="89"/>
      <c r="D50" s="89"/>
      <c r="E50" s="89"/>
      <c r="F50" s="93"/>
      <c r="G50" s="93"/>
      <c r="H50" s="94"/>
      <c r="I50" s="111"/>
      <c r="J50" s="111"/>
      <c r="K50" s="89"/>
      <c r="L50" s="89"/>
      <c r="M50" s="92"/>
      <c r="N50" s="101"/>
      <c r="O50" s="93"/>
      <c r="P50" s="102"/>
      <c r="R50" s="159"/>
      <c r="S50" s="68"/>
      <c r="T50" s="71"/>
      <c r="U50" s="72"/>
    </row>
    <row r="51" spans="2:21" ht="13.5" thickBot="1" x14ac:dyDescent="0.25">
      <c r="B51" s="88"/>
      <c r="C51" s="89"/>
      <c r="D51" s="89"/>
      <c r="E51" s="89"/>
      <c r="F51" s="93"/>
      <c r="G51" s="93"/>
      <c r="H51" s="94"/>
      <c r="I51" s="111"/>
      <c r="J51" s="111"/>
      <c r="K51" s="89"/>
      <c r="L51" s="89"/>
      <c r="M51" s="92"/>
      <c r="N51" s="101"/>
      <c r="O51" s="93"/>
      <c r="P51" s="102"/>
      <c r="R51" s="159"/>
      <c r="S51" s="68"/>
      <c r="T51" s="71"/>
      <c r="U51" s="72"/>
    </row>
    <row r="52" spans="2:21" ht="13.5" thickBot="1" x14ac:dyDescent="0.25">
      <c r="B52" s="88"/>
      <c r="C52" s="89"/>
      <c r="D52" s="89"/>
      <c r="E52" s="89"/>
      <c r="F52" s="93"/>
      <c r="G52" s="93"/>
      <c r="H52" s="94"/>
      <c r="I52" s="111"/>
      <c r="J52" s="111"/>
      <c r="K52" s="89"/>
      <c r="L52" s="89"/>
      <c r="M52" s="92"/>
      <c r="N52" s="101"/>
      <c r="O52" s="93"/>
      <c r="P52" s="102"/>
      <c r="R52" s="159"/>
      <c r="S52" s="68"/>
      <c r="T52" s="71"/>
      <c r="U52" s="72"/>
    </row>
    <row r="53" spans="2:21" ht="13.5" thickBot="1" x14ac:dyDescent="0.25">
      <c r="B53" s="79"/>
      <c r="C53" s="95"/>
      <c r="D53" s="95"/>
      <c r="E53" s="95"/>
      <c r="F53" s="96"/>
      <c r="G53" s="96"/>
      <c r="H53" s="97"/>
      <c r="I53" s="112"/>
      <c r="J53" s="112"/>
      <c r="K53" s="95"/>
      <c r="L53" s="95"/>
      <c r="M53" s="98"/>
      <c r="N53" s="103"/>
      <c r="O53" s="96"/>
      <c r="P53" s="104"/>
      <c r="R53" s="159"/>
      <c r="S53" s="68"/>
      <c r="T53" s="80"/>
      <c r="U53" s="8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5D701-F606-4B42-9CA8-7430F6FD7B9D}">
  <sheetPr codeName="Sheet8"/>
  <dimension ref="B1:U53"/>
  <sheetViews>
    <sheetView topLeftCell="H10" workbookViewId="0">
      <selection activeCell="N12" sqref="N12"/>
    </sheetView>
  </sheetViews>
  <sheetFormatPr defaultRowHeight="12.75" x14ac:dyDescent="0.2"/>
  <cols>
    <col min="2" max="2" width="20.7109375" customWidth="1"/>
    <col min="3" max="3" width="18" customWidth="1"/>
    <col min="4" max="4" width="22" customWidth="1"/>
    <col min="5" max="5" width="17.42578125" customWidth="1"/>
    <col min="9" max="9" width="23.140625" customWidth="1"/>
    <col min="14" max="14" width="16.42578125" customWidth="1"/>
    <col min="15" max="15" width="15.140625" customWidth="1"/>
    <col min="16" max="16" width="15.42578125" customWidth="1"/>
  </cols>
  <sheetData>
    <row r="1" spans="2:21" ht="13.5" thickBot="1" x14ac:dyDescent="0.25"/>
    <row r="2" spans="2:21" x14ac:dyDescent="0.2">
      <c r="B2" s="5" t="s">
        <v>1</v>
      </c>
      <c r="C2" s="11">
        <f>C4 +7</f>
        <v>43797</v>
      </c>
      <c r="D2" s="1"/>
      <c r="E2" s="27" t="s">
        <v>30</v>
      </c>
      <c r="F2" t="s">
        <v>32</v>
      </c>
    </row>
    <row r="3" spans="2:21" ht="13.5" thickBot="1" x14ac:dyDescent="0.25">
      <c r="B3" s="6"/>
      <c r="C3" s="12"/>
      <c r="E3" s="29" t="s">
        <v>31</v>
      </c>
      <c r="F3" t="s">
        <v>33</v>
      </c>
    </row>
    <row r="4" spans="2:21" ht="13.5" thickBot="1" x14ac:dyDescent="0.25">
      <c r="B4" s="7" t="s">
        <v>19</v>
      </c>
      <c r="C4" s="11">
        <v>43790</v>
      </c>
    </row>
    <row r="5" spans="2:21" x14ac:dyDescent="0.2">
      <c r="C5" s="2"/>
    </row>
    <row r="6" spans="2:21" x14ac:dyDescent="0.2">
      <c r="B6" t="s">
        <v>13</v>
      </c>
      <c r="C6" s="2">
        <v>0.02</v>
      </c>
    </row>
    <row r="9" spans="2:21" ht="20.25" x14ac:dyDescent="0.3">
      <c r="B9" s="48" t="s">
        <v>20</v>
      </c>
      <c r="N9" s="48" t="s">
        <v>23</v>
      </c>
      <c r="O9" s="48"/>
    </row>
    <row r="10" spans="2:21" ht="13.5" thickBot="1" x14ac:dyDescent="0.25"/>
    <row r="11" spans="2:21" ht="18" x14ac:dyDescent="0.25">
      <c r="B11" s="43" t="s">
        <v>11</v>
      </c>
      <c r="C11" s="44" t="s">
        <v>10</v>
      </c>
      <c r="D11" s="45" t="s">
        <v>12</v>
      </c>
      <c r="I11" s="119" t="s">
        <v>2</v>
      </c>
      <c r="J11" s="121"/>
      <c r="N11" s="137" t="s">
        <v>4</v>
      </c>
    </row>
    <row r="12" spans="2:21" ht="18.75" thickBot="1" x14ac:dyDescent="0.3">
      <c r="B12" s="153">
        <v>-1379513.4869336248</v>
      </c>
      <c r="C12" s="9">
        <f>(C2-C4)/365</f>
        <v>1.9178082191780823E-2</v>
      </c>
      <c r="D12" s="10">
        <f>B12*EXP($C$6*C12)</f>
        <v>-1380042.7168840328</v>
      </c>
      <c r="G12" s="3"/>
      <c r="I12" s="120">
        <f>D12+D16+SUM(I20:I29)+D33+SUM(I37:I46)</f>
        <v>-737970.92059644812</v>
      </c>
      <c r="J12" s="122"/>
      <c r="N12" s="136">
        <f>D12+P16+SUM(P20:P29)+P33+SUM(P37:P53)</f>
        <v>-826622.71688403282</v>
      </c>
    </row>
    <row r="13" spans="2:21" ht="13.5" thickBot="1" x14ac:dyDescent="0.25">
      <c r="G13" s="148"/>
    </row>
    <row r="14" spans="2:21" x14ac:dyDescent="0.2">
      <c r="B14" s="21" t="s">
        <v>38</v>
      </c>
      <c r="C14" s="15"/>
      <c r="D14" s="16"/>
      <c r="G14" s="140"/>
      <c r="N14" s="49" t="s">
        <v>38</v>
      </c>
      <c r="O14" s="127"/>
      <c r="P14" s="54"/>
      <c r="R14" s="21" t="s">
        <v>38</v>
      </c>
      <c r="S14" s="15"/>
      <c r="T14" s="15"/>
      <c r="U14" s="16"/>
    </row>
    <row r="15" spans="2:21" x14ac:dyDescent="0.2">
      <c r="B15" s="40" t="s">
        <v>7</v>
      </c>
      <c r="C15" s="41" t="s">
        <v>5</v>
      </c>
      <c r="D15" s="42" t="s">
        <v>6</v>
      </c>
      <c r="N15" s="22" t="s">
        <v>7</v>
      </c>
      <c r="O15" s="23" t="s">
        <v>6</v>
      </c>
      <c r="P15" s="55" t="s">
        <v>46</v>
      </c>
      <c r="R15" s="17" t="s">
        <v>41</v>
      </c>
      <c r="S15" s="18"/>
      <c r="T15" s="18"/>
      <c r="U15" s="19" t="s">
        <v>28</v>
      </c>
    </row>
    <row r="16" spans="2:21" ht="13.5" thickBot="1" x14ac:dyDescent="0.25">
      <c r="B16" s="26">
        <v>800</v>
      </c>
      <c r="C16" s="146">
        <v>1022.95</v>
      </c>
      <c r="D16" s="25">
        <f>B16*C16</f>
        <v>818360</v>
      </c>
      <c r="N16" s="64">
        <v>100</v>
      </c>
      <c r="O16" s="129">
        <f>N16*C16</f>
        <v>102295</v>
      </c>
      <c r="P16" s="56">
        <f>(B16-N16)*C16</f>
        <v>716065</v>
      </c>
      <c r="R16" s="20">
        <f>N16+SUM(S20:S29)</f>
        <v>-4979.0598522936652</v>
      </c>
      <c r="S16" s="30"/>
      <c r="T16" s="30"/>
      <c r="U16" s="31">
        <f>SUM(U20:U29)</f>
        <v>-110.22002607020849</v>
      </c>
    </row>
    <row r="17" spans="2:21" ht="13.5" thickBot="1" x14ac:dyDescent="0.25">
      <c r="P17" s="28"/>
    </row>
    <row r="18" spans="2:21" x14ac:dyDescent="0.2">
      <c r="B18" s="65" t="s">
        <v>39</v>
      </c>
      <c r="C18" s="32"/>
      <c r="D18" s="32"/>
      <c r="E18" s="32"/>
      <c r="F18" s="32"/>
      <c r="G18" s="32" t="s">
        <v>44</v>
      </c>
      <c r="H18" s="32" t="s">
        <v>45</v>
      </c>
      <c r="I18" s="52"/>
      <c r="J18" s="32" t="s">
        <v>42</v>
      </c>
      <c r="K18" s="32" t="s">
        <v>34</v>
      </c>
      <c r="L18" s="32"/>
      <c r="M18" s="33"/>
      <c r="N18" s="49" t="s">
        <v>39</v>
      </c>
      <c r="O18" s="127"/>
      <c r="P18" s="54"/>
      <c r="R18" s="14"/>
      <c r="S18" s="15"/>
      <c r="T18" s="15"/>
      <c r="U18" s="16"/>
    </row>
    <row r="19" spans="2:21" ht="13.5" thickBot="1" x14ac:dyDescent="0.25">
      <c r="B19" s="24" t="s">
        <v>7</v>
      </c>
      <c r="C19" s="34" t="s">
        <v>21</v>
      </c>
      <c r="D19" s="34" t="s">
        <v>8</v>
      </c>
      <c r="E19" s="34" t="s">
        <v>9</v>
      </c>
      <c r="F19" s="34" t="s">
        <v>18</v>
      </c>
      <c r="G19" s="53" t="s">
        <v>16</v>
      </c>
      <c r="H19" s="53" t="s">
        <v>16</v>
      </c>
      <c r="I19" s="34" t="s">
        <v>6</v>
      </c>
      <c r="J19" s="34" t="s">
        <v>43</v>
      </c>
      <c r="K19" s="34" t="s">
        <v>35</v>
      </c>
      <c r="L19" s="34" t="s">
        <v>14</v>
      </c>
      <c r="M19" s="35" t="s">
        <v>15</v>
      </c>
      <c r="N19" s="24" t="s">
        <v>7</v>
      </c>
      <c r="O19" s="34" t="s">
        <v>6</v>
      </c>
      <c r="P19" s="57" t="s">
        <v>46</v>
      </c>
      <c r="R19" s="20" t="s">
        <v>24</v>
      </c>
      <c r="S19" s="30" t="s">
        <v>25</v>
      </c>
      <c r="T19" s="30" t="s">
        <v>26</v>
      </c>
      <c r="U19" s="31" t="s">
        <v>27</v>
      </c>
    </row>
    <row r="20" spans="2:21" x14ac:dyDescent="0.2">
      <c r="B20" s="46">
        <v>-20000</v>
      </c>
      <c r="C20" s="145" t="s">
        <v>48</v>
      </c>
      <c r="D20" s="36">
        <v>1010</v>
      </c>
      <c r="E20" s="37">
        <v>43810</v>
      </c>
      <c r="F20" s="144">
        <v>7.0000000000000007E-2</v>
      </c>
      <c r="G20" s="66">
        <v>3.71</v>
      </c>
      <c r="H20" s="66">
        <v>3.71</v>
      </c>
      <c r="I20" s="106">
        <f t="shared" ref="I20:I25" si="0">B20*AVERAGE(H20,G20)</f>
        <v>-74200</v>
      </c>
      <c r="J20" s="106">
        <v>9.98</v>
      </c>
      <c r="K20" s="32">
        <f t="shared" ref="K20:K25" si="1">($E20-$C$2)/365</f>
        <v>3.5616438356164383E-2</v>
      </c>
      <c r="L20" s="32"/>
      <c r="M20" s="32"/>
      <c r="N20" s="62">
        <v>-20000</v>
      </c>
      <c r="O20" s="131">
        <f t="shared" ref="O20:O25" si="2">N20*AVERAGE(G20:H20)</f>
        <v>-74200</v>
      </c>
      <c r="P20" s="58">
        <f>MIN((B20-N20)*G20,(B20-N20)*H20)</f>
        <v>0</v>
      </c>
      <c r="R20" s="141">
        <v>0.248</v>
      </c>
      <c r="S20" s="15">
        <f>R20*N20</f>
        <v>-4960</v>
      </c>
      <c r="T20">
        <v>5.5110000000000003E-3</v>
      </c>
      <c r="U20" s="143">
        <f>T20*N20</f>
        <v>-110.22</v>
      </c>
    </row>
    <row r="21" spans="2:21" x14ac:dyDescent="0.2">
      <c r="B21" s="47">
        <v>-13000</v>
      </c>
      <c r="C21" s="23" t="s">
        <v>47</v>
      </c>
      <c r="D21" s="38">
        <v>1000</v>
      </c>
      <c r="E21" s="39">
        <v>43819</v>
      </c>
      <c r="F21" s="147">
        <v>0.1400124234</v>
      </c>
      <c r="G21" s="124">
        <v>4.5999999999999996</v>
      </c>
      <c r="H21" s="124">
        <v>5.4</v>
      </c>
      <c r="I21" s="107">
        <f t="shared" si="0"/>
        <v>-65000</v>
      </c>
      <c r="J21" s="123">
        <f>-$C$16*NORMSDIST(-M21)+D21*EXP(-$C$6*K21)*NORMSDIST(-L21)</f>
        <v>5.0046541272114382</v>
      </c>
      <c r="K21" s="23">
        <f t="shared" si="1"/>
        <v>6.0273972602739728E-2</v>
      </c>
      <c r="L21" s="23">
        <f>(LN($C$16/D21)+($C$6-F21*F21/2)*K21)/(F21*SQRT(K21))</f>
        <v>0.67798987710894709</v>
      </c>
      <c r="M21" s="23">
        <f>L21+F21*SQRT(K21)</f>
        <v>0.71236398856603611</v>
      </c>
      <c r="N21" s="63">
        <v>500</v>
      </c>
      <c r="O21" s="132">
        <f t="shared" si="2"/>
        <v>2500</v>
      </c>
      <c r="P21" s="59">
        <f>MIN((B21-N21)*G21,(B21-N21)*H21)</f>
        <v>-72900</v>
      </c>
      <c r="R21" s="161">
        <f xml:space="preserve"> _xlfn.NORM.DIST(M21,0,1,TRUE) - 1</f>
        <v>-0.23811970458732978</v>
      </c>
      <c r="S21" s="162">
        <f>N21 * R21</f>
        <v>-119.05985229366489</v>
      </c>
      <c r="T21" s="18">
        <f t="shared" ref="T21:T22" si="3" xml:space="preserve"> _xlfn.NORM.S.DIST($L21, FALSE) / ($F21*$F21 * $C$16 * $C$16 * $K21)</f>
        <v>2.5640244321630971E-4</v>
      </c>
      <c r="U21" s="19">
        <f xml:space="preserve"> T21 *R21</f>
        <v>-6.1054474034137263E-5</v>
      </c>
    </row>
    <row r="22" spans="2:21" x14ac:dyDescent="0.2">
      <c r="B22" s="47">
        <v>-7670</v>
      </c>
      <c r="C22" s="155" t="s">
        <v>47</v>
      </c>
      <c r="D22" s="23">
        <v>955</v>
      </c>
      <c r="E22" s="39">
        <v>43910</v>
      </c>
      <c r="F22" s="157">
        <v>0.18469583270000001</v>
      </c>
      <c r="G22" s="156">
        <v>6.7</v>
      </c>
      <c r="H22" s="50">
        <v>23.5</v>
      </c>
      <c r="I22" s="107">
        <f t="shared" si="0"/>
        <v>-115817</v>
      </c>
      <c r="J22" s="123">
        <f>-$C$16*NORMSDIST(-M22)+D22*EXP(-$C$6*K22)*NORMSDIST(-L22)</f>
        <v>13.757857628007656</v>
      </c>
      <c r="K22" s="23">
        <f t="shared" si="1"/>
        <v>0.30958904109589042</v>
      </c>
      <c r="L22" s="23">
        <f>(LN($C$16/D22)+($C$6-F22*F22/2)*K22)/(F22*SQRT(K22))</f>
        <v>0.67771270479921419</v>
      </c>
      <c r="M22" s="23">
        <f>L22+F22*SQRT(K22)</f>
        <v>0.78047880735630026</v>
      </c>
      <c r="N22" s="63">
        <v>0</v>
      </c>
      <c r="O22" s="132">
        <f t="shared" si="2"/>
        <v>0</v>
      </c>
      <c r="P22" s="59">
        <f t="shared" ref="P22:P25" si="4">MIN((B22-N22)*G22,(B22-N22)*H22)</f>
        <v>-180245</v>
      </c>
      <c r="R22" s="161">
        <f>_xlfn.NORM.DIST(M22,0,1,TRUE) - 1</f>
        <v>-0.21755454848840283</v>
      </c>
      <c r="S22" s="162">
        <f>N22 * R22</f>
        <v>0</v>
      </c>
      <c r="T22" s="18">
        <f t="shared" si="3"/>
        <v>2.8692404490312341E-5</v>
      </c>
      <c r="U22" s="19">
        <f t="shared" ref="U22:U29" si="5" xml:space="preserve"> T22 *R22</f>
        <v>-6.2421631039365235E-6</v>
      </c>
    </row>
    <row r="23" spans="2:21" x14ac:dyDescent="0.2">
      <c r="B23" s="47">
        <v>0</v>
      </c>
      <c r="C23" s="23" t="s">
        <v>22</v>
      </c>
      <c r="D23" s="23">
        <v>985</v>
      </c>
      <c r="E23" s="39">
        <v>43847</v>
      </c>
      <c r="F23" s="167">
        <v>0.02</v>
      </c>
      <c r="G23" s="156">
        <v>32.25</v>
      </c>
      <c r="H23" s="50">
        <v>36.15</v>
      </c>
      <c r="I23" s="107">
        <f t="shared" si="0"/>
        <v>0</v>
      </c>
      <c r="J23" s="123">
        <f xml:space="preserve"> $C$16 *NORMSDIST($M23) - D23*EXP(-$C$6*$K23)*NORMSDIST($L23)</f>
        <v>40.644936784677498</v>
      </c>
      <c r="K23" s="23">
        <f t="shared" si="1"/>
        <v>0.13698630136986301</v>
      </c>
      <c r="L23" s="23">
        <f>(LN($C$16/D23)+($C$6-F23*F23/2)*K23)/(F23*SQRT(K23))</f>
        <v>5.4734880762853235</v>
      </c>
      <c r="M23" s="23">
        <f>L23+F23*SQRT(K23)</f>
        <v>5.4808904083872996</v>
      </c>
      <c r="N23" s="63">
        <v>0</v>
      </c>
      <c r="O23" s="132">
        <f t="shared" si="2"/>
        <v>0</v>
      </c>
      <c r="P23" s="59">
        <f t="shared" si="4"/>
        <v>0</v>
      </c>
      <c r="R23" s="161">
        <f>_xlfn.NORM.DIST(M23,0,1,TRUE)</f>
        <v>0.99999997884047143</v>
      </c>
      <c r="S23" s="162">
        <f t="shared" ref="S23:S29" si="6">N23 * R23</f>
        <v>0</v>
      </c>
      <c r="T23" s="18">
        <f xml:space="preserve"> _xlfn.NORM.S.DIST($L23, FALSE) / ($F23*$F23 * $C$16 * $C$16 * $K23)</f>
        <v>2.1723727955339254E-9</v>
      </c>
      <c r="U23" s="19">
        <f t="shared" si="5"/>
        <v>2.1723727495675414E-9</v>
      </c>
    </row>
    <row r="24" spans="2:21" x14ac:dyDescent="0.2">
      <c r="B24" s="47">
        <v>0</v>
      </c>
      <c r="C24" s="23" t="s">
        <v>22</v>
      </c>
      <c r="D24" s="23">
        <v>1025</v>
      </c>
      <c r="E24" s="39">
        <v>43847</v>
      </c>
      <c r="F24" s="157">
        <v>0.190120045050922</v>
      </c>
      <c r="G24" s="60">
        <v>0</v>
      </c>
      <c r="H24" s="50">
        <v>58.15</v>
      </c>
      <c r="I24" s="107">
        <f t="shared" si="0"/>
        <v>0</v>
      </c>
      <c r="J24" s="123">
        <f xml:space="preserve"> $C$16 *NORMSDIST($M24) - D24*EXP(-$C$6*$K24)*NORMSDIST($L24)</f>
        <v>29.078718051258591</v>
      </c>
      <c r="K24" s="23">
        <f t="shared" si="1"/>
        <v>0.13698630136986301</v>
      </c>
      <c r="L24" s="23">
        <f>(LN($C$16/D24)+($C$6-F24*F24/2)*K24)/(F24*SQRT(K24))</f>
        <v>-2.4699291781426113E-2</v>
      </c>
      <c r="M24" s="23">
        <f>L24+F24*SQRT(K24)</f>
        <v>4.5667293854052549E-2</v>
      </c>
      <c r="N24" s="63">
        <v>0</v>
      </c>
      <c r="O24" s="132">
        <f t="shared" si="2"/>
        <v>0</v>
      </c>
      <c r="P24" s="59">
        <f t="shared" si="4"/>
        <v>0</v>
      </c>
      <c r="R24" s="161">
        <f>_xlfn.NORM.DIST(M24,0,1,TRUE)</f>
        <v>0.51821228383841844</v>
      </c>
      <c r="S24" s="162">
        <f t="shared" si="6"/>
        <v>0</v>
      </c>
      <c r="T24" s="18">
        <f xml:space="preserve"> _xlfn.NORM.S.DIST($L24, FALSE) / ($F24*$F24 * $C$16 * $C$16 * $K24)</f>
        <v>7.6972541022426411E-5</v>
      </c>
      <c r="U24" s="19">
        <f t="shared" si="5"/>
        <v>3.988811627607794E-5</v>
      </c>
    </row>
    <row r="25" spans="2:21" x14ac:dyDescent="0.2">
      <c r="B25" s="47">
        <v>0</v>
      </c>
      <c r="C25" s="23" t="s">
        <v>48</v>
      </c>
      <c r="D25" s="23">
        <v>975</v>
      </c>
      <c r="E25" s="39">
        <v>44176</v>
      </c>
      <c r="F25" s="170">
        <v>0.08</v>
      </c>
      <c r="G25" s="60">
        <v>36.409999999999997</v>
      </c>
      <c r="H25" s="50">
        <v>36.409999999999997</v>
      </c>
      <c r="I25" s="107">
        <f t="shared" si="0"/>
        <v>0</v>
      </c>
      <c r="J25" s="123">
        <f xml:space="preserve"> $C$16 *NORMSDIST($M25) - D25*EXP(-$C$6*$K25)*NORMSDIST($L25)</f>
        <v>76.946617046192841</v>
      </c>
      <c r="K25" s="23">
        <f t="shared" si="1"/>
        <v>1.0383561643835617</v>
      </c>
      <c r="L25" s="23">
        <f>(LN($C$16/D25)+($C$6-F25*F25/2)*K25)/(F25*SQRT(K25))</f>
        <v>0.80290669617325761</v>
      </c>
      <c r="M25" s="23">
        <f>L25+F25*SQRT(K25)</f>
        <v>0.88442650635492326</v>
      </c>
      <c r="N25" s="63">
        <v>0</v>
      </c>
      <c r="O25" s="60">
        <f t="shared" si="2"/>
        <v>0</v>
      </c>
      <c r="P25" s="59">
        <f t="shared" si="4"/>
        <v>0</v>
      </c>
      <c r="R25" s="17">
        <v>0.57099999999999995</v>
      </c>
      <c r="S25" s="162">
        <f t="shared" si="6"/>
        <v>0</v>
      </c>
      <c r="T25">
        <v>2.34E-6</v>
      </c>
      <c r="U25" s="19">
        <f t="shared" si="5"/>
        <v>1.3361399999999998E-6</v>
      </c>
    </row>
    <row r="26" spans="2:21" x14ac:dyDescent="0.2">
      <c r="B26" s="47"/>
      <c r="C26" s="23"/>
      <c r="D26" s="23"/>
      <c r="E26" s="39"/>
      <c r="F26" s="157"/>
      <c r="G26" s="60"/>
      <c r="H26" s="50"/>
      <c r="I26" s="108"/>
      <c r="J26" s="108"/>
      <c r="K26" s="23"/>
      <c r="L26" s="23"/>
      <c r="M26" s="23"/>
      <c r="N26" s="63"/>
      <c r="O26" s="60"/>
      <c r="P26" s="59"/>
      <c r="R26" s="17"/>
      <c r="S26" s="162"/>
      <c r="T26" s="18"/>
      <c r="U26" s="19"/>
    </row>
    <row r="27" spans="2:21" x14ac:dyDescent="0.2">
      <c r="B27" s="47"/>
      <c r="C27" s="23"/>
      <c r="D27" s="23"/>
      <c r="E27" s="23"/>
      <c r="F27" s="60"/>
      <c r="G27" s="60"/>
      <c r="H27" s="50"/>
      <c r="I27" s="108"/>
      <c r="J27" s="108"/>
      <c r="K27" s="23"/>
      <c r="L27" s="23"/>
      <c r="M27" s="23"/>
      <c r="N27" s="63"/>
      <c r="O27" s="60"/>
      <c r="P27" s="59"/>
      <c r="R27" s="17"/>
      <c r="S27" s="162">
        <f t="shared" si="6"/>
        <v>0</v>
      </c>
      <c r="T27" s="18"/>
      <c r="U27" s="19">
        <f t="shared" si="5"/>
        <v>0</v>
      </c>
    </row>
    <row r="28" spans="2:21" x14ac:dyDescent="0.2">
      <c r="B28" s="47"/>
      <c r="C28" s="23"/>
      <c r="D28" s="23"/>
      <c r="E28" s="23"/>
      <c r="F28" s="60"/>
      <c r="G28" s="60"/>
      <c r="H28" s="50"/>
      <c r="I28" s="108"/>
      <c r="J28" s="108"/>
      <c r="K28" s="23"/>
      <c r="L28" s="23"/>
      <c r="M28" s="23"/>
      <c r="N28" s="63"/>
      <c r="O28" s="60"/>
      <c r="P28" s="59"/>
      <c r="R28" s="17"/>
      <c r="S28" s="162">
        <f t="shared" si="6"/>
        <v>0</v>
      </c>
      <c r="T28" s="18"/>
      <c r="U28" s="19">
        <f t="shared" si="5"/>
        <v>0</v>
      </c>
    </row>
    <row r="29" spans="2:21" ht="13.5" thickBot="1" x14ac:dyDescent="0.25">
      <c r="B29" s="26"/>
      <c r="C29" s="34"/>
      <c r="D29" s="34"/>
      <c r="E29" s="34"/>
      <c r="F29" s="61"/>
      <c r="G29" s="61"/>
      <c r="H29" s="51"/>
      <c r="I29" s="109"/>
      <c r="J29" s="109"/>
      <c r="K29" s="34"/>
      <c r="L29" s="34"/>
      <c r="M29" s="34"/>
      <c r="N29" s="64"/>
      <c r="O29" s="61"/>
      <c r="P29" s="56"/>
      <c r="R29" s="20"/>
      <c r="S29" s="162">
        <f t="shared" si="6"/>
        <v>0</v>
      </c>
      <c r="T29" s="30"/>
      <c r="U29" s="19">
        <f t="shared" si="5"/>
        <v>0</v>
      </c>
    </row>
    <row r="30" spans="2:21" ht="13.5" thickBot="1" x14ac:dyDescent="0.25">
      <c r="H30" s="3"/>
    </row>
    <row r="31" spans="2:21" x14ac:dyDescent="0.2">
      <c r="B31" s="74" t="s">
        <v>59</v>
      </c>
      <c r="C31" s="68"/>
      <c r="D31" s="69"/>
      <c r="H31" s="3"/>
      <c r="N31" s="113" t="s">
        <v>59</v>
      </c>
      <c r="O31" s="128"/>
      <c r="P31" s="69"/>
      <c r="R31" s="74" t="s">
        <v>59</v>
      </c>
      <c r="S31" s="68"/>
      <c r="T31" s="68"/>
      <c r="U31" s="69"/>
    </row>
    <row r="32" spans="2:21" x14ac:dyDescent="0.2">
      <c r="B32" s="75" t="s">
        <v>7</v>
      </c>
      <c r="C32" s="76" t="s">
        <v>5</v>
      </c>
      <c r="D32" s="77" t="s">
        <v>6</v>
      </c>
      <c r="H32" s="150"/>
      <c r="N32" s="114" t="s">
        <v>7</v>
      </c>
      <c r="O32" s="89" t="s">
        <v>6</v>
      </c>
      <c r="P32" s="115" t="s">
        <v>46</v>
      </c>
      <c r="R32" s="70" t="s">
        <v>40</v>
      </c>
      <c r="S32" s="71"/>
      <c r="T32" s="71"/>
      <c r="U32" s="72" t="s">
        <v>28</v>
      </c>
    </row>
    <row r="33" spans="2:21" ht="13.5" thickBot="1" x14ac:dyDescent="0.25">
      <c r="B33" s="79">
        <v>3500</v>
      </c>
      <c r="C33" s="154">
        <v>22.42</v>
      </c>
      <c r="D33" s="78">
        <f>B33*C33</f>
        <v>78470</v>
      </c>
      <c r="F33" s="148">
        <f>AVERAGE(2.43, 2.84)</f>
        <v>2.6349999999999998</v>
      </c>
      <c r="H33" s="152">
        <f>H32/J37</f>
        <v>0</v>
      </c>
      <c r="I33" s="140"/>
      <c r="N33" s="103">
        <v>0</v>
      </c>
      <c r="O33" s="135">
        <f>N33*C33</f>
        <v>0</v>
      </c>
      <c r="P33" s="104">
        <f>(B33-N33)*C33</f>
        <v>78470</v>
      </c>
      <c r="R33" s="73">
        <f>SUM(S37:S53)</f>
        <v>31487.236433784234</v>
      </c>
      <c r="S33" s="80"/>
      <c r="T33" s="80"/>
      <c r="U33" s="81">
        <f>SUM(U37:U53)</f>
        <v>-34179.963051418061</v>
      </c>
    </row>
    <row r="34" spans="2:21" ht="13.5" thickBot="1" x14ac:dyDescent="0.25">
      <c r="H34" s="3"/>
    </row>
    <row r="35" spans="2:21" x14ac:dyDescent="0.2">
      <c r="B35" s="67" t="s">
        <v>17</v>
      </c>
      <c r="C35" s="68"/>
      <c r="D35" s="68"/>
      <c r="E35" s="68"/>
      <c r="F35" s="68"/>
      <c r="G35" s="84" t="s">
        <v>44</v>
      </c>
      <c r="H35" s="130" t="s">
        <v>45</v>
      </c>
      <c r="I35" s="68"/>
      <c r="J35" s="84" t="s">
        <v>42</v>
      </c>
      <c r="K35" s="68" t="s">
        <v>34</v>
      </c>
      <c r="L35" s="68"/>
      <c r="M35" s="69"/>
      <c r="N35" s="67" t="s">
        <v>17</v>
      </c>
      <c r="O35" s="68"/>
      <c r="P35" s="69"/>
      <c r="R35" s="67"/>
      <c r="S35" s="68"/>
      <c r="T35" s="68"/>
      <c r="U35" s="69"/>
    </row>
    <row r="36" spans="2:21" ht="13.5" thickBot="1" x14ac:dyDescent="0.25">
      <c r="B36" s="73" t="s">
        <v>7</v>
      </c>
      <c r="C36" s="80" t="s">
        <v>21</v>
      </c>
      <c r="D36" s="80" t="s">
        <v>8</v>
      </c>
      <c r="E36" s="80" t="s">
        <v>9</v>
      </c>
      <c r="F36" s="80" t="s">
        <v>18</v>
      </c>
      <c r="G36" s="82" t="s">
        <v>16</v>
      </c>
      <c r="H36" s="82" t="s">
        <v>16</v>
      </c>
      <c r="I36" s="95" t="s">
        <v>6</v>
      </c>
      <c r="J36" s="95" t="s">
        <v>43</v>
      </c>
      <c r="K36" s="80" t="s">
        <v>35</v>
      </c>
      <c r="L36" s="80" t="s">
        <v>14</v>
      </c>
      <c r="M36" s="81" t="s">
        <v>15</v>
      </c>
      <c r="N36" s="73" t="s">
        <v>7</v>
      </c>
      <c r="O36" s="95" t="s">
        <v>6</v>
      </c>
      <c r="P36" s="116" t="s">
        <v>46</v>
      </c>
      <c r="R36" s="73" t="s">
        <v>24</v>
      </c>
      <c r="S36" s="80" t="s">
        <v>25</v>
      </c>
      <c r="T36" s="80" t="s">
        <v>26</v>
      </c>
      <c r="U36" s="81" t="s">
        <v>27</v>
      </c>
    </row>
    <row r="37" spans="2:21" ht="13.5" thickBot="1" x14ac:dyDescent="0.25">
      <c r="B37" s="83">
        <v>-205555</v>
      </c>
      <c r="C37" s="84" t="s">
        <v>29</v>
      </c>
      <c r="D37" s="138">
        <v>22</v>
      </c>
      <c r="E37" s="85">
        <v>43810</v>
      </c>
      <c r="F37" s="86">
        <v>0.35</v>
      </c>
      <c r="G37" s="105">
        <f>J37</f>
        <v>0.39558611423908591</v>
      </c>
      <c r="H37" s="105">
        <f>J37</f>
        <v>0.39558611423908591</v>
      </c>
      <c r="I37" s="110">
        <f>B37*AVERAGE(H37,G37)</f>
        <v>-81314.703712415299</v>
      </c>
      <c r="J37" s="125">
        <f>EXP(-$C$6 *K37) *NORMSDIST(-L37)</f>
        <v>0.39558611423908591</v>
      </c>
      <c r="K37" s="84">
        <f>(E37-$C$2)/365</f>
        <v>3.5616438356164383E-2</v>
      </c>
      <c r="L37" s="84">
        <f t="shared" ref="L37:L42" si="7">(LN($C$33/D37)+($C$6-F37*F37/2)*K37)/(F37*SQRT(K37))</f>
        <v>0.26405699123041354</v>
      </c>
      <c r="M37" s="87">
        <f>L37+F37*SQRT(K37)</f>
        <v>0.33011010394003637</v>
      </c>
      <c r="N37" s="99">
        <f>B37</f>
        <v>-205555</v>
      </c>
      <c r="O37" s="133">
        <f>N37*AVERAGE(G37:H37)</f>
        <v>-81314.703712415299</v>
      </c>
      <c r="P37" s="100">
        <f>MIN((B37-N37)*G37,(B37-N37)*H37)</f>
        <v>0</v>
      </c>
      <c r="R37" s="160">
        <f>-1*EXP(-$C$6*$K37)*_xlfn.NORM.S.DIST($L37,FALSE)/($F37*$C$33*SQRT($K37))</f>
        <v>-0.25997463657349495</v>
      </c>
      <c r="S37" s="68">
        <f>IF($N37 = 0, "N/A", $R37 *$N37)</f>
        <v>53439.086420864754</v>
      </c>
      <c r="T37" s="68">
        <f xml:space="preserve"> _xlfn.NORM.S.DIST($L37, FALSE) / ($F37*$F37 * $C$33 * $C$33 * $K37)</f>
        <v>0.17567559926721088</v>
      </c>
      <c r="U37" s="69">
        <f>T37*N37</f>
        <v>-36110.997807371532</v>
      </c>
    </row>
    <row r="38" spans="2:21" ht="13.5" thickBot="1" x14ac:dyDescent="0.25">
      <c r="B38" s="88">
        <v>0</v>
      </c>
      <c r="C38" s="89" t="s">
        <v>22</v>
      </c>
      <c r="D38" s="139">
        <v>22</v>
      </c>
      <c r="E38" s="90">
        <v>43819</v>
      </c>
      <c r="F38" s="91">
        <v>0.2567532857</v>
      </c>
      <c r="G38" s="126">
        <v>0.7</v>
      </c>
      <c r="H38" s="126">
        <v>0.74</v>
      </c>
      <c r="I38" s="110">
        <f>B38*AVERAGE(H38,G38)</f>
        <v>0</v>
      </c>
      <c r="J38" s="125">
        <f xml:space="preserve"> $C$33 * NORMSDIST(M38) - D38 * EXP(-$C$6*K38) * NORMSDIST(L38)</f>
        <v>0.80951805944622812</v>
      </c>
      <c r="K38" s="89">
        <f>(E38-$C$2)/365</f>
        <v>6.0273972602739728E-2</v>
      </c>
      <c r="L38" s="89">
        <f>(LN($C$33/D38)+($C$6-F38*F38/2)*K38)/(F38*SQRT(K38))</f>
        <v>0.28761451295373264</v>
      </c>
      <c r="M38" s="92">
        <f>L38+F38*SQRT(K38)</f>
        <v>0.35064939118315719</v>
      </c>
      <c r="N38" s="101">
        <v>0</v>
      </c>
      <c r="O38" s="134">
        <f>N38*AVERAGE(G38:H38)</f>
        <v>0</v>
      </c>
      <c r="P38" s="102">
        <f>MIN((B38-N38)*G38,(B38-N38)*H38)</f>
        <v>0</v>
      </c>
      <c r="R38" s="160">
        <f>_xlfn.NORM.DIST(M38,0,1,TRUE)</f>
        <v>0.63707430124106135</v>
      </c>
      <c r="S38" s="68" t="str">
        <f>IF($N38 = 0, "N/A", $R38 *$N38)</f>
        <v>N/A</v>
      </c>
      <c r="T38" s="68">
        <f t="shared" ref="T38:T45" si="8" xml:space="preserve"> _xlfn.NORM.S.DIST($L38, FALSE) / ($F38*$F38 * $C$33 * $C$33 * $K38)</f>
        <v>0.19165234405093501</v>
      </c>
      <c r="U38" s="72">
        <f xml:space="preserve"> T38 * N38</f>
        <v>0</v>
      </c>
    </row>
    <row r="39" spans="2:21" ht="13.5" thickBot="1" x14ac:dyDescent="0.25">
      <c r="B39" s="88">
        <v>25000</v>
      </c>
      <c r="C39" s="89" t="s">
        <v>47</v>
      </c>
      <c r="D39" s="163">
        <v>17</v>
      </c>
      <c r="E39" s="90">
        <v>43938</v>
      </c>
      <c r="F39" s="165">
        <v>0.37238343429999998</v>
      </c>
      <c r="G39" s="164">
        <v>0.21</v>
      </c>
      <c r="H39" s="94">
        <v>0.26</v>
      </c>
      <c r="I39" s="110">
        <f t="shared" ref="I39:I42" si="9">B39*AVERAGE(H39,G39)</f>
        <v>5875</v>
      </c>
      <c r="J39" s="111">
        <f xml:space="preserve"> $D39*EXP(-$C$6 *$K39) *NORMSDIST(-$L39) - $C$33 *NORMSDIST(-$M39)</f>
        <v>0.23675170327310058</v>
      </c>
      <c r="K39" s="89">
        <f>($E39-$C$2)/365</f>
        <v>0.38630136986301372</v>
      </c>
      <c r="L39" s="89">
        <f t="shared" si="7"/>
        <v>1.1133471907170003</v>
      </c>
      <c r="M39" s="92">
        <f t="shared" ref="M39:M42" si="10">L39+F39*SQRT(K39)</f>
        <v>1.3447952145392073</v>
      </c>
      <c r="N39" s="101">
        <v>0</v>
      </c>
      <c r="O39" s="134">
        <f>N39*AVERAGE(G39:H39)</f>
        <v>0</v>
      </c>
      <c r="P39" s="102">
        <f>MIN((B39-N39)*G39,(B39-N39)*H39)</f>
        <v>5250</v>
      </c>
      <c r="R39" s="160">
        <f>_xlfn.NORM.DIST(M38,0,1, TRUE)-1</f>
        <v>-0.36292569875893865</v>
      </c>
      <c r="S39" s="68" t="str">
        <f>IF($N39 = 0, "N/A", $R39 *$N39)</f>
        <v>N/A</v>
      </c>
      <c r="T39" s="68">
        <f t="shared" si="8"/>
        <v>7.9720272976202353E-3</v>
      </c>
      <c r="U39" s="72">
        <f xml:space="preserve"> T39 * N39</f>
        <v>0</v>
      </c>
    </row>
    <row r="40" spans="2:21" ht="13.5" thickBot="1" x14ac:dyDescent="0.25">
      <c r="B40" s="88">
        <v>0</v>
      </c>
      <c r="C40" s="89" t="s">
        <v>22</v>
      </c>
      <c r="D40" s="166">
        <v>32</v>
      </c>
      <c r="E40" s="90">
        <v>43938</v>
      </c>
      <c r="F40" s="165">
        <v>0.36971300000000001</v>
      </c>
      <c r="G40" s="164">
        <v>0.14000000000000001</v>
      </c>
      <c r="H40" s="94">
        <v>0.19</v>
      </c>
      <c r="I40" s="110">
        <f t="shared" si="9"/>
        <v>0</v>
      </c>
      <c r="J40" s="111">
        <f xml:space="preserve"> $C$33 * NORMSDIST($M40) - $D40 * EXP(-$C$6*$K40) * NORMSDIST($L40)</f>
        <v>0.17292568313986711</v>
      </c>
      <c r="K40" s="89">
        <f>($E40-$C$2)/365</f>
        <v>0.38630136986301372</v>
      </c>
      <c r="L40" s="89">
        <f t="shared" si="7"/>
        <v>-1.6295774778429768</v>
      </c>
      <c r="M40" s="92">
        <f t="shared" si="10"/>
        <v>-1.3997892129803589</v>
      </c>
      <c r="N40" s="101">
        <v>0</v>
      </c>
      <c r="O40" s="134">
        <f>N40*AVERAGE(G40:H40)</f>
        <v>0</v>
      </c>
      <c r="P40" s="102">
        <f>MIN((B40-N40)*G40,(B40-N40)*H40)</f>
        <v>0</v>
      </c>
      <c r="R40" s="160">
        <f>_xlfn.NORM.DIST(M39,0,1,TRUE)</f>
        <v>0.91065431195330415</v>
      </c>
      <c r="S40" s="68" t="str">
        <f>IF($N40 = 0, "N/A", $R40 *$N40)</f>
        <v>N/A</v>
      </c>
      <c r="T40" s="68">
        <f t="shared" si="8"/>
        <v>3.9842237311803778E-3</v>
      </c>
      <c r="U40" s="72">
        <f xml:space="preserve"> T40 * N40</f>
        <v>0</v>
      </c>
    </row>
    <row r="41" spans="2:21" ht="13.5" thickBot="1" x14ac:dyDescent="0.25">
      <c r="B41" s="88">
        <v>0</v>
      </c>
      <c r="C41" s="89" t="s">
        <v>22</v>
      </c>
      <c r="D41" s="163">
        <v>21</v>
      </c>
      <c r="E41" s="90">
        <v>43791</v>
      </c>
      <c r="F41" s="165">
        <v>0.15</v>
      </c>
      <c r="G41" s="164">
        <v>0.97</v>
      </c>
      <c r="H41" s="94">
        <v>1.02</v>
      </c>
      <c r="I41" s="110">
        <f t="shared" si="9"/>
        <v>0</v>
      </c>
      <c r="J41" s="111" t="e">
        <f xml:space="preserve"> $C$33 * NORMSDIST($M41) - $D41 * EXP(-$C$6*$K41) * NORMSDIST($L41)</f>
        <v>#NUM!</v>
      </c>
      <c r="K41" s="89">
        <f>($E41-$C$2)/365</f>
        <v>-1.643835616438356E-2</v>
      </c>
      <c r="L41" s="89" t="e">
        <f t="shared" si="7"/>
        <v>#NUM!</v>
      </c>
      <c r="M41" s="92" t="e">
        <f t="shared" si="10"/>
        <v>#NUM!</v>
      </c>
      <c r="N41" s="101">
        <v>0</v>
      </c>
      <c r="O41" s="134">
        <f t="shared" ref="O41:O47" si="11">N41*AVERAGE(G41:H41)</f>
        <v>0</v>
      </c>
      <c r="P41" s="102">
        <f t="shared" ref="P41:P47" si="12">MIN((B41-N41)*G41,(B41-N41)*H41)</f>
        <v>0</v>
      </c>
      <c r="R41" s="160">
        <f>_xlfn.NORM.DIST(M40,0,1,TRUE)</f>
        <v>8.0788224497031436E-2</v>
      </c>
      <c r="S41" s="68" t="str">
        <f t="shared" ref="S41:S47" si="13">IF($N41 = 0, "N/A", $R41 *$N41)</f>
        <v>N/A</v>
      </c>
      <c r="T41" s="68"/>
      <c r="U41" s="72">
        <f xml:space="preserve"> T41 * N41</f>
        <v>0</v>
      </c>
    </row>
    <row r="42" spans="2:21" ht="13.5" thickBot="1" x14ac:dyDescent="0.25">
      <c r="B42" s="88">
        <v>0</v>
      </c>
      <c r="C42" s="89" t="s">
        <v>47</v>
      </c>
      <c r="D42" s="163">
        <v>21</v>
      </c>
      <c r="E42" s="90">
        <v>43819</v>
      </c>
      <c r="F42" s="165">
        <v>0.48283589999999998</v>
      </c>
      <c r="G42" s="164">
        <v>4.9000000000000004</v>
      </c>
      <c r="H42" s="94">
        <v>5</v>
      </c>
      <c r="I42" s="111">
        <f t="shared" si="9"/>
        <v>0</v>
      </c>
      <c r="J42" s="111">
        <f xml:space="preserve"> D42*EXP(-$C$6 *$K42) *NORMSDIST(-$L42) - $C$33 *NORMSDIST(-$M42)</f>
        <v>0.4604651432454796</v>
      </c>
      <c r="K42" s="89">
        <f>($E42-$C$2)/365</f>
        <v>6.0273972602739728E-2</v>
      </c>
      <c r="L42" s="89">
        <f t="shared" si="7"/>
        <v>0.50287389749858136</v>
      </c>
      <c r="M42" s="92">
        <f t="shared" si="10"/>
        <v>0.62141377159723865</v>
      </c>
      <c r="N42" s="101">
        <v>0</v>
      </c>
      <c r="O42" s="134">
        <f t="shared" si="11"/>
        <v>0</v>
      </c>
      <c r="P42" s="102">
        <f t="shared" si="12"/>
        <v>0</v>
      </c>
      <c r="R42" s="160">
        <f>_xlfn.NORM.DIST(M42,0,1, TRUE)-1</f>
        <v>-0.26716370659683852</v>
      </c>
      <c r="S42" s="68" t="str">
        <f t="shared" si="13"/>
        <v>N/A</v>
      </c>
      <c r="T42" s="68">
        <f t="shared" si="8"/>
        <v>4.9773394861405064E-2</v>
      </c>
      <c r="U42" s="72">
        <f t="shared" ref="U42:U48" si="14" xml:space="preserve"> T42 * N42</f>
        <v>0</v>
      </c>
    </row>
    <row r="43" spans="2:21" ht="13.5" thickBot="1" x14ac:dyDescent="0.25">
      <c r="B43" s="88">
        <v>60000</v>
      </c>
      <c r="C43" s="89" t="s">
        <v>47</v>
      </c>
      <c r="D43" s="139">
        <v>23</v>
      </c>
      <c r="E43" s="90">
        <v>43847</v>
      </c>
      <c r="F43" s="91">
        <v>0.29497536734000002</v>
      </c>
      <c r="G43" s="126">
        <v>1.24</v>
      </c>
      <c r="H43" s="126">
        <v>1.3</v>
      </c>
      <c r="I43" s="110">
        <f>B43*AVERAGE(H43,G43)</f>
        <v>76200</v>
      </c>
      <c r="J43" s="111">
        <f t="shared" ref="J43:J44" si="15" xml:space="preserve"> D43*EXP(-$C$6 *$K43) *NORMSDIST(-$L43) - $C$33 *NORMSDIST(-$M43)</f>
        <v>1.2672320152398129</v>
      </c>
      <c r="K43" s="89">
        <f>(E43-$C$2)/365</f>
        <v>0.13698630136986301</v>
      </c>
      <c r="L43" s="89">
        <f>(LN($C$33/D43)+($C$6-F43*F43/2)*K43)/(F43*SQRT(K43))</f>
        <v>-0.26343594356282596</v>
      </c>
      <c r="M43" s="92">
        <f>L43+F43*SQRT(K43)</f>
        <v>-0.15426066201517294</v>
      </c>
      <c r="N43" s="101">
        <v>60000</v>
      </c>
      <c r="O43" s="134">
        <f t="shared" si="11"/>
        <v>76200</v>
      </c>
      <c r="P43" s="102">
        <f t="shared" si="12"/>
        <v>0</v>
      </c>
      <c r="R43" s="160">
        <f>_xlfn.NORM.DIST(M43,0,1, TRUE)-1</f>
        <v>-0.56129789342203373</v>
      </c>
      <c r="S43" s="68">
        <f t="shared" si="13"/>
        <v>-33677.873605322027</v>
      </c>
      <c r="T43" s="68">
        <f t="shared" si="8"/>
        <v>6.4316220599325763E-2</v>
      </c>
      <c r="U43" s="72">
        <f t="shared" si="14"/>
        <v>3858.9732359595459</v>
      </c>
    </row>
    <row r="44" spans="2:21" ht="13.5" thickBot="1" x14ac:dyDescent="0.25">
      <c r="B44" s="88">
        <v>-1500</v>
      </c>
      <c r="C44" s="89" t="s">
        <v>47</v>
      </c>
      <c r="D44" s="173">
        <v>21</v>
      </c>
      <c r="E44" s="90">
        <v>43847</v>
      </c>
      <c r="F44" s="171">
        <v>0.30671472999999999</v>
      </c>
      <c r="G44" s="93">
        <v>0.41</v>
      </c>
      <c r="H44" s="94">
        <v>0.44</v>
      </c>
      <c r="I44" s="110">
        <f>B44*AVERAGE(H44,G44)</f>
        <v>-637.5</v>
      </c>
      <c r="J44" s="111">
        <f t="shared" si="15"/>
        <v>0.41419933209643034</v>
      </c>
      <c r="K44" s="89">
        <f>(E44-$C$2)/365</f>
        <v>0.13698630136986301</v>
      </c>
      <c r="L44" s="89">
        <f>(LN($C$33/D44)+($C$6-F44*F44/2)*K44)/(F44*SQRT(K44))</f>
        <v>0.54375589936257651</v>
      </c>
      <c r="M44" s="92">
        <f>L44+F44*SQRT(K44)</f>
        <v>0.65727611396397234</v>
      </c>
      <c r="N44" s="101">
        <v>0</v>
      </c>
      <c r="O44" s="172">
        <f t="shared" si="11"/>
        <v>0</v>
      </c>
      <c r="P44" s="102">
        <f t="shared" si="12"/>
        <v>-660</v>
      </c>
      <c r="R44" s="160">
        <f>_xlfn.NORM.DIST(M44,0,1, TRUE)-1</f>
        <v>-0.25550169611466456</v>
      </c>
      <c r="S44" s="68" t="str">
        <f t="shared" si="13"/>
        <v>N/A</v>
      </c>
      <c r="T44" s="71">
        <f t="shared" si="8"/>
        <v>5.3123712032243586E-2</v>
      </c>
      <c r="U44" s="72">
        <f t="shared" si="14"/>
        <v>0</v>
      </c>
    </row>
    <row r="45" spans="2:21" ht="13.5" thickBot="1" x14ac:dyDescent="0.25">
      <c r="B45" s="88">
        <v>200</v>
      </c>
      <c r="C45" s="89" t="s">
        <v>22</v>
      </c>
      <c r="D45" s="174">
        <v>23</v>
      </c>
      <c r="E45" s="90">
        <v>43847</v>
      </c>
      <c r="F45" s="165">
        <v>0.28836000000000001</v>
      </c>
      <c r="G45" s="172">
        <v>0.66</v>
      </c>
      <c r="H45" s="94">
        <v>0.7</v>
      </c>
      <c r="I45" s="110">
        <f>B45*AVERAGE(H45,G45)</f>
        <v>136</v>
      </c>
      <c r="J45" s="111">
        <f xml:space="preserve"> $C$33 * NORMSDIST($M45) - $D45 * EXP(-$C$6*$K45) * NORMSDIST($L45)</f>
        <v>0.72852889931380638</v>
      </c>
      <c r="K45" s="89">
        <f>(E45-$C$2)/365</f>
        <v>0.13698630136986301</v>
      </c>
      <c r="L45" s="89">
        <f>(LN($C$33/D45)+($C$6-F45*F45/2)*K45)/(F45*SQRT(K45))</f>
        <v>-0.26700297667273837</v>
      </c>
      <c r="M45" s="92">
        <f>L45+F45*SQRT(K45)</f>
        <v>-0.16027615242644766</v>
      </c>
      <c r="N45" s="101">
        <v>10000</v>
      </c>
      <c r="O45" s="93">
        <f t="shared" si="11"/>
        <v>6799.9999999999991</v>
      </c>
      <c r="P45" s="102">
        <f t="shared" si="12"/>
        <v>-6860</v>
      </c>
      <c r="R45" s="160">
        <f>_xlfn.NORM.DIST(M45,0,1,TRUE)</f>
        <v>0.43633177180908322</v>
      </c>
      <c r="S45" s="68">
        <f t="shared" si="13"/>
        <v>4363.3177180908324</v>
      </c>
      <c r="T45" s="71">
        <f t="shared" si="8"/>
        <v>6.7237432437096914E-2</v>
      </c>
      <c r="U45" s="72">
        <f t="shared" si="14"/>
        <v>672.37432437096913</v>
      </c>
    </row>
    <row r="46" spans="2:21" ht="13.5" thickBot="1" x14ac:dyDescent="0.25">
      <c r="B46" s="88">
        <v>0</v>
      </c>
      <c r="C46" s="89" t="s">
        <v>47</v>
      </c>
      <c r="D46" s="174">
        <v>20</v>
      </c>
      <c r="E46" s="90">
        <v>43847</v>
      </c>
      <c r="F46" s="175">
        <v>0.32336399999999998</v>
      </c>
      <c r="G46" s="177">
        <v>0.21</v>
      </c>
      <c r="H46" s="176">
        <v>0.24</v>
      </c>
      <c r="I46" s="111">
        <f>B46*AVERAGE(H46,G46)</f>
        <v>0</v>
      </c>
      <c r="J46" s="111">
        <f xml:space="preserve"> D46*EXP(-$C$6 *$K46) *NORMSDIST(-$L46) - $C$33 *NORMSDIST(-$M46)</f>
        <v>0.21990183904566107</v>
      </c>
      <c r="K46" s="89">
        <f>(E46-$C$2)/365</f>
        <v>0.13698630136986301</v>
      </c>
      <c r="L46" s="89">
        <f>(LN($C$33/D46)+($C$6-F46*F46/2)*K46)/(F46*SQRT(K46))</f>
        <v>0.917419322430305</v>
      </c>
      <c r="M46" s="92">
        <f>L46+F46*SQRT(K46)</f>
        <v>1.0371017083214742</v>
      </c>
      <c r="N46" s="101">
        <v>-60000</v>
      </c>
      <c r="O46" s="93">
        <f t="shared" si="11"/>
        <v>-13499.999999999998</v>
      </c>
      <c r="P46" s="102">
        <f t="shared" si="12"/>
        <v>12600</v>
      </c>
      <c r="R46" s="178">
        <f>_xlfn.NORM.DIST(M46,0,1, TRUE)-1</f>
        <v>-0.14984422956707699</v>
      </c>
      <c r="S46" s="68">
        <f t="shared" si="13"/>
        <v>8990.6537740246204</v>
      </c>
      <c r="T46" s="71">
        <f xml:space="preserve"> _xlfn.NORM.S.DIST($L46, FALSE) / ($F46*$F46 * $C$33 * $C$33 * $K46)</f>
        <v>3.6375972576722079E-2</v>
      </c>
      <c r="U46" s="72">
        <f t="shared" si="14"/>
        <v>-2182.5583546033249</v>
      </c>
    </row>
    <row r="47" spans="2:21" ht="13.5" thickBot="1" x14ac:dyDescent="0.25">
      <c r="B47" s="88">
        <v>0</v>
      </c>
      <c r="C47" s="89" t="s">
        <v>22</v>
      </c>
      <c r="D47" s="179">
        <v>25</v>
      </c>
      <c r="E47" s="90">
        <v>43847</v>
      </c>
      <c r="F47" s="171">
        <v>0.27735870000000001</v>
      </c>
      <c r="G47" s="93">
        <v>0.17</v>
      </c>
      <c r="H47" s="94">
        <v>0.2</v>
      </c>
      <c r="I47" s="111">
        <f>B47*AVERAGE(H47,G47)</f>
        <v>0</v>
      </c>
      <c r="J47" s="111">
        <f xml:space="preserve"> $C$33 * NORMSDIST($M47) - $D47 * EXP(-$C$6*$K47) * NORMSDIST($L47)</f>
        <v>0.18915893322072641</v>
      </c>
      <c r="K47" s="89">
        <f>(E47-$C$2)/365</f>
        <v>0.13698630136986301</v>
      </c>
      <c r="L47" s="89">
        <f>(LN($C$33/D47)+($C$6-F47*F47/2)*K47)/(F47*SQRT(K47))</f>
        <v>-1.0856913574198359</v>
      </c>
      <c r="M47" s="92">
        <f>L47+F47*SQRT(K47)</f>
        <v>-0.98303629698121864</v>
      </c>
      <c r="N47" s="101">
        <v>-10000</v>
      </c>
      <c r="O47" s="93">
        <f t="shared" si="11"/>
        <v>-1850</v>
      </c>
      <c r="P47" s="102">
        <f t="shared" si="12"/>
        <v>1700.0000000000002</v>
      </c>
      <c r="R47" s="178">
        <f>_xlfn.NORM.DIST(M47,0,1,TRUE)</f>
        <v>0.16279478738739458</v>
      </c>
      <c r="S47" s="68">
        <f t="shared" si="13"/>
        <v>-1627.9478738739458</v>
      </c>
      <c r="T47" s="71">
        <f xml:space="preserve"> _xlfn.NORM.S.DIST($L47, FALSE) / ($F47*$F47 * $C$33 * $C$33 * $K47)</f>
        <v>4.1775444977371838E-2</v>
      </c>
      <c r="U47" s="72">
        <f t="shared" si="14"/>
        <v>-417.75444977371836</v>
      </c>
    </row>
    <row r="48" spans="2:21" ht="13.5" thickBot="1" x14ac:dyDescent="0.25">
      <c r="B48" s="88"/>
      <c r="C48" s="89"/>
      <c r="D48" s="89"/>
      <c r="E48" s="89"/>
      <c r="F48" s="93"/>
      <c r="G48" s="93"/>
      <c r="H48" s="94"/>
      <c r="I48" s="111"/>
      <c r="J48" s="111"/>
      <c r="K48" s="89"/>
      <c r="L48" s="89"/>
      <c r="M48" s="92"/>
      <c r="N48" s="101"/>
      <c r="O48" s="93"/>
      <c r="P48" s="102"/>
      <c r="R48" s="159"/>
      <c r="S48" s="68"/>
      <c r="T48" s="71"/>
      <c r="U48" s="72">
        <f t="shared" si="14"/>
        <v>0</v>
      </c>
    </row>
    <row r="49" spans="2:21" ht="13.5" thickBot="1" x14ac:dyDescent="0.25">
      <c r="B49" s="88"/>
      <c r="C49" s="89"/>
      <c r="D49" s="89"/>
      <c r="E49" s="89"/>
      <c r="F49" s="93"/>
      <c r="G49" s="93"/>
      <c r="H49" s="94"/>
      <c r="I49" s="111"/>
      <c r="J49" s="111"/>
      <c r="K49" s="89"/>
      <c r="L49" s="89"/>
      <c r="M49" s="92"/>
      <c r="N49" s="101"/>
      <c r="O49" s="93"/>
      <c r="P49" s="102"/>
      <c r="R49" s="159"/>
      <c r="S49" s="68"/>
      <c r="T49" s="71"/>
      <c r="U49" s="72"/>
    </row>
    <row r="50" spans="2:21" ht="13.5" thickBot="1" x14ac:dyDescent="0.25">
      <c r="B50" s="88"/>
      <c r="C50" s="89"/>
      <c r="D50" s="89"/>
      <c r="E50" s="89"/>
      <c r="F50" s="93"/>
      <c r="G50" s="93"/>
      <c r="H50" s="94"/>
      <c r="I50" s="111"/>
      <c r="J50" s="111"/>
      <c r="K50" s="89"/>
      <c r="L50" s="89"/>
      <c r="M50" s="92"/>
      <c r="N50" s="101"/>
      <c r="O50" s="93"/>
      <c r="P50" s="102"/>
      <c r="R50" s="159"/>
      <c r="S50" s="68"/>
      <c r="T50" s="71"/>
      <c r="U50" s="72"/>
    </row>
    <row r="51" spans="2:21" ht="13.5" thickBot="1" x14ac:dyDescent="0.25">
      <c r="B51" s="88"/>
      <c r="C51" s="89"/>
      <c r="D51" s="89"/>
      <c r="E51" s="89"/>
      <c r="F51" s="93"/>
      <c r="G51" s="93"/>
      <c r="H51" s="94"/>
      <c r="I51" s="111"/>
      <c r="J51" s="111"/>
      <c r="K51" s="89"/>
      <c r="L51" s="89"/>
      <c r="M51" s="92"/>
      <c r="N51" s="101"/>
      <c r="O51" s="93"/>
      <c r="P51" s="102"/>
      <c r="R51" s="159"/>
      <c r="S51" s="68"/>
      <c r="T51" s="71"/>
      <c r="U51" s="72"/>
    </row>
    <row r="52" spans="2:21" ht="13.5" thickBot="1" x14ac:dyDescent="0.25">
      <c r="B52" s="88"/>
      <c r="C52" s="89"/>
      <c r="D52" s="89"/>
      <c r="E52" s="89"/>
      <c r="F52" s="93"/>
      <c r="G52" s="93"/>
      <c r="H52" s="94"/>
      <c r="I52" s="111"/>
      <c r="J52" s="111"/>
      <c r="K52" s="89"/>
      <c r="L52" s="89"/>
      <c r="M52" s="92"/>
      <c r="N52" s="101"/>
      <c r="O52" s="93"/>
      <c r="P52" s="102"/>
      <c r="R52" s="159"/>
      <c r="S52" s="68"/>
      <c r="T52" s="71"/>
      <c r="U52" s="72"/>
    </row>
    <row r="53" spans="2:21" ht="13.5" thickBot="1" x14ac:dyDescent="0.25">
      <c r="B53" s="79"/>
      <c r="C53" s="95"/>
      <c r="D53" s="95"/>
      <c r="E53" s="95"/>
      <c r="F53" s="96"/>
      <c r="G53" s="96"/>
      <c r="H53" s="97"/>
      <c r="I53" s="112"/>
      <c r="J53" s="112"/>
      <c r="K53" s="95"/>
      <c r="L53" s="95"/>
      <c r="M53" s="98"/>
      <c r="N53" s="103"/>
      <c r="O53" s="96"/>
      <c r="P53" s="104"/>
      <c r="R53" s="159"/>
      <c r="S53" s="68"/>
      <c r="T53" s="80"/>
      <c r="U53"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A52DE-4261-4786-84CB-AA55A6B2D8BC}">
  <sheetPr codeName="Sheet10"/>
  <dimension ref="B1:U53"/>
  <sheetViews>
    <sheetView topLeftCell="J1" workbookViewId="0">
      <selection activeCell="N12" sqref="N12"/>
    </sheetView>
  </sheetViews>
  <sheetFormatPr defaultRowHeight="12.75" x14ac:dyDescent="0.2"/>
  <cols>
    <col min="2" max="3" width="18.28515625" customWidth="1"/>
    <col min="4" max="4" width="17.140625" customWidth="1"/>
    <col min="5" max="5" width="23" customWidth="1"/>
    <col min="9" max="9" width="20.42578125" customWidth="1"/>
    <col min="14" max="14" width="18.7109375" customWidth="1"/>
    <col min="15" max="15" width="12.42578125" customWidth="1"/>
    <col min="16" max="16" width="14.7109375" customWidth="1"/>
  </cols>
  <sheetData>
    <row r="1" spans="2:21" ht="13.5" thickBot="1" x14ac:dyDescent="0.25"/>
    <row r="2" spans="2:21" x14ac:dyDescent="0.2">
      <c r="B2" s="5" t="s">
        <v>1</v>
      </c>
      <c r="C2" s="11">
        <f>C4 +7</f>
        <v>43804</v>
      </c>
      <c r="D2" s="1"/>
      <c r="E2" s="27" t="s">
        <v>30</v>
      </c>
      <c r="F2" t="s">
        <v>32</v>
      </c>
    </row>
    <row r="3" spans="2:21" ht="13.5" thickBot="1" x14ac:dyDescent="0.25">
      <c r="B3" s="6"/>
      <c r="C3" s="12"/>
      <c r="E3" s="29" t="s">
        <v>31</v>
      </c>
      <c r="F3" t="s">
        <v>33</v>
      </c>
    </row>
    <row r="4" spans="2:21" ht="13.5" thickBot="1" x14ac:dyDescent="0.25">
      <c r="B4" s="7" t="s">
        <v>19</v>
      </c>
      <c r="C4" s="11">
        <v>43797</v>
      </c>
    </row>
    <row r="5" spans="2:21" x14ac:dyDescent="0.2">
      <c r="C5" s="2"/>
    </row>
    <row r="6" spans="2:21" x14ac:dyDescent="0.2">
      <c r="B6" t="s">
        <v>13</v>
      </c>
      <c r="C6" s="2">
        <v>0.02</v>
      </c>
    </row>
    <row r="9" spans="2:21" ht="20.25" x14ac:dyDescent="0.3">
      <c r="B9" s="48" t="s">
        <v>20</v>
      </c>
      <c r="N9" s="48" t="s">
        <v>23</v>
      </c>
      <c r="O9" s="48"/>
    </row>
    <row r="10" spans="2:21" ht="13.5" thickBot="1" x14ac:dyDescent="0.25"/>
    <row r="11" spans="2:21" ht="18" x14ac:dyDescent="0.25">
      <c r="B11" s="43" t="s">
        <v>11</v>
      </c>
      <c r="C11" s="44" t="s">
        <v>10</v>
      </c>
      <c r="D11" s="45" t="s">
        <v>12</v>
      </c>
      <c r="I11" s="119" t="s">
        <v>2</v>
      </c>
      <c r="J11" s="121"/>
      <c r="N11" s="137" t="s">
        <v>4</v>
      </c>
    </row>
    <row r="12" spans="2:21" ht="18.75" thickBot="1" x14ac:dyDescent="0.3">
      <c r="B12" s="153">
        <v>-826622.71688403282</v>
      </c>
      <c r="C12" s="9">
        <f>(C2-C4)/365</f>
        <v>1.9178082191780823E-2</v>
      </c>
      <c r="D12" s="10">
        <f>B12*EXP($C$6*C12)</f>
        <v>-826939.83846610237</v>
      </c>
      <c r="G12" s="3"/>
      <c r="I12" s="120">
        <f>D12+D16+SUM(I20:I29)+D33+SUM(I37:I46)</f>
        <v>-729413.29471219401</v>
      </c>
      <c r="J12" s="122"/>
      <c r="N12" s="136">
        <f>D12+P16+SUM(P20:P29)+P33+SUM(P37:P53)</f>
        <v>-815703.33846610237</v>
      </c>
    </row>
    <row r="13" spans="2:21" ht="13.5" thickBot="1" x14ac:dyDescent="0.25">
      <c r="G13" s="148"/>
    </row>
    <row r="14" spans="2:21" x14ac:dyDescent="0.2">
      <c r="B14" s="21" t="s">
        <v>38</v>
      </c>
      <c r="C14" s="15"/>
      <c r="D14" s="16"/>
      <c r="G14" s="140"/>
      <c r="N14" s="49" t="s">
        <v>38</v>
      </c>
      <c r="O14" s="127"/>
      <c r="P14" s="54"/>
      <c r="R14" s="21" t="s">
        <v>38</v>
      </c>
      <c r="S14" s="15"/>
      <c r="T14" s="15"/>
      <c r="U14" s="16"/>
    </row>
    <row r="15" spans="2:21" x14ac:dyDescent="0.2">
      <c r="B15" s="40" t="s">
        <v>7</v>
      </c>
      <c r="C15" s="41" t="s">
        <v>5</v>
      </c>
      <c r="D15" s="42" t="s">
        <v>6</v>
      </c>
      <c r="N15" s="22" t="s">
        <v>7</v>
      </c>
      <c r="O15" s="23" t="s">
        <v>6</v>
      </c>
      <c r="P15" s="55" t="s">
        <v>46</v>
      </c>
      <c r="R15" s="17" t="s">
        <v>41</v>
      </c>
      <c r="S15" s="18"/>
      <c r="T15" s="18"/>
      <c r="U15" s="19" t="s">
        <v>28</v>
      </c>
    </row>
    <row r="16" spans="2:21" ht="13.5" thickBot="1" x14ac:dyDescent="0.25">
      <c r="B16" s="26">
        <v>100</v>
      </c>
      <c r="C16" s="146">
        <v>1009</v>
      </c>
      <c r="D16" s="25">
        <f>B16*C16</f>
        <v>100900</v>
      </c>
      <c r="N16" s="64">
        <v>75</v>
      </c>
      <c r="O16" s="129">
        <f>N16*C16</f>
        <v>75675</v>
      </c>
      <c r="P16" s="56">
        <f>(B16-N16)*C16</f>
        <v>25225</v>
      </c>
      <c r="R16" s="20">
        <f>N16+SUM(S20:S29)</f>
        <v>-5408.8093137600135</v>
      </c>
      <c r="S16" s="30"/>
      <c r="T16" s="30"/>
      <c r="U16" s="31">
        <f>SUM(U20:U29)</f>
        <v>-110.21811313109039</v>
      </c>
    </row>
    <row r="17" spans="2:21" ht="13.5" thickBot="1" x14ac:dyDescent="0.25">
      <c r="P17" s="28"/>
    </row>
    <row r="18" spans="2:21" x14ac:dyDescent="0.2">
      <c r="B18" s="65" t="s">
        <v>39</v>
      </c>
      <c r="C18" s="32"/>
      <c r="D18" s="32"/>
      <c r="E18" s="32"/>
      <c r="F18" s="32"/>
      <c r="G18" s="32" t="s">
        <v>44</v>
      </c>
      <c r="H18" s="32" t="s">
        <v>45</v>
      </c>
      <c r="I18" s="52"/>
      <c r="J18" s="32" t="s">
        <v>42</v>
      </c>
      <c r="K18" s="32" t="s">
        <v>34</v>
      </c>
      <c r="L18" s="32"/>
      <c r="M18" s="33"/>
      <c r="N18" s="49" t="s">
        <v>39</v>
      </c>
      <c r="O18" s="127"/>
      <c r="P18" s="54"/>
      <c r="R18" s="14"/>
      <c r="S18" s="15"/>
      <c r="T18" s="15"/>
      <c r="U18" s="16"/>
    </row>
    <row r="19" spans="2:21" ht="13.5" thickBot="1" x14ac:dyDescent="0.25">
      <c r="B19" s="24" t="s">
        <v>7</v>
      </c>
      <c r="C19" s="34" t="s">
        <v>21</v>
      </c>
      <c r="D19" s="34" t="s">
        <v>8</v>
      </c>
      <c r="E19" s="34" t="s">
        <v>9</v>
      </c>
      <c r="F19" s="34" t="s">
        <v>18</v>
      </c>
      <c r="G19" s="53" t="s">
        <v>16</v>
      </c>
      <c r="H19" s="53" t="s">
        <v>16</v>
      </c>
      <c r="I19" s="34" t="s">
        <v>6</v>
      </c>
      <c r="J19" s="34" t="s">
        <v>43</v>
      </c>
      <c r="K19" s="34" t="s">
        <v>35</v>
      </c>
      <c r="L19" s="34" t="s">
        <v>14</v>
      </c>
      <c r="M19" s="35" t="s">
        <v>15</v>
      </c>
      <c r="N19" s="24" t="s">
        <v>7</v>
      </c>
      <c r="O19" s="34" t="s">
        <v>6</v>
      </c>
      <c r="P19" s="57" t="s">
        <v>46</v>
      </c>
      <c r="R19" s="20" t="s">
        <v>24</v>
      </c>
      <c r="S19" s="30" t="s">
        <v>25</v>
      </c>
      <c r="T19" s="30" t="s">
        <v>26</v>
      </c>
      <c r="U19" s="31" t="s">
        <v>27</v>
      </c>
    </row>
    <row r="20" spans="2:21" x14ac:dyDescent="0.2">
      <c r="B20" s="46">
        <v>-20000</v>
      </c>
      <c r="C20" s="145" t="s">
        <v>48</v>
      </c>
      <c r="D20" s="36">
        <v>1010</v>
      </c>
      <c r="E20" s="37">
        <v>43810</v>
      </c>
      <c r="F20" s="144">
        <v>0.08</v>
      </c>
      <c r="G20" s="66">
        <v>0.38469999999999999</v>
      </c>
      <c r="H20" s="66">
        <v>0.38469999999999999</v>
      </c>
      <c r="I20" s="106">
        <f t="shared" ref="I20:I25" si="0">B20*AVERAGE(H20,G20)</f>
        <v>-7694</v>
      </c>
      <c r="J20" s="106">
        <v>9.98</v>
      </c>
      <c r="K20" s="32">
        <f t="shared" ref="K20:K25" si="1">($E20-$C$2)/365</f>
        <v>1.643835616438356E-2</v>
      </c>
      <c r="L20" s="32"/>
      <c r="M20" s="32"/>
      <c r="N20" s="62">
        <v>-20000</v>
      </c>
      <c r="O20" s="131">
        <f t="shared" ref="O20:O25" si="2">N20*AVERAGE(G20:H20)</f>
        <v>-7694</v>
      </c>
      <c r="P20" s="58">
        <f>MIN((B20-N20)*G20,(B20-N20)*H20)</f>
        <v>0</v>
      </c>
      <c r="R20" s="141">
        <v>0.248</v>
      </c>
      <c r="S20" s="15">
        <f>R20*N20</f>
        <v>-4960</v>
      </c>
      <c r="T20">
        <v>5.5110000000000003E-3</v>
      </c>
      <c r="U20" s="143">
        <f>T20*N20</f>
        <v>-110.22</v>
      </c>
    </row>
    <row r="21" spans="2:21" x14ac:dyDescent="0.2">
      <c r="B21" s="47">
        <v>500</v>
      </c>
      <c r="C21" s="23" t="s">
        <v>47</v>
      </c>
      <c r="D21" s="38">
        <v>1000</v>
      </c>
      <c r="E21" s="39">
        <v>43819</v>
      </c>
      <c r="F21" s="147">
        <v>0.1288771475413</v>
      </c>
      <c r="G21" s="124">
        <v>6</v>
      </c>
      <c r="H21" s="124">
        <v>6.55</v>
      </c>
      <c r="I21" s="107">
        <f t="shared" si="0"/>
        <v>3137.5</v>
      </c>
      <c r="J21" s="123">
        <f>-$C$16*NORMSDIST(-M21)+D21*EXP(-$C$6*K21)*NORMSDIST(-L21)</f>
        <v>6.2793368947783392</v>
      </c>
      <c r="K21" s="23">
        <f t="shared" si="1"/>
        <v>4.1095890410958902E-2</v>
      </c>
      <c r="L21" s="23">
        <f>(LN($C$16/D21)+($C$6-F21*F21/2)*K21)/(F21*SQRT(K21))</f>
        <v>0.36133829118021055</v>
      </c>
      <c r="M21" s="23">
        <f>L21+F21*SQRT(K21)</f>
        <v>0.38746442292475908</v>
      </c>
      <c r="N21" s="63">
        <v>1500</v>
      </c>
      <c r="O21" s="132">
        <f t="shared" si="2"/>
        <v>9412.5</v>
      </c>
      <c r="P21" s="59">
        <f>MIN((B21-N21)*G21,(B21-N21)*H21)</f>
        <v>-6550</v>
      </c>
      <c r="R21" s="161">
        <f xml:space="preserve"> _xlfn.NORM.DIST(M21,0,1,TRUE) - 1</f>
        <v>-0.34920620917334233</v>
      </c>
      <c r="S21" s="162">
        <f>N21 * R21</f>
        <v>-523.80931376001354</v>
      </c>
      <c r="T21" s="18">
        <f t="shared" ref="T21:T22" si="3" xml:space="preserve"> _xlfn.NORM.S.DIST($L21, FALSE) / ($F21*$F21 * $C$16 * $C$16 * $K21)</f>
        <v>5.3780594725171698E-4</v>
      </c>
      <c r="U21" s="19">
        <f xml:space="preserve"> T21 *R21</f>
        <v>-1.8780517611065059E-4</v>
      </c>
    </row>
    <row r="22" spans="2:21" x14ac:dyDescent="0.2">
      <c r="B22" s="47">
        <v>0</v>
      </c>
      <c r="C22" s="155" t="s">
        <v>47</v>
      </c>
      <c r="D22" s="23">
        <v>955</v>
      </c>
      <c r="E22" s="39">
        <v>43910</v>
      </c>
      <c r="F22" s="157">
        <v>0.18469583270000001</v>
      </c>
      <c r="G22" s="156">
        <v>6.7</v>
      </c>
      <c r="H22" s="50">
        <v>23.5</v>
      </c>
      <c r="I22" s="107">
        <f t="shared" si="0"/>
        <v>0</v>
      </c>
      <c r="J22" s="123">
        <f>-$C$16*NORMSDIST(-M22)+D22*EXP(-$C$6*K22)*NORMSDIST(-L22)</f>
        <v>16.130000649615852</v>
      </c>
      <c r="K22" s="23">
        <f t="shared" si="1"/>
        <v>0.29041095890410956</v>
      </c>
      <c r="L22" s="23">
        <f>(LN($C$16/D22)+($C$6-F22*F22/2)*K22)/(F22*SQRT(K22))</f>
        <v>0.5612110516346569</v>
      </c>
      <c r="M22" s="23">
        <f>L22+F22*SQRT(K22)</f>
        <v>0.66074325011974155</v>
      </c>
      <c r="N22" s="63">
        <v>0</v>
      </c>
      <c r="O22" s="132">
        <f t="shared" si="2"/>
        <v>0</v>
      </c>
      <c r="P22" s="59">
        <f t="shared" ref="P22:P25" si="4">MIN((B22-N22)*G22,(B22-N22)*H22)</f>
        <v>0</v>
      </c>
      <c r="R22" s="161">
        <f>_xlfn.NORM.DIST(M22,0,1,TRUE) - 1</f>
        <v>-0.25438849111624873</v>
      </c>
      <c r="S22" s="162">
        <f>N22 * R22</f>
        <v>0</v>
      </c>
      <c r="T22" s="18">
        <f t="shared" si="3"/>
        <v>3.3791565516449521E-5</v>
      </c>
      <c r="U22" s="19">
        <f t="shared" ref="U22:U29" si="5" xml:space="preserve"> T22 *R22</f>
        <v>-8.596185364185456E-6</v>
      </c>
    </row>
    <row r="23" spans="2:21" x14ac:dyDescent="0.2">
      <c r="B23" s="47">
        <v>0</v>
      </c>
      <c r="C23" s="23" t="s">
        <v>22</v>
      </c>
      <c r="D23" s="23">
        <v>1000</v>
      </c>
      <c r="E23" s="39">
        <v>43847</v>
      </c>
      <c r="F23" s="167">
        <v>0.02</v>
      </c>
      <c r="G23" s="156">
        <v>9.9</v>
      </c>
      <c r="H23" s="50">
        <v>10.6</v>
      </c>
      <c r="I23" s="107">
        <f t="shared" si="0"/>
        <v>0</v>
      </c>
      <c r="J23" s="123">
        <f xml:space="preserve"> $C$16 *NORMSDIST($M23) - D23*EXP(-$C$6*$K23)*NORMSDIST($L23)</f>
        <v>11.496058789841072</v>
      </c>
      <c r="K23" s="23">
        <f t="shared" si="1"/>
        <v>0.11780821917808219</v>
      </c>
      <c r="L23" s="23">
        <f>(LN($C$16/D23)+($C$6-F23*F23/2)*K23)/(F23*SQRT(K23))</f>
        <v>1.64500155451404</v>
      </c>
      <c r="M23" s="23">
        <f>L23+F23*SQRT(K23)</f>
        <v>1.6518661949031086</v>
      </c>
      <c r="N23" s="63">
        <v>0</v>
      </c>
      <c r="O23" s="132">
        <f t="shared" si="2"/>
        <v>0</v>
      </c>
      <c r="P23" s="59">
        <f t="shared" si="4"/>
        <v>0</v>
      </c>
      <c r="R23" s="161">
        <f>_xlfn.NORM.DIST(M23,0,1,TRUE)</f>
        <v>0.95071908460918109</v>
      </c>
      <c r="S23" s="162">
        <f t="shared" ref="S23:S29" si="6">N23 * R23</f>
        <v>0</v>
      </c>
      <c r="T23" s="18">
        <f xml:space="preserve"> _xlfn.NORM.S.DIST($L23, FALSE) / ($F23*$F23 * $C$16 * $C$16 * $K23)</f>
        <v>2.1492413010706108E-3</v>
      </c>
      <c r="U23" s="19">
        <f t="shared" si="5"/>
        <v>2.0433247223580965E-3</v>
      </c>
    </row>
    <row r="24" spans="2:21" x14ac:dyDescent="0.2">
      <c r="B24" s="47">
        <v>0</v>
      </c>
      <c r="C24" s="23" t="s">
        <v>22</v>
      </c>
      <c r="D24" s="23">
        <v>1025</v>
      </c>
      <c r="E24" s="39">
        <v>43847</v>
      </c>
      <c r="F24" s="157">
        <v>0.190120045050922</v>
      </c>
      <c r="G24" s="60">
        <v>0</v>
      </c>
      <c r="H24" s="50">
        <v>58.15</v>
      </c>
      <c r="I24" s="107">
        <f t="shared" si="0"/>
        <v>0</v>
      </c>
      <c r="J24" s="123">
        <f xml:space="preserve"> $C$16 *NORMSDIST($M24) - D24*EXP(-$C$6*$K24)*NORMSDIST($L24)</f>
        <v>20.1990438072948</v>
      </c>
      <c r="K24" s="23">
        <f t="shared" si="1"/>
        <v>0.11780821917808219</v>
      </c>
      <c r="L24" s="23">
        <f>(LN($C$16/D24)+($C$6-F24*F24/2)*K24)/(F24*SQRT(K24))</f>
        <v>-0.23761803508460322</v>
      </c>
      <c r="M24" s="23">
        <f>L24+F24*SQRT(K24)</f>
        <v>-0.17236274808319749</v>
      </c>
      <c r="N24" s="63">
        <v>0</v>
      </c>
      <c r="O24" s="132">
        <f t="shared" si="2"/>
        <v>0</v>
      </c>
      <c r="P24" s="59">
        <f t="shared" si="4"/>
        <v>0</v>
      </c>
      <c r="R24" s="161">
        <f>_xlfn.NORM.DIST(M24,0,1,TRUE)</f>
        <v>0.43157617828102857</v>
      </c>
      <c r="S24" s="162">
        <f t="shared" si="6"/>
        <v>0</v>
      </c>
      <c r="T24" s="18">
        <f xml:space="preserve"> _xlfn.NORM.S.DIST($L24, FALSE) / ($F24*$F24 * $C$16 * $C$16 * $K24)</f>
        <v>8.9461399092848751E-5</v>
      </c>
      <c r="U24" s="19">
        <f t="shared" si="5"/>
        <v>3.8609408724165538E-5</v>
      </c>
    </row>
    <row r="25" spans="2:21" x14ac:dyDescent="0.2">
      <c r="B25" s="47">
        <v>0</v>
      </c>
      <c r="C25" s="23" t="s">
        <v>48</v>
      </c>
      <c r="D25" s="23">
        <v>975</v>
      </c>
      <c r="E25" s="39">
        <v>44176</v>
      </c>
      <c r="F25" s="170">
        <v>0.08</v>
      </c>
      <c r="G25" s="60">
        <v>36.409999999999997</v>
      </c>
      <c r="H25" s="50">
        <v>36.409999999999997</v>
      </c>
      <c r="I25" s="107">
        <f t="shared" si="0"/>
        <v>0</v>
      </c>
      <c r="J25" s="123">
        <f xml:space="preserve"> $C$16 *NORMSDIST($M25) - D25*EXP(-$C$6*$K25)*NORMSDIST($L25)</f>
        <v>65.448525530888105</v>
      </c>
      <c r="K25" s="23">
        <f t="shared" si="1"/>
        <v>1.0191780821917809</v>
      </c>
      <c r="L25" s="23">
        <f>(LN($C$16/D25)+($C$6-F25*F25/2)*K25)/(F25*SQRT(K25))</f>
        <v>0.6364230595409428</v>
      </c>
      <c r="M25" s="23">
        <f>L25+F25*SQRT(K25)</f>
        <v>0.71718653969148738</v>
      </c>
      <c r="N25" s="63">
        <v>0</v>
      </c>
      <c r="O25" s="60">
        <f t="shared" si="2"/>
        <v>0</v>
      </c>
      <c r="P25" s="59">
        <f t="shared" si="4"/>
        <v>0</v>
      </c>
      <c r="R25" s="17">
        <v>0.57099999999999995</v>
      </c>
      <c r="S25" s="162">
        <f t="shared" si="6"/>
        <v>0</v>
      </c>
      <c r="T25">
        <v>2.34E-6</v>
      </c>
      <c r="U25" s="19">
        <f t="shared" si="5"/>
        <v>1.3361399999999998E-6</v>
      </c>
    </row>
    <row r="26" spans="2:21" x14ac:dyDescent="0.2">
      <c r="B26" s="47"/>
      <c r="C26" s="23"/>
      <c r="D26" s="23"/>
      <c r="E26" s="39"/>
      <c r="F26" s="157"/>
      <c r="G26" s="60"/>
      <c r="H26" s="50"/>
      <c r="I26" s="108"/>
      <c r="J26" s="108"/>
      <c r="K26" s="23"/>
      <c r="L26" s="23"/>
      <c r="M26" s="23"/>
      <c r="N26" s="63"/>
      <c r="O26" s="60"/>
      <c r="P26" s="59"/>
      <c r="R26" s="17"/>
      <c r="S26" s="162"/>
      <c r="T26" s="18"/>
      <c r="U26" s="19"/>
    </row>
    <row r="27" spans="2:21" x14ac:dyDescent="0.2">
      <c r="B27" s="47"/>
      <c r="C27" s="23"/>
      <c r="D27" s="23"/>
      <c r="E27" s="23"/>
      <c r="F27" s="60"/>
      <c r="G27" s="60"/>
      <c r="H27" s="50"/>
      <c r="I27" s="108"/>
      <c r="J27" s="108"/>
      <c r="K27" s="23"/>
      <c r="L27" s="23"/>
      <c r="M27" s="23"/>
      <c r="N27" s="63"/>
      <c r="O27" s="60"/>
      <c r="P27" s="59"/>
      <c r="R27" s="17"/>
      <c r="S27" s="162">
        <f t="shared" si="6"/>
        <v>0</v>
      </c>
      <c r="T27" s="18"/>
      <c r="U27" s="19">
        <f t="shared" si="5"/>
        <v>0</v>
      </c>
    </row>
    <row r="28" spans="2:21" x14ac:dyDescent="0.2">
      <c r="B28" s="47"/>
      <c r="C28" s="23"/>
      <c r="D28" s="23"/>
      <c r="E28" s="23"/>
      <c r="F28" s="60"/>
      <c r="G28" s="60"/>
      <c r="H28" s="50"/>
      <c r="I28" s="108"/>
      <c r="J28" s="108"/>
      <c r="K28" s="23"/>
      <c r="L28" s="23"/>
      <c r="M28" s="23"/>
      <c r="N28" s="63"/>
      <c r="O28" s="60"/>
      <c r="P28" s="59"/>
      <c r="R28" s="17"/>
      <c r="S28" s="162">
        <f t="shared" si="6"/>
        <v>0</v>
      </c>
      <c r="T28" s="18"/>
      <c r="U28" s="19">
        <f t="shared" si="5"/>
        <v>0</v>
      </c>
    </row>
    <row r="29" spans="2:21" ht="13.5" thickBot="1" x14ac:dyDescent="0.25">
      <c r="B29" s="26"/>
      <c r="C29" s="34"/>
      <c r="D29" s="34"/>
      <c r="E29" s="34"/>
      <c r="F29" s="61"/>
      <c r="G29" s="61"/>
      <c r="H29" s="51"/>
      <c r="I29" s="109"/>
      <c r="J29" s="109"/>
      <c r="K29" s="34"/>
      <c r="L29" s="34"/>
      <c r="M29" s="34"/>
      <c r="N29" s="64"/>
      <c r="O29" s="61"/>
      <c r="P29" s="56"/>
      <c r="R29" s="20"/>
      <c r="S29" s="162">
        <f t="shared" si="6"/>
        <v>0</v>
      </c>
      <c r="T29" s="30"/>
      <c r="U29" s="19">
        <f t="shared" si="5"/>
        <v>0</v>
      </c>
    </row>
    <row r="30" spans="2:21" ht="13.5" thickBot="1" x14ac:dyDescent="0.25">
      <c r="H30" s="3"/>
    </row>
    <row r="31" spans="2:21" x14ac:dyDescent="0.2">
      <c r="B31" s="74" t="s">
        <v>59</v>
      </c>
      <c r="C31" s="68"/>
      <c r="D31" s="69"/>
      <c r="H31" s="3"/>
      <c r="N31" s="113" t="s">
        <v>59</v>
      </c>
      <c r="O31" s="128"/>
      <c r="P31" s="69"/>
      <c r="R31" s="74" t="s">
        <v>59</v>
      </c>
      <c r="S31" s="68"/>
      <c r="T31" s="68"/>
      <c r="U31" s="69"/>
    </row>
    <row r="32" spans="2:21" x14ac:dyDescent="0.2">
      <c r="B32" s="75" t="s">
        <v>7</v>
      </c>
      <c r="C32" s="76" t="s">
        <v>5</v>
      </c>
      <c r="D32" s="77" t="s">
        <v>6</v>
      </c>
      <c r="H32" s="150"/>
      <c r="N32" s="114" t="s">
        <v>7</v>
      </c>
      <c r="O32" s="89" t="s">
        <v>6</v>
      </c>
      <c r="P32" s="115" t="s">
        <v>46</v>
      </c>
      <c r="R32" s="70" t="s">
        <v>40</v>
      </c>
      <c r="S32" s="71"/>
      <c r="T32" s="71"/>
      <c r="U32" s="72" t="s">
        <v>28</v>
      </c>
    </row>
    <row r="33" spans="2:21" ht="13.5" thickBot="1" x14ac:dyDescent="0.25">
      <c r="B33" s="79">
        <v>0</v>
      </c>
      <c r="C33" s="154">
        <v>22.62</v>
      </c>
      <c r="D33" s="78">
        <f>B33*C33</f>
        <v>0</v>
      </c>
      <c r="F33" s="148">
        <f>AVERAGE(2.43, 2.84)</f>
        <v>2.6349999999999998</v>
      </c>
      <c r="H33" s="152">
        <f>H32/J37</f>
        <v>0</v>
      </c>
      <c r="I33" s="140"/>
      <c r="N33" s="103">
        <v>0</v>
      </c>
      <c r="O33" s="135">
        <f>N33*C33</f>
        <v>0</v>
      </c>
      <c r="P33" s="104">
        <f>(B33-N33)*C33</f>
        <v>0</v>
      </c>
      <c r="R33" s="73">
        <f>SUM(S37:S53)</f>
        <v>40890.225811830496</v>
      </c>
      <c r="S33" s="80"/>
      <c r="T33" s="80"/>
      <c r="U33" s="81">
        <f>SUM(U37:U53)</f>
        <v>-61859.070217019173</v>
      </c>
    </row>
    <row r="34" spans="2:21" ht="13.5" thickBot="1" x14ac:dyDescent="0.25">
      <c r="H34" s="3"/>
    </row>
    <row r="35" spans="2:21" x14ac:dyDescent="0.2">
      <c r="B35" s="67" t="s">
        <v>17</v>
      </c>
      <c r="C35" s="68"/>
      <c r="D35" s="68"/>
      <c r="E35" s="68"/>
      <c r="F35" s="68"/>
      <c r="G35" s="84" t="s">
        <v>44</v>
      </c>
      <c r="H35" s="130" t="s">
        <v>45</v>
      </c>
      <c r="I35" s="68"/>
      <c r="J35" s="84" t="s">
        <v>42</v>
      </c>
      <c r="K35" s="68" t="s">
        <v>34</v>
      </c>
      <c r="L35" s="68"/>
      <c r="M35" s="69"/>
      <c r="N35" s="67" t="s">
        <v>17</v>
      </c>
      <c r="O35" s="68"/>
      <c r="P35" s="69"/>
      <c r="R35" s="67"/>
      <c r="S35" s="68"/>
      <c r="T35" s="68"/>
      <c r="U35" s="69"/>
    </row>
    <row r="36" spans="2:21" ht="13.5" thickBot="1" x14ac:dyDescent="0.25">
      <c r="B36" s="73" t="s">
        <v>7</v>
      </c>
      <c r="C36" s="80" t="s">
        <v>21</v>
      </c>
      <c r="D36" s="80" t="s">
        <v>8</v>
      </c>
      <c r="E36" s="80" t="s">
        <v>9</v>
      </c>
      <c r="F36" s="80" t="s">
        <v>18</v>
      </c>
      <c r="G36" s="82" t="s">
        <v>16</v>
      </c>
      <c r="H36" s="82" t="s">
        <v>16</v>
      </c>
      <c r="I36" s="95" t="s">
        <v>6</v>
      </c>
      <c r="J36" s="95" t="s">
        <v>43</v>
      </c>
      <c r="K36" s="80" t="s">
        <v>35</v>
      </c>
      <c r="L36" s="80" t="s">
        <v>14</v>
      </c>
      <c r="M36" s="81" t="s">
        <v>15</v>
      </c>
      <c r="N36" s="73" t="s">
        <v>7</v>
      </c>
      <c r="O36" s="95" t="s">
        <v>6</v>
      </c>
      <c r="P36" s="116" t="s">
        <v>46</v>
      </c>
      <c r="R36" s="73" t="s">
        <v>24</v>
      </c>
      <c r="S36" s="80" t="s">
        <v>25</v>
      </c>
      <c r="T36" s="80" t="s">
        <v>26</v>
      </c>
      <c r="U36" s="81" t="s">
        <v>27</v>
      </c>
    </row>
    <row r="37" spans="2:21" ht="13.5" thickBot="1" x14ac:dyDescent="0.25">
      <c r="B37" s="83">
        <v>-205555</v>
      </c>
      <c r="C37" s="84" t="s">
        <v>29</v>
      </c>
      <c r="D37" s="138">
        <v>22</v>
      </c>
      <c r="E37" s="85">
        <v>43810</v>
      </c>
      <c r="F37" s="86">
        <v>0.35</v>
      </c>
      <c r="G37" s="105">
        <f>J37</f>
        <v>0.27275890270775027</v>
      </c>
      <c r="H37" s="105">
        <f>J37</f>
        <v>0.27275890270775027</v>
      </c>
      <c r="I37" s="110">
        <f>B37*AVERAGE(H37,G37)</f>
        <v>-56066.956246091606</v>
      </c>
      <c r="J37" s="125">
        <f>EXP(-$C$6 *K37) *NORMSDIST(-L37)</f>
        <v>0.27275890270775027</v>
      </c>
      <c r="K37" s="84">
        <f>(E37-$C$2)/365</f>
        <v>1.643835616438356E-2</v>
      </c>
      <c r="L37" s="84">
        <f t="shared" ref="L37:L42" si="7">(LN($C$33/D37)+($C$6-F37*F37/2)*K37)/(F37*SQRT(K37))</f>
        <v>0.60422030458925724</v>
      </c>
      <c r="M37" s="87">
        <f>L37+F37*SQRT(K37)</f>
        <v>0.64909455812217953</v>
      </c>
      <c r="N37" s="99">
        <f>B37</f>
        <v>-205555</v>
      </c>
      <c r="O37" s="133">
        <f>N37*AVERAGE(G37:H37)</f>
        <v>-56066.956246091606</v>
      </c>
      <c r="P37" s="100">
        <f>MIN((B37-N37)*G37,(B37-N37)*H37)</f>
        <v>0</v>
      </c>
      <c r="R37" s="160">
        <f>-1*EXP(-$C$6*$K37)*_xlfn.NORM.S.DIST($L37,FALSE)/($F37*$C$33*SQRT($K37))</f>
        <v>-0.32734134220326588</v>
      </c>
      <c r="S37" s="68">
        <f>IF($N37 = 0, "N/A", $R37 *$N37)</f>
        <v>67286.649596592324</v>
      </c>
      <c r="T37" s="68">
        <f xml:space="preserve"> _xlfn.NORM.S.DIST($L37, FALSE) / ($F37*$F37 * $C$33 * $C$33 * $K37)</f>
        <v>0.32259215569674671</v>
      </c>
      <c r="U37" s="69">
        <f>T37*N37</f>
        <v>-66310.430564244773</v>
      </c>
    </row>
    <row r="38" spans="2:21" ht="13.5" thickBot="1" x14ac:dyDescent="0.25">
      <c r="B38" s="88">
        <v>0</v>
      </c>
      <c r="C38" s="89" t="s">
        <v>22</v>
      </c>
      <c r="D38" s="139">
        <v>22</v>
      </c>
      <c r="E38" s="90">
        <v>43819</v>
      </c>
      <c r="F38" s="91">
        <v>0.2567532857</v>
      </c>
      <c r="G38" s="126">
        <v>0.7</v>
      </c>
      <c r="H38" s="126">
        <v>0.74</v>
      </c>
      <c r="I38" s="110">
        <f>B38*AVERAGE(H38,G38)</f>
        <v>0</v>
      </c>
      <c r="J38" s="125">
        <f xml:space="preserve"> $C$33 * NORMSDIST(M38) - D38 * EXP(-$C$6*K38) * NORMSDIST(L38)</f>
        <v>0.85029323119298539</v>
      </c>
      <c r="K38" s="89">
        <f>(E38-$C$2)/365</f>
        <v>4.1095890410958902E-2</v>
      </c>
      <c r="L38" s="89">
        <f>(LN($C$33/D38)+($C$6-F38*F38/2)*K38)/(F38*SQRT(K38))</f>
        <v>0.52372171467286666</v>
      </c>
      <c r="M38" s="92">
        <f>L38+F38*SQRT(K38)</f>
        <v>0.57577105232517833</v>
      </c>
      <c r="N38" s="101">
        <v>0</v>
      </c>
      <c r="O38" s="134">
        <f>N38*AVERAGE(G38:H38)</f>
        <v>0</v>
      </c>
      <c r="P38" s="102">
        <f>MIN((B38-N38)*G38,(B38-N38)*H38)</f>
        <v>0</v>
      </c>
      <c r="R38" s="160">
        <f>_xlfn.NORM.DIST(M38,0,1,TRUE)</f>
        <v>0.7176150288529487</v>
      </c>
      <c r="S38" s="68" t="str">
        <f>IF($N38 = 0, "N/A", $R38 *$N38)</f>
        <v>N/A</v>
      </c>
      <c r="T38" s="68">
        <f t="shared" ref="T38:T45" si="8" xml:space="preserve"> _xlfn.NORM.S.DIST($L38, FALSE) / ($F38*$F38 * $C$33 * $C$33 * $K38)</f>
        <v>0.25091945861729664</v>
      </c>
      <c r="U38" s="72">
        <f xml:space="preserve"> T38 * N38</f>
        <v>0</v>
      </c>
    </row>
    <row r="39" spans="2:21" ht="13.5" thickBot="1" x14ac:dyDescent="0.25">
      <c r="B39" s="88">
        <v>0</v>
      </c>
      <c r="C39" s="89" t="s">
        <v>47</v>
      </c>
      <c r="D39" s="163">
        <v>17</v>
      </c>
      <c r="E39" s="90">
        <v>43938</v>
      </c>
      <c r="F39" s="165">
        <v>0.37238343429999998</v>
      </c>
      <c r="G39" s="164">
        <v>0.21</v>
      </c>
      <c r="H39" s="94">
        <v>0.26</v>
      </c>
      <c r="I39" s="110">
        <f t="shared" ref="I39:I42" si="9">B39*AVERAGE(H39,G39)</f>
        <v>0</v>
      </c>
      <c r="J39" s="111">
        <f xml:space="preserve"> $D39*EXP(-$C$6 *$K39) *NORMSDIST(-$L39) - $C$33 *NORMSDIST(-$M39)</f>
        <v>0.20049059137136749</v>
      </c>
      <c r="K39" s="89">
        <f>($E39-$C$2)/365</f>
        <v>0.36712328767123287</v>
      </c>
      <c r="L39" s="89">
        <f t="shared" si="7"/>
        <v>1.1856115223923989</v>
      </c>
      <c r="M39" s="92">
        <f t="shared" ref="M39:M42" si="10">L39+F39*SQRT(K39)</f>
        <v>1.4112412503891698</v>
      </c>
      <c r="N39" s="101">
        <v>0</v>
      </c>
      <c r="O39" s="134">
        <f>N39*AVERAGE(G39:H39)</f>
        <v>0</v>
      </c>
      <c r="P39" s="102">
        <f>MIN((B39-N39)*G39,(B39-N39)*H39)</f>
        <v>0</v>
      </c>
      <c r="R39" s="160">
        <f>_xlfn.NORM.DIST(M38,0,1, TRUE)-1</f>
        <v>-0.2823849711470513</v>
      </c>
      <c r="S39" s="68" t="str">
        <f>IF($N39 = 0, "N/A", $R39 *$N39)</f>
        <v>N/A</v>
      </c>
      <c r="T39" s="68">
        <f t="shared" si="8"/>
        <v>7.5839217975503023E-3</v>
      </c>
      <c r="U39" s="72">
        <f xml:space="preserve"> T39 * N39</f>
        <v>0</v>
      </c>
    </row>
    <row r="40" spans="2:21" ht="13.5" thickBot="1" x14ac:dyDescent="0.25">
      <c r="B40" s="88">
        <v>0</v>
      </c>
      <c r="C40" s="89" t="s">
        <v>22</v>
      </c>
      <c r="D40" s="166">
        <v>32</v>
      </c>
      <c r="E40" s="90">
        <v>43938</v>
      </c>
      <c r="F40" s="165">
        <v>0.36971300000000001</v>
      </c>
      <c r="G40" s="164">
        <v>0.14000000000000001</v>
      </c>
      <c r="H40" s="94">
        <v>0.19</v>
      </c>
      <c r="I40" s="110">
        <f t="shared" si="9"/>
        <v>0</v>
      </c>
      <c r="J40" s="111">
        <f xml:space="preserve"> $C$33 * NORMSDIST($M40) - $D40 * EXP(-$C$6*$K40) * NORMSDIST($L40)</f>
        <v>0.16896491711870332</v>
      </c>
      <c r="K40" s="89">
        <f>($E40-$C$2)/365</f>
        <v>0.36712328767123287</v>
      </c>
      <c r="L40" s="89">
        <f t="shared" si="7"/>
        <v>-1.6278149615019104</v>
      </c>
      <c r="M40" s="92">
        <f t="shared" si="10"/>
        <v>-1.40380326832958</v>
      </c>
      <c r="N40" s="101">
        <v>0</v>
      </c>
      <c r="O40" s="134">
        <f>N40*AVERAGE(G40:H40)</f>
        <v>0</v>
      </c>
      <c r="P40" s="102">
        <f>MIN((B40-N40)*G40,(B40-N40)*H40)</f>
        <v>0</v>
      </c>
      <c r="R40" s="160">
        <f>_xlfn.NORM.DIST(M39,0,1,TRUE)</f>
        <v>0.9209132545795029</v>
      </c>
      <c r="S40" s="68" t="str">
        <f>IF($N40 = 0, "N/A", $R40 *$N40)</f>
        <v>N/A</v>
      </c>
      <c r="T40" s="68">
        <f t="shared" si="8"/>
        <v>4.130386902638907E-3</v>
      </c>
      <c r="U40" s="72">
        <f xml:space="preserve"> T40 * N40</f>
        <v>0</v>
      </c>
    </row>
    <row r="41" spans="2:21" ht="13.5" thickBot="1" x14ac:dyDescent="0.25">
      <c r="B41" s="88">
        <v>0</v>
      </c>
      <c r="C41" s="89" t="s">
        <v>22</v>
      </c>
      <c r="D41" s="163">
        <v>21</v>
      </c>
      <c r="E41" s="90">
        <v>43791</v>
      </c>
      <c r="F41" s="165">
        <v>0.15</v>
      </c>
      <c r="G41" s="164">
        <v>0.97</v>
      </c>
      <c r="H41" s="94">
        <v>1.02</v>
      </c>
      <c r="I41" s="110">
        <f t="shared" si="9"/>
        <v>0</v>
      </c>
      <c r="J41" s="111" t="e">
        <f xml:space="preserve"> $C$33 * NORMSDIST($M41) - $D41 * EXP(-$C$6*$K41) * NORMSDIST($L41)</f>
        <v>#NUM!</v>
      </c>
      <c r="K41" s="89">
        <f>($E41-$C$2)/365</f>
        <v>-3.5616438356164383E-2</v>
      </c>
      <c r="L41" s="89" t="e">
        <f t="shared" si="7"/>
        <v>#NUM!</v>
      </c>
      <c r="M41" s="92" t="e">
        <f t="shared" si="10"/>
        <v>#NUM!</v>
      </c>
      <c r="N41" s="101">
        <v>0</v>
      </c>
      <c r="O41" s="134">
        <f t="shared" ref="O41:O47" si="11">N41*AVERAGE(G41:H41)</f>
        <v>0</v>
      </c>
      <c r="P41" s="102">
        <f t="shared" ref="P41:P47" si="12">MIN((B41-N41)*G41,(B41-N41)*H41)</f>
        <v>0</v>
      </c>
      <c r="R41" s="160">
        <f>_xlfn.NORM.DIST(M40,0,1,TRUE)</f>
        <v>8.0188720235555136E-2</v>
      </c>
      <c r="S41" s="68" t="str">
        <f t="shared" ref="S41:S47" si="13">IF($N41 = 0, "N/A", $R41 *$N41)</f>
        <v>N/A</v>
      </c>
      <c r="T41" s="68"/>
      <c r="U41" s="72">
        <f xml:space="preserve"> T41 * N41</f>
        <v>0</v>
      </c>
    </row>
    <row r="42" spans="2:21" ht="13.5" thickBot="1" x14ac:dyDescent="0.25">
      <c r="B42" s="88">
        <v>0</v>
      </c>
      <c r="C42" s="89" t="s">
        <v>47</v>
      </c>
      <c r="D42" s="163">
        <v>21</v>
      </c>
      <c r="E42" s="90">
        <v>43819</v>
      </c>
      <c r="F42" s="165">
        <v>0.48283589999999998</v>
      </c>
      <c r="G42" s="164">
        <v>4.9000000000000004</v>
      </c>
      <c r="H42" s="94">
        <v>5</v>
      </c>
      <c r="I42" s="111">
        <f t="shared" si="9"/>
        <v>0</v>
      </c>
      <c r="J42" s="111">
        <f xml:space="preserve"> D42*EXP(-$C$6 *$K42) *NORMSDIST(-$L42) - $C$33 *NORMSDIST(-$M42)</f>
        <v>0.27110753997005776</v>
      </c>
      <c r="K42" s="89">
        <f>($E42-$C$2)/365</f>
        <v>4.1095890410958902E-2</v>
      </c>
      <c r="L42" s="89">
        <f t="shared" si="7"/>
        <v>0.71866389506119266</v>
      </c>
      <c r="M42" s="92">
        <f t="shared" si="10"/>
        <v>0.81654497464013953</v>
      </c>
      <c r="N42" s="101">
        <v>0</v>
      </c>
      <c r="O42" s="134">
        <f t="shared" si="11"/>
        <v>0</v>
      </c>
      <c r="P42" s="102">
        <f t="shared" si="12"/>
        <v>0</v>
      </c>
      <c r="R42" s="160">
        <f>_xlfn.NORM.DIST(M42,0,1, TRUE)-1</f>
        <v>-0.20709425582757013</v>
      </c>
      <c r="S42" s="68" t="str">
        <f t="shared" si="13"/>
        <v>N/A</v>
      </c>
      <c r="T42" s="68">
        <f t="shared" si="8"/>
        <v>6.2860182149818006E-2</v>
      </c>
      <c r="U42" s="72">
        <f t="shared" ref="U42:U48" si="14" xml:space="preserve"> T42 * N42</f>
        <v>0</v>
      </c>
    </row>
    <row r="43" spans="2:21" ht="13.5" thickBot="1" x14ac:dyDescent="0.25">
      <c r="B43" s="88">
        <v>60000</v>
      </c>
      <c r="C43" s="89" t="s">
        <v>47</v>
      </c>
      <c r="D43" s="139">
        <v>23</v>
      </c>
      <c r="E43" s="90">
        <v>43847</v>
      </c>
      <c r="F43" s="91">
        <v>0.26219999999999999</v>
      </c>
      <c r="G43" s="126">
        <v>0.98</v>
      </c>
      <c r="H43" s="126">
        <v>1</v>
      </c>
      <c r="I43" s="110">
        <f>B43*AVERAGE(H43,G43)</f>
        <v>59400</v>
      </c>
      <c r="J43" s="111">
        <f t="shared" ref="J43:J44" si="15" xml:space="preserve"> D43*EXP(-$C$6 *$K43) *NORMSDIST(-$L43) - $C$33 *NORMSDIST(-$M43)</f>
        <v>0.9909344902789492</v>
      </c>
      <c r="K43" s="89">
        <f>(E43-$C$2)/365</f>
        <v>0.11780821917808219</v>
      </c>
      <c r="L43" s="89">
        <f>(LN($C$33/D43)+($C$6-F43*F43/2)*K43)/(F43*SQRT(K43))</f>
        <v>-0.20393445468634128</v>
      </c>
      <c r="M43" s="92">
        <f>L43+F43*SQRT(K43)</f>
        <v>-0.113939019185651</v>
      </c>
      <c r="N43" s="101">
        <v>68550</v>
      </c>
      <c r="O43" s="134">
        <f t="shared" si="11"/>
        <v>67864.5</v>
      </c>
      <c r="P43" s="102">
        <f t="shared" si="12"/>
        <v>-8550</v>
      </c>
      <c r="R43" s="160">
        <f>_xlfn.NORM.DIST(M43,0,1, TRUE)-1</f>
        <v>-0.54535693293828547</v>
      </c>
      <c r="S43" s="68">
        <f t="shared" si="13"/>
        <v>-37384.217752919467</v>
      </c>
      <c r="T43" s="68">
        <f t="shared" si="8"/>
        <v>9.4287236137900118E-2</v>
      </c>
      <c r="U43" s="72">
        <f t="shared" si="14"/>
        <v>6463.3900372530534</v>
      </c>
    </row>
    <row r="44" spans="2:21" ht="13.5" thickBot="1" x14ac:dyDescent="0.25">
      <c r="B44" s="88">
        <v>0</v>
      </c>
      <c r="C44" s="89" t="s">
        <v>47</v>
      </c>
      <c r="D44" s="173">
        <v>21</v>
      </c>
      <c r="E44" s="90">
        <v>43847</v>
      </c>
      <c r="F44" s="171">
        <v>0.30671472999999999</v>
      </c>
      <c r="G44" s="93">
        <v>0.41</v>
      </c>
      <c r="H44" s="94">
        <v>0.44</v>
      </c>
      <c r="I44" s="110">
        <f>B44*AVERAGE(H44,G44)</f>
        <v>0</v>
      </c>
      <c r="J44" s="111">
        <f t="shared" si="15"/>
        <v>0.31180356131213038</v>
      </c>
      <c r="K44" s="89">
        <f>(E44-$C$2)/365</f>
        <v>0.11780821917808219</v>
      </c>
      <c r="L44" s="89">
        <f>(LN($C$33/D44)+($C$6-F44*F44/2)*K44)/(F44*SQRT(K44))</f>
        <v>0.67563351736799493</v>
      </c>
      <c r="M44" s="92">
        <f>L44+F44*SQRT(K44)</f>
        <v>0.78090783354200954</v>
      </c>
      <c r="N44" s="101">
        <v>0</v>
      </c>
      <c r="O44" s="172">
        <f t="shared" si="11"/>
        <v>0</v>
      </c>
      <c r="P44" s="102">
        <f t="shared" si="12"/>
        <v>0</v>
      </c>
      <c r="R44" s="160">
        <f>_xlfn.NORM.DIST(M44,0,1, TRUE)-1</f>
        <v>-0.21742835221889401</v>
      </c>
      <c r="S44" s="68" t="str">
        <f t="shared" si="13"/>
        <v>N/A</v>
      </c>
      <c r="T44" s="71">
        <f t="shared" si="8"/>
        <v>5.599593398277667E-2</v>
      </c>
      <c r="U44" s="72">
        <f t="shared" si="14"/>
        <v>0</v>
      </c>
    </row>
    <row r="45" spans="2:21" ht="13.5" thickBot="1" x14ac:dyDescent="0.25">
      <c r="B45" s="88">
        <v>10000</v>
      </c>
      <c r="C45" s="89" t="s">
        <v>22</v>
      </c>
      <c r="D45" s="174">
        <v>23</v>
      </c>
      <c r="E45" s="90">
        <v>43847</v>
      </c>
      <c r="F45" s="165">
        <v>0.25863285000000003</v>
      </c>
      <c r="G45" s="172">
        <v>0.62</v>
      </c>
      <c r="H45" s="94">
        <v>0.69</v>
      </c>
      <c r="I45" s="110">
        <f>B45*AVERAGE(H45,G45)</f>
        <v>6550</v>
      </c>
      <c r="J45" s="111">
        <f xml:space="preserve"> $C$33 * NORMSDIST($M45) - $D45 * EXP(-$C$6*$K45) * NORMSDIST($L45)</f>
        <v>0.6540870093291371</v>
      </c>
      <c r="K45" s="89">
        <f>(E45-$C$2)/365</f>
        <v>0.11780821917808219</v>
      </c>
      <c r="L45" s="89">
        <f>(LN($C$33/D45)+($C$6-F45*F45/2)*K45)/(F45*SQRT(K45))</f>
        <v>-0.20551438279814235</v>
      </c>
      <c r="M45" s="92">
        <f>L45+F45*SQRT(K45)</f>
        <v>-0.11674330739564538</v>
      </c>
      <c r="N45" s="101">
        <v>10000</v>
      </c>
      <c r="O45" s="180">
        <f t="shared" si="11"/>
        <v>6550</v>
      </c>
      <c r="P45" s="102">
        <f t="shared" si="12"/>
        <v>0</v>
      </c>
      <c r="R45" s="160">
        <f>_xlfn.NORM.DIST(M45,0,1,TRUE)</f>
        <v>0.45353173527863849</v>
      </c>
      <c r="S45" s="68">
        <f t="shared" si="13"/>
        <v>4535.3173527863846</v>
      </c>
      <c r="T45" s="71">
        <f t="shared" si="8"/>
        <v>9.6874714698479719E-2</v>
      </c>
      <c r="U45" s="72">
        <f t="shared" si="14"/>
        <v>968.74714698479715</v>
      </c>
    </row>
    <row r="46" spans="2:21" ht="13.5" thickBot="1" x14ac:dyDescent="0.25">
      <c r="B46" s="88">
        <v>-60000</v>
      </c>
      <c r="C46" s="89" t="s">
        <v>47</v>
      </c>
      <c r="D46" s="174">
        <v>20</v>
      </c>
      <c r="E46" s="90">
        <v>43847</v>
      </c>
      <c r="F46" s="175">
        <v>0.31864313799999999</v>
      </c>
      <c r="G46" s="177">
        <v>0.13</v>
      </c>
      <c r="H46" s="176">
        <v>0.16</v>
      </c>
      <c r="I46" s="111">
        <f>B46*AVERAGE(H46,G46)</f>
        <v>-8700.0000000000018</v>
      </c>
      <c r="J46" s="111">
        <f xml:space="preserve"> D46*EXP(-$C$6 *$K46) *NORMSDIST(-$L46) - $C$33 *NORMSDIST(-$M46)</f>
        <v>0.14499352642936714</v>
      </c>
      <c r="K46" s="89">
        <f>(E46-$C$2)/365</f>
        <v>0.11780821917808219</v>
      </c>
      <c r="L46" s="89">
        <f>(LN($C$33/D46)+($C$6-F46*F46/2)*K46)/(F46*SQRT(K46))</f>
        <v>1.0924314933698789</v>
      </c>
      <c r="M46" s="92">
        <f>L46+F46*SQRT(K46)</f>
        <v>1.2018000211105979</v>
      </c>
      <c r="N46" s="101">
        <v>-68550</v>
      </c>
      <c r="O46" s="180">
        <f t="shared" si="11"/>
        <v>-9939.7500000000018</v>
      </c>
      <c r="P46" s="102">
        <f t="shared" si="12"/>
        <v>1111.5</v>
      </c>
      <c r="R46" s="178">
        <f>_xlfn.NORM.DIST(M46,0,1, TRUE)-1</f>
        <v>-0.11472050864668903</v>
      </c>
      <c r="S46" s="68">
        <f t="shared" si="13"/>
        <v>7864.0908677305333</v>
      </c>
      <c r="T46" s="71">
        <f xml:space="preserve"> _xlfn.NORM.S.DIST($L46, FALSE) / ($F46*$F46 * $C$33 * $C$33 * $K46)</f>
        <v>3.5891795886618796E-2</v>
      </c>
      <c r="U46" s="72">
        <f t="shared" si="14"/>
        <v>-2460.3826080277186</v>
      </c>
    </row>
    <row r="47" spans="2:21" ht="13.5" thickBot="1" x14ac:dyDescent="0.25">
      <c r="B47" s="88">
        <v>-10000</v>
      </c>
      <c r="C47" s="89" t="s">
        <v>22</v>
      </c>
      <c r="D47" s="173">
        <v>25</v>
      </c>
      <c r="E47" s="90">
        <v>43847</v>
      </c>
      <c r="F47" s="171">
        <v>0.25438932883400001</v>
      </c>
      <c r="G47" s="93">
        <v>0.11</v>
      </c>
      <c r="H47" s="94">
        <v>0.16</v>
      </c>
      <c r="I47" s="111">
        <f>B47*AVERAGE(H47,G47)</f>
        <v>-1350</v>
      </c>
      <c r="J47" s="111">
        <f xml:space="preserve"> $C$33 * NORMSDIST($M47) - $D47 * EXP(-$C$6*$K47) * NORMSDIST($L47)</f>
        <v>0.13702219282633621</v>
      </c>
      <c r="K47" s="89">
        <f>(E47-$C$2)/365</f>
        <v>0.11780821917808219</v>
      </c>
      <c r="L47" s="89">
        <f>(LN($C$33/D47)+($C$6-F47*F47/2)*K47)/(F47*SQRT(K47))</f>
        <v>-1.1624304434160442</v>
      </c>
      <c r="M47" s="92">
        <f>L47+F47*SQRT(K47)</f>
        <v>-1.0751158803529468</v>
      </c>
      <c r="N47" s="101">
        <v>-10000</v>
      </c>
      <c r="O47" s="180">
        <f t="shared" si="11"/>
        <v>-1350</v>
      </c>
      <c r="P47" s="102">
        <f t="shared" si="12"/>
        <v>0</v>
      </c>
      <c r="R47" s="178">
        <f>_xlfn.NORM.DIST(M47,0,1,TRUE)</f>
        <v>0.14116142523592773</v>
      </c>
      <c r="S47" s="68">
        <f t="shared" si="13"/>
        <v>-1411.6142523592773</v>
      </c>
      <c r="T47" s="71">
        <f xml:space="preserve"> _xlfn.NORM.S.DIST($L47, FALSE) / ($F47*$F47 * $C$33 * $C$33 * $K47)</f>
        <v>5.2039422898453251E-2</v>
      </c>
      <c r="U47" s="72">
        <f t="shared" si="14"/>
        <v>-520.39422898453256</v>
      </c>
    </row>
    <row r="48" spans="2:21" ht="13.5" thickBot="1" x14ac:dyDescent="0.25">
      <c r="B48" s="88"/>
      <c r="C48" s="89"/>
      <c r="D48" s="89"/>
      <c r="E48" s="89"/>
      <c r="F48" s="93"/>
      <c r="G48" s="93"/>
      <c r="H48" s="94"/>
      <c r="I48" s="111"/>
      <c r="J48" s="111"/>
      <c r="K48" s="89"/>
      <c r="L48" s="89"/>
      <c r="M48" s="92"/>
      <c r="N48" s="101"/>
      <c r="O48" s="93"/>
      <c r="P48" s="102"/>
      <c r="R48" s="159"/>
      <c r="S48" s="68"/>
      <c r="T48" s="71"/>
      <c r="U48" s="72">
        <f t="shared" si="14"/>
        <v>0</v>
      </c>
    </row>
    <row r="49" spans="2:21" ht="13.5" thickBot="1" x14ac:dyDescent="0.25">
      <c r="B49" s="88"/>
      <c r="C49" s="89"/>
      <c r="D49" s="89"/>
      <c r="E49" s="89"/>
      <c r="F49" s="93"/>
      <c r="G49" s="93"/>
      <c r="H49" s="94"/>
      <c r="I49" s="111"/>
      <c r="J49" s="111"/>
      <c r="K49" s="89"/>
      <c r="L49" s="89"/>
      <c r="M49" s="92"/>
      <c r="N49" s="101"/>
      <c r="O49" s="93"/>
      <c r="P49" s="102"/>
      <c r="R49" s="159"/>
      <c r="S49" s="68"/>
      <c r="T49" s="71"/>
      <c r="U49" s="72"/>
    </row>
    <row r="50" spans="2:21" ht="13.5" thickBot="1" x14ac:dyDescent="0.25">
      <c r="B50" s="88"/>
      <c r="C50" s="89"/>
      <c r="D50" s="89"/>
      <c r="E50" s="89"/>
      <c r="F50" s="93"/>
      <c r="G50" s="93"/>
      <c r="H50" s="94"/>
      <c r="I50" s="111"/>
      <c r="J50" s="111"/>
      <c r="K50" s="89"/>
      <c r="L50" s="89"/>
      <c r="M50" s="92"/>
      <c r="N50" s="101"/>
      <c r="O50" s="93"/>
      <c r="P50" s="102"/>
      <c r="R50" s="159"/>
      <c r="S50" s="68"/>
      <c r="T50" s="71"/>
      <c r="U50" s="72"/>
    </row>
    <row r="51" spans="2:21" ht="13.5" thickBot="1" x14ac:dyDescent="0.25">
      <c r="B51" s="88"/>
      <c r="C51" s="89"/>
      <c r="D51" s="89"/>
      <c r="E51" s="89"/>
      <c r="F51" s="93"/>
      <c r="G51" s="93"/>
      <c r="H51" s="94"/>
      <c r="I51" s="111"/>
      <c r="J51" s="111"/>
      <c r="K51" s="89"/>
      <c r="L51" s="89"/>
      <c r="M51" s="92"/>
      <c r="N51" s="101"/>
      <c r="O51" s="93"/>
      <c r="P51" s="102"/>
      <c r="R51" s="159"/>
      <c r="S51" s="68"/>
      <c r="T51" s="71"/>
      <c r="U51" s="72"/>
    </row>
    <row r="52" spans="2:21" ht="13.5" thickBot="1" x14ac:dyDescent="0.25">
      <c r="B52" s="88"/>
      <c r="C52" s="89"/>
      <c r="D52" s="89"/>
      <c r="E52" s="89"/>
      <c r="F52" s="93"/>
      <c r="G52" s="93"/>
      <c r="H52" s="94"/>
      <c r="I52" s="111"/>
      <c r="J52" s="111"/>
      <c r="K52" s="89"/>
      <c r="L52" s="89"/>
      <c r="M52" s="92"/>
      <c r="N52" s="101"/>
      <c r="O52" s="93"/>
      <c r="P52" s="102"/>
      <c r="R52" s="159"/>
      <c r="S52" s="68"/>
      <c r="T52" s="71"/>
      <c r="U52" s="72"/>
    </row>
    <row r="53" spans="2:21" ht="13.5" thickBot="1" x14ac:dyDescent="0.25">
      <c r="B53" s="79"/>
      <c r="C53" s="95"/>
      <c r="D53" s="95"/>
      <c r="E53" s="95"/>
      <c r="F53" s="96"/>
      <c r="G53" s="96"/>
      <c r="H53" s="97"/>
      <c r="I53" s="112"/>
      <c r="J53" s="112"/>
      <c r="K53" s="95"/>
      <c r="L53" s="95"/>
      <c r="M53" s="98"/>
      <c r="N53" s="103"/>
      <c r="O53" s="96"/>
      <c r="P53" s="104"/>
      <c r="R53" s="159"/>
      <c r="S53" s="68"/>
      <c r="T53" s="80"/>
      <c r="U53" s="8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DE534-460B-4719-88E6-12B6D7EB9038}">
  <sheetPr codeName="Sheet11"/>
  <dimension ref="B1:U53"/>
  <sheetViews>
    <sheetView topLeftCell="G1" workbookViewId="0">
      <selection activeCell="L6" sqref="L6"/>
    </sheetView>
  </sheetViews>
  <sheetFormatPr defaultRowHeight="12.75" x14ac:dyDescent="0.2"/>
  <cols>
    <col min="2" max="2" width="17.42578125" customWidth="1"/>
    <col min="3" max="3" width="14.7109375" customWidth="1"/>
    <col min="4" max="4" width="13.85546875" customWidth="1"/>
    <col min="5" max="5" width="14.42578125" customWidth="1"/>
    <col min="9" max="9" width="22.5703125" customWidth="1"/>
    <col min="10" max="10" width="11.5703125" customWidth="1"/>
    <col min="14" max="14" width="17" customWidth="1"/>
    <col min="15" max="15" width="15.28515625" customWidth="1"/>
    <col min="16" max="16" width="19.5703125" customWidth="1"/>
  </cols>
  <sheetData>
    <row r="1" spans="2:21" ht="13.5" thickBot="1" x14ac:dyDescent="0.25"/>
    <row r="2" spans="2:21" x14ac:dyDescent="0.2">
      <c r="B2" s="5" t="s">
        <v>1</v>
      </c>
      <c r="C2" s="11">
        <f>C4 +7</f>
        <v>43811</v>
      </c>
      <c r="D2" s="1"/>
      <c r="E2" s="27" t="s">
        <v>30</v>
      </c>
      <c r="F2" t="s">
        <v>32</v>
      </c>
    </row>
    <row r="3" spans="2:21" ht="13.5" thickBot="1" x14ac:dyDescent="0.25">
      <c r="B3" s="6"/>
      <c r="C3" s="12"/>
      <c r="E3" s="29" t="s">
        <v>31</v>
      </c>
      <c r="F3" t="s">
        <v>33</v>
      </c>
    </row>
    <row r="4" spans="2:21" ht="13.5" thickBot="1" x14ac:dyDescent="0.25">
      <c r="B4" s="7" t="s">
        <v>19</v>
      </c>
      <c r="C4" s="11">
        <v>43804</v>
      </c>
    </row>
    <row r="5" spans="2:21" x14ac:dyDescent="0.2">
      <c r="C5" s="2"/>
    </row>
    <row r="6" spans="2:21" x14ac:dyDescent="0.2">
      <c r="B6" t="s">
        <v>13</v>
      </c>
      <c r="C6" s="2">
        <v>0.02</v>
      </c>
    </row>
    <row r="9" spans="2:21" ht="20.25" x14ac:dyDescent="0.3">
      <c r="B9" s="48" t="s">
        <v>20</v>
      </c>
      <c r="N9" s="48" t="s">
        <v>23</v>
      </c>
      <c r="O9" s="48"/>
    </row>
    <row r="10" spans="2:21" ht="13.5" thickBot="1" x14ac:dyDescent="0.25"/>
    <row r="11" spans="2:21" ht="18" x14ac:dyDescent="0.25">
      <c r="B11" s="43" t="s">
        <v>11</v>
      </c>
      <c r="C11" s="44" t="s">
        <v>10</v>
      </c>
      <c r="D11" s="45" t="s">
        <v>12</v>
      </c>
      <c r="I11" s="119" t="s">
        <v>2</v>
      </c>
      <c r="J11" s="121"/>
      <c r="N11" s="137" t="s">
        <v>4</v>
      </c>
    </row>
    <row r="12" spans="2:21" ht="18.75" thickBot="1" x14ac:dyDescent="0.3">
      <c r="B12" s="153">
        <v>-815703.33846610237</v>
      </c>
      <c r="C12" s="9">
        <f>(C2-C4)/365</f>
        <v>1.9178082191780823E-2</v>
      </c>
      <c r="D12" s="10">
        <f>B12*EXP($C$6*C12)</f>
        <v>-816016.27099010674</v>
      </c>
      <c r="G12" s="3"/>
      <c r="I12" s="120">
        <f>D12+D16+SUM(I20:I29)+D33+SUM(I37:I46)</f>
        <v>-698321.52099010674</v>
      </c>
      <c r="J12" s="122"/>
      <c r="N12" s="136">
        <f>D12+P16+SUM(P20:P29)+P33+SUM(P37:P53)</f>
        <v>-702055.02099010674</v>
      </c>
    </row>
    <row r="13" spans="2:21" ht="13.5" thickBot="1" x14ac:dyDescent="0.25">
      <c r="G13" s="148"/>
    </row>
    <row r="14" spans="2:21" x14ac:dyDescent="0.2">
      <c r="B14" s="21" t="s">
        <v>38</v>
      </c>
      <c r="C14" s="15"/>
      <c r="D14" s="16"/>
      <c r="G14" s="140"/>
      <c r="N14" s="49" t="s">
        <v>38</v>
      </c>
      <c r="O14" s="127"/>
      <c r="P14" s="54"/>
      <c r="R14" s="21" t="s">
        <v>38</v>
      </c>
      <c r="S14" s="15"/>
      <c r="T14" s="15"/>
      <c r="U14" s="16"/>
    </row>
    <row r="15" spans="2:21" x14ac:dyDescent="0.2">
      <c r="B15" s="40" t="s">
        <v>7</v>
      </c>
      <c r="C15" s="41" t="s">
        <v>5</v>
      </c>
      <c r="D15" s="42" t="s">
        <v>6</v>
      </c>
      <c r="N15" s="22" t="s">
        <v>7</v>
      </c>
      <c r="O15" s="23" t="s">
        <v>6</v>
      </c>
      <c r="P15" s="55" t="s">
        <v>46</v>
      </c>
      <c r="R15" s="17" t="s">
        <v>41</v>
      </c>
      <c r="S15" s="18"/>
      <c r="T15" s="18"/>
      <c r="U15" s="19" t="s">
        <v>28</v>
      </c>
    </row>
    <row r="16" spans="2:21" ht="13.5" thickBot="1" x14ac:dyDescent="0.25">
      <c r="B16" s="26">
        <v>75</v>
      </c>
      <c r="C16" s="146">
        <v>1011.37</v>
      </c>
      <c r="D16" s="25">
        <f>B16*C16</f>
        <v>75852.75</v>
      </c>
      <c r="N16" s="64">
        <v>0</v>
      </c>
      <c r="O16" s="129">
        <f>N16*C16</f>
        <v>0</v>
      </c>
      <c r="P16" s="56">
        <f>(B16-N16)*C16</f>
        <v>75852.75</v>
      </c>
      <c r="R16" s="20">
        <f>N16+SUM(S20:S29)</f>
        <v>0</v>
      </c>
      <c r="S16" s="30"/>
      <c r="T16" s="30"/>
      <c r="U16" s="31">
        <f>SUM(U20:U29)</f>
        <v>8.0755690877202136E-4</v>
      </c>
    </row>
    <row r="17" spans="2:21" ht="13.5" thickBot="1" x14ac:dyDescent="0.25">
      <c r="P17" s="28"/>
    </row>
    <row r="18" spans="2:21" x14ac:dyDescent="0.2">
      <c r="B18" s="65" t="s">
        <v>39</v>
      </c>
      <c r="C18" s="32"/>
      <c r="D18" s="32"/>
      <c r="E18" s="32"/>
      <c r="F18" s="32"/>
      <c r="G18" s="32" t="s">
        <v>44</v>
      </c>
      <c r="H18" s="32" t="s">
        <v>45</v>
      </c>
      <c r="I18" s="52"/>
      <c r="J18" s="32" t="s">
        <v>42</v>
      </c>
      <c r="K18" s="32" t="s">
        <v>34</v>
      </c>
      <c r="L18" s="32"/>
      <c r="M18" s="33"/>
      <c r="N18" s="49" t="s">
        <v>39</v>
      </c>
      <c r="O18" s="127"/>
      <c r="P18" s="54"/>
      <c r="R18" s="14"/>
      <c r="S18" s="15"/>
      <c r="T18" s="15"/>
      <c r="U18" s="16"/>
    </row>
    <row r="19" spans="2:21" ht="13.5" thickBot="1" x14ac:dyDescent="0.25">
      <c r="B19" s="24" t="s">
        <v>7</v>
      </c>
      <c r="C19" s="34" t="s">
        <v>21</v>
      </c>
      <c r="D19" s="34" t="s">
        <v>8</v>
      </c>
      <c r="E19" s="34" t="s">
        <v>9</v>
      </c>
      <c r="F19" s="34" t="s">
        <v>18</v>
      </c>
      <c r="G19" s="53" t="s">
        <v>16</v>
      </c>
      <c r="H19" s="53" t="s">
        <v>16</v>
      </c>
      <c r="I19" s="34" t="s">
        <v>6</v>
      </c>
      <c r="J19" s="34" t="s">
        <v>43</v>
      </c>
      <c r="K19" s="34" t="s">
        <v>35</v>
      </c>
      <c r="L19" s="34" t="s">
        <v>14</v>
      </c>
      <c r="M19" s="35" t="s">
        <v>15</v>
      </c>
      <c r="N19" s="24" t="s">
        <v>7</v>
      </c>
      <c r="O19" s="34" t="s">
        <v>6</v>
      </c>
      <c r="P19" s="57" t="s">
        <v>46</v>
      </c>
      <c r="R19" s="20" t="s">
        <v>24</v>
      </c>
      <c r="S19" s="30" t="s">
        <v>25</v>
      </c>
      <c r="T19" s="30" t="s">
        <v>26</v>
      </c>
      <c r="U19" s="31" t="s">
        <v>27</v>
      </c>
    </row>
    <row r="20" spans="2:21" x14ac:dyDescent="0.2">
      <c r="B20" s="46">
        <v>-20000</v>
      </c>
      <c r="C20" s="145" t="s">
        <v>48</v>
      </c>
      <c r="D20" s="36">
        <v>1010</v>
      </c>
      <c r="E20" s="37">
        <v>43810</v>
      </c>
      <c r="F20" s="144">
        <v>0.08</v>
      </c>
      <c r="G20" s="66">
        <v>0.38469999999999999</v>
      </c>
      <c r="H20" s="66">
        <v>0.38469999999999999</v>
      </c>
      <c r="I20" s="106">
        <f t="shared" ref="I20:I25" si="0">B20*AVERAGE(H20,G20)</f>
        <v>-7694</v>
      </c>
      <c r="J20" s="106">
        <v>0</v>
      </c>
      <c r="K20" s="32">
        <f t="shared" ref="K20:K25" si="1">($E20-$C$2)/365</f>
        <v>-2.7397260273972603E-3</v>
      </c>
      <c r="L20" s="32"/>
      <c r="M20" s="32"/>
      <c r="N20" s="62">
        <v>0</v>
      </c>
      <c r="O20" s="131">
        <f t="shared" ref="O20:O25" si="2">N20*AVERAGE(G20:H20)</f>
        <v>0</v>
      </c>
      <c r="P20" s="58">
        <f>MIN((B20-N20)*G20,(B20-N20)*H20)</f>
        <v>-7694</v>
      </c>
      <c r="R20" s="141">
        <v>0.248</v>
      </c>
      <c r="S20" s="15">
        <f>R20*N20</f>
        <v>0</v>
      </c>
      <c r="T20">
        <v>5.5110000000000003E-3</v>
      </c>
      <c r="U20" s="143">
        <f>T20*N20</f>
        <v>0</v>
      </c>
    </row>
    <row r="21" spans="2:21" x14ac:dyDescent="0.2">
      <c r="B21" s="47">
        <v>1500</v>
      </c>
      <c r="C21" s="23" t="s">
        <v>47</v>
      </c>
      <c r="D21" s="38">
        <v>1000</v>
      </c>
      <c r="E21" s="39">
        <v>43819</v>
      </c>
      <c r="F21" s="147">
        <v>9.6831234939899993E-2</v>
      </c>
      <c r="G21" s="124">
        <v>1.4</v>
      </c>
      <c r="H21" s="124">
        <v>1.75</v>
      </c>
      <c r="I21" s="107">
        <f t="shared" si="0"/>
        <v>2362.5</v>
      </c>
      <c r="J21" s="123">
        <f>-$C$16*NORMSDIST(-M21)+D21*EXP(-$C$6*K21)*NORMSDIST(-L21)</f>
        <v>1.6746255156271843</v>
      </c>
      <c r="K21" s="23">
        <f t="shared" si="1"/>
        <v>2.1917808219178082E-2</v>
      </c>
      <c r="L21" s="23">
        <f>(LN($C$16/D21)+($C$6-F21*F21/2)*K21)/(F21*SQRT(K21))</f>
        <v>0.81206919025124413</v>
      </c>
      <c r="M21" s="23">
        <f>L21+F21*SQRT(K21)</f>
        <v>0.8264047294286363</v>
      </c>
      <c r="N21" s="63">
        <v>0</v>
      </c>
      <c r="O21" s="132">
        <f t="shared" si="2"/>
        <v>0</v>
      </c>
      <c r="P21" s="59">
        <f>MIN((B21-N21)*G21,(B21-N21)*H21)</f>
        <v>2100</v>
      </c>
      <c r="R21" s="161">
        <f xml:space="preserve"> _xlfn.NORM.DIST(M21,0,1,TRUE) - 1</f>
        <v>-0.20428727074685182</v>
      </c>
      <c r="S21" s="162">
        <f>N21 * R21</f>
        <v>0</v>
      </c>
      <c r="T21" s="18">
        <f t="shared" ref="T21:T22" si="3" xml:space="preserve"> _xlfn.NORM.S.DIST($L21, FALSE) / ($F21*$F21 * $C$16 * $C$16 * $K21)</f>
        <v>1.3647802731091136E-3</v>
      </c>
      <c r="U21" s="19">
        <f xml:space="preserve"> T21 *R21</f>
        <v>-2.7880723716260385E-4</v>
      </c>
    </row>
    <row r="22" spans="2:21" x14ac:dyDescent="0.2">
      <c r="B22" s="47">
        <v>0</v>
      </c>
      <c r="C22" s="155" t="s">
        <v>47</v>
      </c>
      <c r="D22" s="23">
        <v>955</v>
      </c>
      <c r="E22" s="39">
        <v>43910</v>
      </c>
      <c r="F22" s="157">
        <v>0.18469583270000001</v>
      </c>
      <c r="G22" s="156">
        <v>6.7</v>
      </c>
      <c r="H22" s="50">
        <v>23.5</v>
      </c>
      <c r="I22" s="107">
        <f t="shared" si="0"/>
        <v>0</v>
      </c>
      <c r="J22" s="123">
        <f>-$C$16*NORMSDIST(-M22)+D22*EXP(-$C$6*K22)*NORMSDIST(-L22)</f>
        <v>14.575390160636204</v>
      </c>
      <c r="K22" s="23">
        <f t="shared" si="1"/>
        <v>0.27123287671232876</v>
      </c>
      <c r="L22" s="23">
        <f>(LN($C$16/D22)+($C$6-F22*F22/2)*K22)/(F22*SQRT(K22))</f>
        <v>0.60451651381770599</v>
      </c>
      <c r="M22" s="23">
        <f>L22+F22*SQRT(K22)</f>
        <v>0.70070614546153265</v>
      </c>
      <c r="N22" s="63">
        <v>0</v>
      </c>
      <c r="O22" s="132">
        <f t="shared" si="2"/>
        <v>0</v>
      </c>
      <c r="P22" s="59">
        <f t="shared" ref="P22:P25" si="4">MIN((B22-N22)*G22,(B22-N22)*H22)</f>
        <v>0</v>
      </c>
      <c r="R22" s="161">
        <f>_xlfn.NORM.DIST(M22,0,1,TRUE) - 1</f>
        <v>-0.24174321003048016</v>
      </c>
      <c r="S22" s="162">
        <f>N22 * R22</f>
        <v>0</v>
      </c>
      <c r="T22" s="18">
        <f t="shared" si="3"/>
        <v>3.5113900471255165E-5</v>
      </c>
      <c r="U22" s="19">
        <f t="shared" ref="U22:U29" si="5" xml:space="preserve"> T22 *R22</f>
        <v>-8.4885470166120139E-6</v>
      </c>
    </row>
    <row r="23" spans="2:21" x14ac:dyDescent="0.2">
      <c r="B23" s="47">
        <v>0</v>
      </c>
      <c r="C23" s="23" t="s">
        <v>22</v>
      </c>
      <c r="D23" s="23">
        <v>1000</v>
      </c>
      <c r="E23" s="39">
        <v>43847</v>
      </c>
      <c r="F23" s="167">
        <v>0.02</v>
      </c>
      <c r="G23" s="156">
        <v>9.9</v>
      </c>
      <c r="H23" s="50">
        <v>10.6</v>
      </c>
      <c r="I23" s="107">
        <f t="shared" si="0"/>
        <v>0</v>
      </c>
      <c r="J23" s="123">
        <f xml:space="preserve"> $C$16 *NORMSDIST($M23) - D23*EXP(-$C$6*$K23)*NORMSDIST($L23)</f>
        <v>13.379921010546582</v>
      </c>
      <c r="K23" s="23">
        <f t="shared" si="1"/>
        <v>9.8630136986301367E-2</v>
      </c>
      <c r="L23" s="23">
        <f>(LN($C$16/D23)+($C$6-F23*F23/2)*K23)/(F23*SQRT(K23))</f>
        <v>2.1108963991822387</v>
      </c>
      <c r="M23" s="23">
        <f>L23+F23*SQRT(K23)</f>
        <v>2.1171774862533215</v>
      </c>
      <c r="N23" s="63">
        <v>0</v>
      </c>
      <c r="O23" s="132">
        <f t="shared" si="2"/>
        <v>0</v>
      </c>
      <c r="P23" s="59">
        <f t="shared" si="4"/>
        <v>0</v>
      </c>
      <c r="R23" s="161">
        <f>_xlfn.NORM.DIST(M23,0,1,TRUE)</f>
        <v>0.98287760630825849</v>
      </c>
      <c r="S23" s="162">
        <f t="shared" ref="S23:S29" si="6">N23 * R23</f>
        <v>0</v>
      </c>
      <c r="T23" s="18">
        <f xml:space="preserve"> _xlfn.NORM.S.DIST($L23, FALSE) / ($F23*$F23 * $C$16 * $C$16 * $K23)</f>
        <v>1.0652154881845264E-3</v>
      </c>
      <c r="U23" s="19">
        <f t="shared" si="5"/>
        <v>1.0469764492292903E-3</v>
      </c>
    </row>
    <row r="24" spans="2:21" x14ac:dyDescent="0.2">
      <c r="B24" s="47">
        <v>0</v>
      </c>
      <c r="C24" s="23" t="s">
        <v>22</v>
      </c>
      <c r="D24" s="23">
        <v>1025</v>
      </c>
      <c r="E24" s="39">
        <v>43847</v>
      </c>
      <c r="F24" s="157">
        <v>0.190120045050922</v>
      </c>
      <c r="G24" s="60">
        <v>0</v>
      </c>
      <c r="H24" s="50">
        <v>58.15</v>
      </c>
      <c r="I24" s="107">
        <f t="shared" si="0"/>
        <v>0</v>
      </c>
      <c r="J24" s="123">
        <f xml:space="preserve"> $C$16 *NORMSDIST($M24) - D24*EXP(-$C$6*$K24)*NORMSDIST($L24)</f>
        <v>18.861707053677208</v>
      </c>
      <c r="K24" s="23">
        <f t="shared" si="1"/>
        <v>9.8630136986301367E-2</v>
      </c>
      <c r="L24" s="23">
        <f>(LN($C$16/D24)+($C$6-F24*F24/2)*K24)/(F24*SQRT(K24))</f>
        <v>-0.22102030920060661</v>
      </c>
      <c r="M24" s="23">
        <f>L24+F24*SQRT(K24)</f>
        <v>-0.16131228135445758</v>
      </c>
      <c r="N24" s="63">
        <v>0</v>
      </c>
      <c r="O24" s="132">
        <f t="shared" si="2"/>
        <v>0</v>
      </c>
      <c r="P24" s="59">
        <f t="shared" si="4"/>
        <v>0</v>
      </c>
      <c r="R24" s="161">
        <f>_xlfn.NORM.DIST(M24,0,1,TRUE)</f>
        <v>0.43592372540799718</v>
      </c>
      <c r="S24" s="162">
        <f t="shared" si="6"/>
        <v>0</v>
      </c>
      <c r="T24" s="18">
        <f xml:space="preserve"> _xlfn.NORM.S.DIST($L24, FALSE) / ($F24*$F24 * $C$16 * $C$16 * $K24)</f>
        <v>1.0676203429484883E-4</v>
      </c>
      <c r="U24" s="19">
        <f t="shared" si="5"/>
        <v>4.6540103721946855E-5</v>
      </c>
    </row>
    <row r="25" spans="2:21" x14ac:dyDescent="0.2">
      <c r="B25" s="47">
        <v>0</v>
      </c>
      <c r="C25" s="23" t="s">
        <v>48</v>
      </c>
      <c r="D25" s="23">
        <v>975</v>
      </c>
      <c r="E25" s="39">
        <v>44176</v>
      </c>
      <c r="F25" s="170">
        <v>0.08</v>
      </c>
      <c r="G25" s="60">
        <v>36.409999999999997</v>
      </c>
      <c r="H25" s="50">
        <v>36.409999999999997</v>
      </c>
      <c r="I25" s="107">
        <f t="shared" si="0"/>
        <v>0</v>
      </c>
      <c r="J25" s="123">
        <f xml:space="preserve"> $C$16 *NORMSDIST($M25) - D25*EXP(-$C$6*$K25)*NORMSDIST($L25)</f>
        <v>66.761260051164413</v>
      </c>
      <c r="K25" s="23">
        <f t="shared" si="1"/>
        <v>1</v>
      </c>
      <c r="L25" s="23">
        <f>(LN($C$16/D25)+($C$6-F25*F25/2)*K25)/(F25*SQRT(K25))</f>
        <v>0.66779569191574206</v>
      </c>
      <c r="M25" s="23">
        <f>L25+F25*SQRT(K25)</f>
        <v>0.74779569191574202</v>
      </c>
      <c r="N25" s="63">
        <v>0</v>
      </c>
      <c r="O25" s="60">
        <f t="shared" si="2"/>
        <v>0</v>
      </c>
      <c r="P25" s="59">
        <f t="shared" si="4"/>
        <v>0</v>
      </c>
      <c r="R25" s="17">
        <v>0.57099999999999995</v>
      </c>
      <c r="S25" s="162">
        <f t="shared" si="6"/>
        <v>0</v>
      </c>
      <c r="T25">
        <v>2.34E-6</v>
      </c>
      <c r="U25" s="19">
        <f t="shared" si="5"/>
        <v>1.3361399999999998E-6</v>
      </c>
    </row>
    <row r="26" spans="2:21" x14ac:dyDescent="0.2">
      <c r="B26" s="47"/>
      <c r="C26" s="23"/>
      <c r="D26" s="23"/>
      <c r="E26" s="39"/>
      <c r="F26" s="157"/>
      <c r="G26" s="60"/>
      <c r="H26" s="50"/>
      <c r="I26" s="108"/>
      <c r="J26" s="108"/>
      <c r="K26" s="23"/>
      <c r="L26" s="23"/>
      <c r="M26" s="23"/>
      <c r="N26" s="63"/>
      <c r="O26" s="60"/>
      <c r="P26" s="59"/>
      <c r="R26" s="17"/>
      <c r="S26" s="162"/>
      <c r="T26" s="18"/>
      <c r="U26" s="19"/>
    </row>
    <row r="27" spans="2:21" x14ac:dyDescent="0.2">
      <c r="B27" s="47"/>
      <c r="C27" s="23"/>
      <c r="D27" s="23"/>
      <c r="E27" s="23"/>
      <c r="F27" s="60"/>
      <c r="G27" s="60"/>
      <c r="H27" s="50"/>
      <c r="I27" s="108"/>
      <c r="J27" s="108"/>
      <c r="K27" s="23"/>
      <c r="L27" s="23"/>
      <c r="M27" s="23"/>
      <c r="N27" s="63"/>
      <c r="O27" s="60"/>
      <c r="P27" s="59"/>
      <c r="R27" s="17"/>
      <c r="S27" s="162">
        <f t="shared" si="6"/>
        <v>0</v>
      </c>
      <c r="T27" s="18"/>
      <c r="U27" s="19">
        <f t="shared" si="5"/>
        <v>0</v>
      </c>
    </row>
    <row r="28" spans="2:21" x14ac:dyDescent="0.2">
      <c r="B28" s="47"/>
      <c r="C28" s="23"/>
      <c r="D28" s="23"/>
      <c r="E28" s="23"/>
      <c r="F28" s="60"/>
      <c r="G28" s="60"/>
      <c r="H28" s="50"/>
      <c r="I28" s="108"/>
      <c r="J28" s="108"/>
      <c r="K28" s="23"/>
      <c r="L28" s="23"/>
      <c r="M28" s="23"/>
      <c r="N28" s="63"/>
      <c r="O28" s="60"/>
      <c r="P28" s="59"/>
      <c r="R28" s="17"/>
      <c r="S28" s="162">
        <f t="shared" si="6"/>
        <v>0</v>
      </c>
      <c r="T28" s="18"/>
      <c r="U28" s="19">
        <f t="shared" si="5"/>
        <v>0</v>
      </c>
    </row>
    <row r="29" spans="2:21" ht="13.5" thickBot="1" x14ac:dyDescent="0.25">
      <c r="B29" s="26"/>
      <c r="C29" s="34"/>
      <c r="D29" s="34"/>
      <c r="E29" s="34"/>
      <c r="F29" s="61"/>
      <c r="G29" s="61"/>
      <c r="H29" s="51"/>
      <c r="I29" s="109"/>
      <c r="J29" s="109"/>
      <c r="K29" s="34"/>
      <c r="L29" s="34"/>
      <c r="M29" s="34"/>
      <c r="N29" s="64"/>
      <c r="O29" s="61"/>
      <c r="P29" s="56"/>
      <c r="R29" s="20"/>
      <c r="S29" s="162">
        <f t="shared" si="6"/>
        <v>0</v>
      </c>
      <c r="T29" s="30"/>
      <c r="U29" s="19">
        <f t="shared" si="5"/>
        <v>0</v>
      </c>
    </row>
    <row r="30" spans="2:21" ht="13.5" thickBot="1" x14ac:dyDescent="0.25">
      <c r="H30" s="3"/>
    </row>
    <row r="31" spans="2:21" x14ac:dyDescent="0.2">
      <c r="B31" s="74" t="s">
        <v>59</v>
      </c>
      <c r="C31" s="68"/>
      <c r="D31" s="69"/>
      <c r="H31" s="3"/>
      <c r="N31" s="113" t="s">
        <v>59</v>
      </c>
      <c r="O31" s="128"/>
      <c r="P31" s="69"/>
      <c r="R31" s="74" t="s">
        <v>59</v>
      </c>
      <c r="S31" s="68"/>
      <c r="T31" s="68"/>
      <c r="U31" s="69"/>
    </row>
    <row r="32" spans="2:21" x14ac:dyDescent="0.2">
      <c r="B32" s="75" t="s">
        <v>7</v>
      </c>
      <c r="C32" s="76" t="s">
        <v>5</v>
      </c>
      <c r="D32" s="77" t="s">
        <v>6</v>
      </c>
      <c r="H32" s="150"/>
      <c r="N32" s="114" t="s">
        <v>7</v>
      </c>
      <c r="O32" s="89" t="s">
        <v>6</v>
      </c>
      <c r="P32" s="115" t="s">
        <v>46</v>
      </c>
      <c r="R32" s="70" t="s">
        <v>40</v>
      </c>
      <c r="S32" s="71"/>
      <c r="T32" s="71"/>
      <c r="U32" s="72" t="s">
        <v>28</v>
      </c>
    </row>
    <row r="33" spans="2:21" ht="13.5" thickBot="1" x14ac:dyDescent="0.25">
      <c r="B33" s="79">
        <v>0</v>
      </c>
      <c r="C33" s="154">
        <v>23.12</v>
      </c>
      <c r="D33" s="78">
        <f>B33*C33</f>
        <v>0</v>
      </c>
      <c r="F33" s="148">
        <f>AVERAGE(2.43, 2.84)</f>
        <v>2.6349999999999998</v>
      </c>
      <c r="H33" s="152" t="e">
        <f>H32/J37</f>
        <v>#DIV/0!</v>
      </c>
      <c r="I33" s="140"/>
      <c r="N33" s="103">
        <v>0</v>
      </c>
      <c r="O33" s="135">
        <f>N33*C33</f>
        <v>0</v>
      </c>
      <c r="P33" s="104">
        <f>(B33-N33)*C33</f>
        <v>0</v>
      </c>
      <c r="R33" s="73">
        <f>SUM(S37:S53)</f>
        <v>0</v>
      </c>
      <c r="S33" s="80"/>
      <c r="T33" s="80"/>
      <c r="U33" s="81">
        <f>SUM(U37:U53)</f>
        <v>0</v>
      </c>
    </row>
    <row r="34" spans="2:21" ht="13.5" thickBot="1" x14ac:dyDescent="0.25">
      <c r="H34" s="3"/>
    </row>
    <row r="35" spans="2:21" x14ac:dyDescent="0.2">
      <c r="B35" s="67" t="s">
        <v>17</v>
      </c>
      <c r="C35" s="68"/>
      <c r="D35" s="68"/>
      <c r="E35" s="68"/>
      <c r="F35" s="68"/>
      <c r="G35" s="84" t="s">
        <v>44</v>
      </c>
      <c r="H35" s="130" t="s">
        <v>45</v>
      </c>
      <c r="I35" s="68"/>
      <c r="J35" s="84" t="s">
        <v>42</v>
      </c>
      <c r="K35" s="68" t="s">
        <v>34</v>
      </c>
      <c r="L35" s="68"/>
      <c r="M35" s="69"/>
      <c r="N35" s="67" t="s">
        <v>17</v>
      </c>
      <c r="O35" s="68"/>
      <c r="P35" s="69"/>
      <c r="R35" s="67"/>
      <c r="S35" s="68"/>
      <c r="T35" s="68"/>
      <c r="U35" s="69"/>
    </row>
    <row r="36" spans="2:21" ht="13.5" thickBot="1" x14ac:dyDescent="0.25">
      <c r="B36" s="73" t="s">
        <v>7</v>
      </c>
      <c r="C36" s="80" t="s">
        <v>21</v>
      </c>
      <c r="D36" s="80" t="s">
        <v>8</v>
      </c>
      <c r="E36" s="80" t="s">
        <v>9</v>
      </c>
      <c r="F36" s="80" t="s">
        <v>18</v>
      </c>
      <c r="G36" s="82" t="s">
        <v>16</v>
      </c>
      <c r="H36" s="82" t="s">
        <v>16</v>
      </c>
      <c r="I36" s="95" t="s">
        <v>6</v>
      </c>
      <c r="J36" s="95" t="s">
        <v>43</v>
      </c>
      <c r="K36" s="80" t="s">
        <v>35</v>
      </c>
      <c r="L36" s="80" t="s">
        <v>14</v>
      </c>
      <c r="M36" s="81" t="s">
        <v>15</v>
      </c>
      <c r="N36" s="73" t="s">
        <v>7</v>
      </c>
      <c r="O36" s="95" t="s">
        <v>6</v>
      </c>
      <c r="P36" s="116" t="s">
        <v>46</v>
      </c>
      <c r="R36" s="73" t="s">
        <v>24</v>
      </c>
      <c r="S36" s="80" t="s">
        <v>25</v>
      </c>
      <c r="T36" s="80" t="s">
        <v>26</v>
      </c>
      <c r="U36" s="81" t="s">
        <v>27</v>
      </c>
    </row>
    <row r="37" spans="2:21" ht="13.5" thickBot="1" x14ac:dyDescent="0.25">
      <c r="B37" s="83">
        <v>-205555</v>
      </c>
      <c r="C37" s="84" t="s">
        <v>29</v>
      </c>
      <c r="D37" s="138">
        <v>22</v>
      </c>
      <c r="E37" s="85">
        <v>43810</v>
      </c>
      <c r="F37" s="86">
        <v>0.35</v>
      </c>
      <c r="G37" s="105">
        <v>0</v>
      </c>
      <c r="H37" s="105">
        <v>0</v>
      </c>
      <c r="I37" s="110">
        <v>0</v>
      </c>
      <c r="J37" s="125">
        <v>0</v>
      </c>
      <c r="K37" s="84">
        <f>(E37-$C$2)/365</f>
        <v>-2.7397260273972603E-3</v>
      </c>
      <c r="L37" s="84" t="e">
        <f t="shared" ref="L37:L42" si="7">(LN($C$33/D37)+($C$6-F37*F37/2)*K37)/(F37*SQRT(K37))</f>
        <v>#NUM!</v>
      </c>
      <c r="M37" s="87" t="e">
        <f>L37+F37*SQRT(K37)</f>
        <v>#NUM!</v>
      </c>
      <c r="N37" s="99">
        <v>0</v>
      </c>
      <c r="O37" s="133">
        <f>N37*AVERAGE(G37:H37)</f>
        <v>0</v>
      </c>
      <c r="P37" s="100">
        <f>MIN((B37-N37)*G37,(B37-N37)*H37)</f>
        <v>0</v>
      </c>
      <c r="R37" s="160">
        <v>0</v>
      </c>
      <c r="S37" s="68" t="str">
        <f>IF($N37 = 0, "N/A", $R37 *$N37)</f>
        <v>N/A</v>
      </c>
      <c r="T37" s="68">
        <v>0</v>
      </c>
      <c r="U37" s="69">
        <v>0</v>
      </c>
    </row>
    <row r="38" spans="2:21" ht="13.5" thickBot="1" x14ac:dyDescent="0.25">
      <c r="B38" s="88">
        <v>0</v>
      </c>
      <c r="C38" s="89" t="s">
        <v>22</v>
      </c>
      <c r="D38" s="139">
        <v>22</v>
      </c>
      <c r="E38" s="90">
        <v>43819</v>
      </c>
      <c r="F38" s="91">
        <v>0.2567532857</v>
      </c>
      <c r="G38" s="126">
        <v>0.7</v>
      </c>
      <c r="H38" s="126">
        <v>0.74</v>
      </c>
      <c r="I38" s="110">
        <f>B38*AVERAGE(H38,G38)</f>
        <v>0</v>
      </c>
      <c r="J38" s="125">
        <f xml:space="preserve"> $C$33 * NORMSDIST(M38) - D38 * EXP(-$C$6*K38) * NORMSDIST(L38)</f>
        <v>1.1671995354715037</v>
      </c>
      <c r="K38" s="89">
        <f>(E38-$C$2)/365</f>
        <v>2.1917808219178082E-2</v>
      </c>
      <c r="L38" s="89">
        <f>(LN($C$33/D38)+($C$6-F38*F38/2)*K38)/(F38*SQRT(K38))</f>
        <v>1.2988585201484857</v>
      </c>
      <c r="M38" s="92">
        <f>L38+F38*SQRT(K38)</f>
        <v>1.3368699819289844</v>
      </c>
      <c r="N38" s="101">
        <v>0</v>
      </c>
      <c r="O38" s="134">
        <f>N38*AVERAGE(G38:H38)</f>
        <v>0</v>
      </c>
      <c r="P38" s="102">
        <f>MIN((B38-N38)*G38,(B38-N38)*H38)</f>
        <v>0</v>
      </c>
      <c r="R38" s="160">
        <f>_xlfn.NORM.DIST(M38,0,1,TRUE)</f>
        <v>0.90936745960404708</v>
      </c>
      <c r="S38" s="68" t="str">
        <f>IF($N38 = 0, "N/A", $R38 *$N38)</f>
        <v>N/A</v>
      </c>
      <c r="T38" s="68">
        <f t="shared" ref="T38:T45" si="8" xml:space="preserve"> _xlfn.NORM.S.DIST($L38, FALSE) / ($F38*$F38 * $C$33 * $C$33 * $K38)</f>
        <v>0.22221358375640166</v>
      </c>
      <c r="U38" s="72">
        <f xml:space="preserve"> T38 * N38</f>
        <v>0</v>
      </c>
    </row>
    <row r="39" spans="2:21" ht="13.5" thickBot="1" x14ac:dyDescent="0.25">
      <c r="B39" s="88">
        <v>0</v>
      </c>
      <c r="C39" s="89" t="s">
        <v>47</v>
      </c>
      <c r="D39" s="163">
        <v>17</v>
      </c>
      <c r="E39" s="90">
        <v>43938</v>
      </c>
      <c r="F39" s="165">
        <v>0.37238343429999998</v>
      </c>
      <c r="G39" s="164">
        <v>0.21</v>
      </c>
      <c r="H39" s="94">
        <v>0.26</v>
      </c>
      <c r="I39" s="110">
        <f t="shared" ref="I39:I42" si="9">B39*AVERAGE(H39,G39)</f>
        <v>0</v>
      </c>
      <c r="J39" s="111">
        <f xml:space="preserve"> $D39*EXP(-$C$6 *$K39) *NORMSDIST(-$L39) - $C$33 *NORMSDIST(-$M39)</f>
        <v>0.14776207718044621</v>
      </c>
      <c r="K39" s="89">
        <f>($E39-$C$2)/365</f>
        <v>0.34794520547945207</v>
      </c>
      <c r="L39" s="89">
        <f t="shared" si="7"/>
        <v>1.3216898773219159</v>
      </c>
      <c r="M39" s="92">
        <f t="shared" ref="M39:M42" si="10">L39+F39*SQRT(K39)</f>
        <v>1.5413472481988997</v>
      </c>
      <c r="N39" s="101">
        <v>0</v>
      </c>
      <c r="O39" s="134">
        <f>N39*AVERAGE(G39:H39)</f>
        <v>0</v>
      </c>
      <c r="P39" s="102">
        <f>MIN((B39-N39)*G39,(B39-N39)*H39)</f>
        <v>0</v>
      </c>
      <c r="R39" s="160">
        <f>_xlfn.NORM.DIST(M38,0,1, TRUE)-1</f>
        <v>-9.0632540395952921E-2</v>
      </c>
      <c r="S39" s="68" t="str">
        <f>IF($N39 = 0, "N/A", $R39 *$N39)</f>
        <v>N/A</v>
      </c>
      <c r="T39" s="68">
        <f t="shared" si="8"/>
        <v>6.4582688096804005E-3</v>
      </c>
      <c r="U39" s="72">
        <f xml:space="preserve"> T39 * N39</f>
        <v>0</v>
      </c>
    </row>
    <row r="40" spans="2:21" ht="13.5" thickBot="1" x14ac:dyDescent="0.25">
      <c r="B40" s="88">
        <v>0</v>
      </c>
      <c r="C40" s="89" t="s">
        <v>22</v>
      </c>
      <c r="D40" s="166">
        <v>32</v>
      </c>
      <c r="E40" s="90">
        <v>43938</v>
      </c>
      <c r="F40" s="165">
        <v>0.36971300000000001</v>
      </c>
      <c r="G40" s="164">
        <v>0.14000000000000001</v>
      </c>
      <c r="H40" s="94">
        <v>0.19</v>
      </c>
      <c r="I40" s="110">
        <f t="shared" si="9"/>
        <v>0</v>
      </c>
      <c r="J40" s="111">
        <f xml:space="preserve"> $C$33 * NORMSDIST($M40) - $D40 * EXP(-$C$6*$K40) * NORMSDIST($L40)</f>
        <v>0.18948006668347372</v>
      </c>
      <c r="K40" s="89">
        <f>($E40-$C$2)/365</f>
        <v>0.34794520547945207</v>
      </c>
      <c r="L40" s="89">
        <f t="shared" si="7"/>
        <v>-1.5675691326855394</v>
      </c>
      <c r="M40" s="92">
        <f t="shared" si="10"/>
        <v>-1.3494869676942318</v>
      </c>
      <c r="N40" s="101">
        <v>0</v>
      </c>
      <c r="O40" s="134">
        <f>N40*AVERAGE(G40:H40)</f>
        <v>0</v>
      </c>
      <c r="P40" s="102">
        <f>MIN((B40-N40)*G40,(B40-N40)*H40)</f>
        <v>0</v>
      </c>
      <c r="R40" s="160">
        <f>_xlfn.NORM.DIST(M39,0,1,TRUE)</f>
        <v>0.93838385231134358</v>
      </c>
      <c r="S40" s="68" t="str">
        <f>IF($N40 = 0, "N/A", $R40 *$N40)</f>
        <v>N/A</v>
      </c>
      <c r="T40" s="68">
        <f t="shared" si="8"/>
        <v>4.5930805026678078E-3</v>
      </c>
      <c r="U40" s="72">
        <f xml:space="preserve"> T40 * N40</f>
        <v>0</v>
      </c>
    </row>
    <row r="41" spans="2:21" ht="13.5" thickBot="1" x14ac:dyDescent="0.25">
      <c r="B41" s="88">
        <v>0</v>
      </c>
      <c r="C41" s="89" t="s">
        <v>22</v>
      </c>
      <c r="D41" s="163">
        <v>21</v>
      </c>
      <c r="E41" s="90">
        <v>43791</v>
      </c>
      <c r="F41" s="165">
        <v>0.15</v>
      </c>
      <c r="G41" s="164">
        <v>0.97</v>
      </c>
      <c r="H41" s="94">
        <v>1.02</v>
      </c>
      <c r="I41" s="110">
        <f t="shared" si="9"/>
        <v>0</v>
      </c>
      <c r="J41" s="111" t="e">
        <f xml:space="preserve"> $C$33 * NORMSDIST($M41) - $D41 * EXP(-$C$6*$K41) * NORMSDIST($L41)</f>
        <v>#NUM!</v>
      </c>
      <c r="K41" s="89">
        <f>($E41-$C$2)/365</f>
        <v>-5.4794520547945202E-2</v>
      </c>
      <c r="L41" s="89" t="e">
        <f t="shared" si="7"/>
        <v>#NUM!</v>
      </c>
      <c r="M41" s="92" t="e">
        <f t="shared" si="10"/>
        <v>#NUM!</v>
      </c>
      <c r="N41" s="101">
        <v>0</v>
      </c>
      <c r="O41" s="134">
        <f t="shared" ref="O41:O47" si="11">N41*AVERAGE(G41:H41)</f>
        <v>0</v>
      </c>
      <c r="P41" s="102">
        <f t="shared" ref="P41:P47" si="12">MIN((B41-N41)*G41,(B41-N41)*H41)</f>
        <v>0</v>
      </c>
      <c r="R41" s="160">
        <f>_xlfn.NORM.DIST(M40,0,1,TRUE)</f>
        <v>8.8590301762537405E-2</v>
      </c>
      <c r="S41" s="68" t="str">
        <f t="shared" ref="S41:S47" si="13">IF($N41 = 0, "N/A", $R41 *$N41)</f>
        <v>N/A</v>
      </c>
      <c r="T41" s="68"/>
      <c r="U41" s="72">
        <f xml:space="preserve"> T41 * N41</f>
        <v>0</v>
      </c>
    </row>
    <row r="42" spans="2:21" ht="13.5" thickBot="1" x14ac:dyDescent="0.25">
      <c r="B42" s="88">
        <v>0</v>
      </c>
      <c r="C42" s="89" t="s">
        <v>47</v>
      </c>
      <c r="D42" s="163">
        <v>21</v>
      </c>
      <c r="E42" s="90">
        <v>43819</v>
      </c>
      <c r="F42" s="165">
        <v>0.48283589999999998</v>
      </c>
      <c r="G42" s="164">
        <v>4.9000000000000004</v>
      </c>
      <c r="H42" s="94">
        <v>5</v>
      </c>
      <c r="I42" s="111">
        <f t="shared" si="9"/>
        <v>0</v>
      </c>
      <c r="J42" s="111">
        <f xml:space="preserve"> D42*EXP(-$C$6 *$K42) *NORMSDIST(-$L42) - $C$33 *NORMSDIST(-$M42)</f>
        <v>6.4154042576604287E-2</v>
      </c>
      <c r="K42" s="89">
        <f>($E42-$C$2)/365</f>
        <v>2.1917808219178082E-2</v>
      </c>
      <c r="L42" s="89">
        <f t="shared" si="7"/>
        <v>1.3158389515402753</v>
      </c>
      <c r="M42" s="92">
        <f t="shared" si="10"/>
        <v>1.3873211851914053</v>
      </c>
      <c r="N42" s="101">
        <v>0</v>
      </c>
      <c r="O42" s="134">
        <f t="shared" si="11"/>
        <v>0</v>
      </c>
      <c r="P42" s="102">
        <f t="shared" si="12"/>
        <v>0</v>
      </c>
      <c r="R42" s="160">
        <f>_xlfn.NORM.DIST(M42,0,1, TRUE)-1</f>
        <v>-8.2671922961136235E-2</v>
      </c>
      <c r="S42" s="68" t="str">
        <f t="shared" si="13"/>
        <v>N/A</v>
      </c>
      <c r="T42" s="68">
        <f t="shared" si="8"/>
        <v>6.1455741547022054E-2</v>
      </c>
      <c r="U42" s="72">
        <f t="shared" ref="U42:U48" si="14" xml:space="preserve"> T42 * N42</f>
        <v>0</v>
      </c>
    </row>
    <row r="43" spans="2:21" ht="13.5" thickBot="1" x14ac:dyDescent="0.25">
      <c r="B43" s="88">
        <v>68550</v>
      </c>
      <c r="C43" s="89" t="s">
        <v>47</v>
      </c>
      <c r="D43" s="139">
        <v>23</v>
      </c>
      <c r="E43" s="90">
        <v>43847</v>
      </c>
      <c r="F43" s="91">
        <v>0.24934872999999999</v>
      </c>
      <c r="G43" s="126">
        <v>0.63</v>
      </c>
      <c r="H43" s="126">
        <v>0.65</v>
      </c>
      <c r="I43" s="110">
        <f>B43*AVERAGE(H43,G43)</f>
        <v>43872</v>
      </c>
      <c r="J43" s="111">
        <f t="shared" ref="J43:J44" si="15" xml:space="preserve"> D43*EXP(-$C$6 *$K43) *NORMSDIST(-$L43) - $C$33 *NORMSDIST(-$M43)</f>
        <v>0.6398759742707405</v>
      </c>
      <c r="K43" s="89">
        <f>(E43-$C$2)/365</f>
        <v>9.8630136986301367E-2</v>
      </c>
      <c r="L43" s="89">
        <f>(LN($C$33/D43)+($C$6-F43*F43/2)*K43)/(F43*SQRT(K43))</f>
        <v>5.2487884965874192E-2</v>
      </c>
      <c r="M43" s="92">
        <f>L43+F43*SQRT(K43)</f>
        <v>0.13079693917556703</v>
      </c>
      <c r="N43" s="101">
        <v>0</v>
      </c>
      <c r="O43" s="134">
        <f t="shared" si="11"/>
        <v>0</v>
      </c>
      <c r="P43" s="102">
        <f t="shared" si="12"/>
        <v>43186.5</v>
      </c>
      <c r="R43" s="160">
        <f>_xlfn.NORM.DIST(M43,0,1, TRUE)-1</f>
        <v>-0.44796797218976359</v>
      </c>
      <c r="S43" s="68" t="str">
        <f t="shared" si="13"/>
        <v>N/A</v>
      </c>
      <c r="T43" s="68">
        <f t="shared" si="8"/>
        <v>0.12153803569186294</v>
      </c>
      <c r="U43" s="72">
        <f t="shared" si="14"/>
        <v>0</v>
      </c>
    </row>
    <row r="44" spans="2:21" ht="13.5" thickBot="1" x14ac:dyDescent="0.25">
      <c r="B44" s="88">
        <v>0</v>
      </c>
      <c r="C44" s="89" t="s">
        <v>47</v>
      </c>
      <c r="D44" s="173">
        <v>21</v>
      </c>
      <c r="E44" s="90">
        <v>43847</v>
      </c>
      <c r="F44" s="171">
        <v>0.30671472999999999</v>
      </c>
      <c r="G44" s="93">
        <v>0.41</v>
      </c>
      <c r="H44" s="94">
        <v>0.44</v>
      </c>
      <c r="I44" s="110">
        <f>B44*AVERAGE(H44,G44)</f>
        <v>0</v>
      </c>
      <c r="J44" s="111">
        <f t="shared" si="15"/>
        <v>0.1702588852483693</v>
      </c>
      <c r="K44" s="89">
        <f>(E44-$C$2)/365</f>
        <v>9.8630136986301367E-2</v>
      </c>
      <c r="L44" s="89">
        <f>(LN($C$33/D44)+($C$6-F44*F44/2)*K44)/(F44*SQRT(K44))</f>
        <v>0.97076411414054375</v>
      </c>
      <c r="M44" s="92">
        <f>L44+F44*SQRT(K44)</f>
        <v>1.0670892103962226</v>
      </c>
      <c r="N44" s="101">
        <v>0</v>
      </c>
      <c r="O44" s="172">
        <f t="shared" si="11"/>
        <v>0</v>
      </c>
      <c r="P44" s="102">
        <f t="shared" si="12"/>
        <v>0</v>
      </c>
      <c r="R44" s="160">
        <f>_xlfn.NORM.DIST(M44,0,1, TRUE)-1</f>
        <v>-0.14296577678097655</v>
      </c>
      <c r="S44" s="68" t="str">
        <f t="shared" si="13"/>
        <v>N/A</v>
      </c>
      <c r="T44" s="71">
        <f t="shared" si="8"/>
        <v>5.0213401533979178E-2</v>
      </c>
      <c r="U44" s="72">
        <f t="shared" si="14"/>
        <v>0</v>
      </c>
    </row>
    <row r="45" spans="2:21" ht="13.5" thickBot="1" x14ac:dyDescent="0.25">
      <c r="B45" s="88">
        <v>10000</v>
      </c>
      <c r="C45" s="89" t="s">
        <v>22</v>
      </c>
      <c r="D45" s="174">
        <v>23</v>
      </c>
      <c r="E45" s="90">
        <v>43847</v>
      </c>
      <c r="F45" s="165">
        <v>0.25102943779999998</v>
      </c>
      <c r="G45" s="172">
        <v>0.77</v>
      </c>
      <c r="H45" s="94">
        <v>0.85</v>
      </c>
      <c r="I45" s="110">
        <f>B45*AVERAGE(H45,G45)</f>
        <v>8100.0000000000009</v>
      </c>
      <c r="J45" s="111">
        <f xml:space="preserve"> $C$33 * NORMSDIST($M45) - $D45 * EXP(-$C$6*$K45) * NORMSDIST($L45)</f>
        <v>0.81002825917560806</v>
      </c>
      <c r="K45" s="89">
        <f>(E45-$C$2)/365</f>
        <v>9.8630136986301367E-2</v>
      </c>
      <c r="L45" s="89">
        <f>(LN($C$33/D45)+($C$6-F45*F45/2)*K45)/(F45*SQRT(K45))</f>
        <v>5.1610398226292327E-2</v>
      </c>
      <c r="M45" s="92">
        <f>L45+F45*SQRT(K45)</f>
        <v>0.13044728603762756</v>
      </c>
      <c r="N45" s="101">
        <v>0</v>
      </c>
      <c r="O45" s="180">
        <f t="shared" si="11"/>
        <v>0</v>
      </c>
      <c r="P45" s="102">
        <f t="shared" si="12"/>
        <v>7700</v>
      </c>
      <c r="R45" s="160">
        <f>_xlfn.NORM.DIST(M45,0,1,TRUE)</f>
        <v>0.55189372133991421</v>
      </c>
      <c r="S45" s="68" t="str">
        <f t="shared" si="13"/>
        <v>N/A</v>
      </c>
      <c r="T45" s="71">
        <f t="shared" si="8"/>
        <v>0.11992150287202848</v>
      </c>
      <c r="U45" s="72">
        <f t="shared" si="14"/>
        <v>0</v>
      </c>
    </row>
    <row r="46" spans="2:21" ht="13.5" thickBot="1" x14ac:dyDescent="0.25">
      <c r="B46" s="88">
        <v>-68550</v>
      </c>
      <c r="C46" s="89" t="s">
        <v>47</v>
      </c>
      <c r="D46" s="174">
        <v>20</v>
      </c>
      <c r="E46" s="90">
        <v>43847</v>
      </c>
      <c r="F46" s="175">
        <v>0.32146431380000001</v>
      </c>
      <c r="G46" s="177">
        <v>0.06</v>
      </c>
      <c r="H46" s="176">
        <v>0.08</v>
      </c>
      <c r="I46" s="111">
        <f>B46*AVERAGE(H46,G46)</f>
        <v>-4798.5000000000009</v>
      </c>
      <c r="J46" s="111">
        <f xml:space="preserve"> D46*EXP(-$C$6 *$K46) *NORMSDIST(-$L46) - $C$33 *NORMSDIST(-$M46)</f>
        <v>7.0235966183109788E-2</v>
      </c>
      <c r="K46" s="89">
        <f>(E46-$C$2)/365</f>
        <v>9.8630136986301367E-2</v>
      </c>
      <c r="L46" s="89">
        <f>(LN($C$33/D46)+($C$6-F46*F46/2)*K46)/(F46*SQRT(K46))</f>
        <v>1.4049725386934044</v>
      </c>
      <c r="M46" s="92">
        <f>L46+F46*SQRT(K46)</f>
        <v>1.5059298059545849</v>
      </c>
      <c r="N46" s="101">
        <v>0</v>
      </c>
      <c r="O46" s="180">
        <f t="shared" si="11"/>
        <v>0</v>
      </c>
      <c r="P46" s="102">
        <f t="shared" si="12"/>
        <v>-5484</v>
      </c>
      <c r="R46" s="178">
        <f>_xlfn.NORM.DIST(M46,0,1, TRUE)-1</f>
        <v>-6.6042597056698349E-2</v>
      </c>
      <c r="S46" s="68" t="str">
        <f t="shared" si="13"/>
        <v>N/A</v>
      </c>
      <c r="T46" s="71">
        <f xml:space="preserve"> _xlfn.NORM.S.DIST($L46, FALSE) / ($F46*$F46 * $C$33 * $C$33 * $K46)</f>
        <v>2.7291154456868374E-2</v>
      </c>
      <c r="U46" s="72">
        <f t="shared" si="14"/>
        <v>0</v>
      </c>
    </row>
    <row r="47" spans="2:21" ht="13.5" thickBot="1" x14ac:dyDescent="0.25">
      <c r="B47" s="88">
        <v>-10000</v>
      </c>
      <c r="C47" s="89" t="s">
        <v>22</v>
      </c>
      <c r="D47" s="173">
        <v>25</v>
      </c>
      <c r="E47" s="90">
        <v>43847</v>
      </c>
      <c r="F47" s="171">
        <v>0.23485619999999999</v>
      </c>
      <c r="G47" s="177">
        <v>0.1</v>
      </c>
      <c r="H47" s="94">
        <v>0.17</v>
      </c>
      <c r="I47" s="111">
        <f>B47*AVERAGE(H47,G47)</f>
        <v>-1350</v>
      </c>
      <c r="J47" s="111">
        <f xml:space="preserve"> $C$33 * NORMSDIST($M47) - $D47 * EXP(-$C$6*$K47) * NORMSDIST($L47)</f>
        <v>0.13844014746178335</v>
      </c>
      <c r="K47" s="89">
        <f>(E47-$C$2)/365</f>
        <v>9.8630136986301367E-2</v>
      </c>
      <c r="L47" s="89">
        <f>(LN($C$33/D47)+($C$6-F47*F47/2)*K47)/(F47*SQRT(K47))</f>
        <v>-1.0700627200260466</v>
      </c>
      <c r="M47" s="92">
        <f>L47+F47*SQRT(K47)</f>
        <v>-0.99630510795686755</v>
      </c>
      <c r="N47" s="101">
        <v>0</v>
      </c>
      <c r="O47" s="180">
        <f t="shared" si="11"/>
        <v>0</v>
      </c>
      <c r="P47" s="102">
        <f t="shared" si="12"/>
        <v>-1700.0000000000002</v>
      </c>
      <c r="R47" s="178">
        <f>_xlfn.NORM.DIST(M47,0,1,TRUE)</f>
        <v>0.15955096135204747</v>
      </c>
      <c r="S47" s="68" t="str">
        <f t="shared" si="13"/>
        <v>N/A</v>
      </c>
      <c r="T47" s="71">
        <f xml:space="preserve"> _xlfn.NORM.S.DIST($L47, FALSE) / ($F47*$F47 * $C$33 * $C$33 * $K47)</f>
        <v>7.7389080741826086E-2</v>
      </c>
      <c r="U47" s="72">
        <f t="shared" si="14"/>
        <v>0</v>
      </c>
    </row>
    <row r="48" spans="2:21" ht="13.5" thickBot="1" x14ac:dyDescent="0.25">
      <c r="B48" s="88"/>
      <c r="C48" s="89"/>
      <c r="D48" s="89"/>
      <c r="E48" s="89"/>
      <c r="F48" s="93"/>
      <c r="G48" s="93"/>
      <c r="H48" s="94"/>
      <c r="I48" s="111"/>
      <c r="J48" s="111"/>
      <c r="K48" s="89"/>
      <c r="L48" s="89"/>
      <c r="M48" s="92"/>
      <c r="N48" s="101"/>
      <c r="O48" s="93"/>
      <c r="P48" s="102"/>
      <c r="R48" s="159"/>
      <c r="S48" s="68"/>
      <c r="T48" s="71"/>
      <c r="U48" s="72">
        <f t="shared" si="14"/>
        <v>0</v>
      </c>
    </row>
    <row r="49" spans="2:21" ht="13.5" thickBot="1" x14ac:dyDescent="0.25">
      <c r="B49" s="88"/>
      <c r="C49" s="89"/>
      <c r="D49" s="89"/>
      <c r="E49" s="89"/>
      <c r="F49" s="93"/>
      <c r="G49" s="93"/>
      <c r="H49" s="94"/>
      <c r="I49" s="111"/>
      <c r="J49" s="111"/>
      <c r="K49" s="89"/>
      <c r="L49" s="89"/>
      <c r="M49" s="92"/>
      <c r="N49" s="101"/>
      <c r="O49" s="93"/>
      <c r="P49" s="102"/>
      <c r="R49" s="159"/>
      <c r="S49" s="68"/>
      <c r="T49" s="71"/>
      <c r="U49" s="72"/>
    </row>
    <row r="50" spans="2:21" ht="13.5" thickBot="1" x14ac:dyDescent="0.25">
      <c r="B50" s="88"/>
      <c r="C50" s="89"/>
      <c r="D50" s="89"/>
      <c r="E50" s="89"/>
      <c r="F50" s="93"/>
      <c r="G50" s="93"/>
      <c r="H50" s="94"/>
      <c r="I50" s="111"/>
      <c r="J50" s="111"/>
      <c r="K50" s="89"/>
      <c r="L50" s="89"/>
      <c r="M50" s="92"/>
      <c r="N50" s="101"/>
      <c r="O50" s="93"/>
      <c r="P50" s="102"/>
      <c r="R50" s="159"/>
      <c r="S50" s="68"/>
      <c r="T50" s="71"/>
      <c r="U50" s="72"/>
    </row>
    <row r="51" spans="2:21" ht="13.5" thickBot="1" x14ac:dyDescent="0.25">
      <c r="B51" s="88"/>
      <c r="C51" s="89"/>
      <c r="D51" s="89"/>
      <c r="E51" s="89"/>
      <c r="F51" s="93"/>
      <c r="G51" s="93"/>
      <c r="H51" s="94"/>
      <c r="I51" s="111"/>
      <c r="J51" s="111"/>
      <c r="K51" s="89"/>
      <c r="L51" s="89"/>
      <c r="M51" s="92"/>
      <c r="N51" s="101"/>
      <c r="O51" s="93"/>
      <c r="P51" s="102"/>
      <c r="R51" s="159"/>
      <c r="S51" s="68"/>
      <c r="T51" s="71"/>
      <c r="U51" s="72"/>
    </row>
    <row r="52" spans="2:21" ht="13.5" thickBot="1" x14ac:dyDescent="0.25">
      <c r="B52" s="88"/>
      <c r="C52" s="89"/>
      <c r="D52" s="89"/>
      <c r="E52" s="89"/>
      <c r="F52" s="93"/>
      <c r="G52" s="93"/>
      <c r="H52" s="94"/>
      <c r="I52" s="111"/>
      <c r="J52" s="111"/>
      <c r="K52" s="89"/>
      <c r="L52" s="89"/>
      <c r="M52" s="92"/>
      <c r="N52" s="101"/>
      <c r="O52" s="93"/>
      <c r="P52" s="102"/>
      <c r="R52" s="159"/>
      <c r="S52" s="68"/>
      <c r="T52" s="71"/>
      <c r="U52" s="72"/>
    </row>
    <row r="53" spans="2:21" ht="13.5" thickBot="1" x14ac:dyDescent="0.25">
      <c r="B53" s="79"/>
      <c r="C53" s="95"/>
      <c r="D53" s="95"/>
      <c r="E53" s="95"/>
      <c r="F53" s="96"/>
      <c r="G53" s="96"/>
      <c r="H53" s="97"/>
      <c r="I53" s="112"/>
      <c r="J53" s="112"/>
      <c r="K53" s="95"/>
      <c r="L53" s="95"/>
      <c r="M53" s="98"/>
      <c r="N53" s="103"/>
      <c r="O53" s="96"/>
      <c r="P53" s="104"/>
      <c r="R53" s="159"/>
      <c r="S53" s="68"/>
      <c r="T53" s="80"/>
      <c r="U53" s="8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Summary</vt:lpstr>
      <vt:lpstr>#1 Oct 23</vt:lpstr>
      <vt:lpstr>#2 Oct 31</vt:lpstr>
      <vt:lpstr>#3 Nov 7</vt:lpstr>
      <vt:lpstr>#4 Nov 14</vt:lpstr>
      <vt:lpstr>#5 Nov 21</vt:lpstr>
      <vt:lpstr>#6 Nov 28</vt:lpstr>
      <vt:lpstr>#7 Dec 5</vt:lpstr>
      <vt:lpstr>#8 Dec 12</vt:lpstr>
      <vt:lpstr>Sheet1</vt:lpstr>
      <vt:lpstr>Journal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Lozinski</dc:creator>
  <cp:lastModifiedBy>Jesse Lee</cp:lastModifiedBy>
  <dcterms:created xsi:type="dcterms:W3CDTF">2007-10-13T20:07:17Z</dcterms:created>
  <dcterms:modified xsi:type="dcterms:W3CDTF">2019-12-16T20:34:04Z</dcterms:modified>
</cp:coreProperties>
</file>