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Unidades compartidas\UC3M-ICCMU David de la Fuente\"/>
    </mc:Choice>
  </mc:AlternateContent>
  <bookViews>
    <workbookView xWindow="0" yWindow="0" windowWidth="23040" windowHeight="9210" tabRatio="500"/>
  </bookViews>
  <sheets>
    <sheet name="Tempi" sheetId="1" r:id="rId1"/>
  </sheets>
  <definedNames>
    <definedName name="_xlnm._FilterDatabase" localSheetId="0" hidden="1">Tempi!$A$1:$E$1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2" i="1" l="1"/>
  <c r="D134" i="1"/>
  <c r="D114" i="1"/>
  <c r="D93" i="1"/>
  <c r="D83" i="1"/>
  <c r="D42" i="1"/>
  <c r="D175" i="1"/>
  <c r="D163" i="1"/>
  <c r="D148" i="1"/>
  <c r="D125" i="1"/>
  <c r="D124" i="1"/>
  <c r="D182" i="1"/>
  <c r="D137" i="1"/>
  <c r="D49" i="1"/>
  <c r="E4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" i="1"/>
  <c r="D263" i="1"/>
  <c r="D261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2" i="1"/>
  <c r="D241" i="1"/>
  <c r="D238" i="1"/>
  <c r="D237" i="1"/>
  <c r="D236" i="1"/>
  <c r="D235" i="1"/>
  <c r="D234" i="1"/>
  <c r="D232" i="1"/>
  <c r="D230" i="1"/>
  <c r="D228" i="1"/>
  <c r="D227" i="1"/>
  <c r="D226" i="1"/>
  <c r="D225" i="1"/>
  <c r="D224" i="1"/>
  <c r="D221" i="1"/>
  <c r="D220" i="1"/>
  <c r="D219" i="1"/>
  <c r="D218" i="1"/>
  <c r="D217" i="1"/>
  <c r="D216" i="1"/>
  <c r="D214" i="1"/>
  <c r="D215" i="1"/>
  <c r="D212" i="1"/>
  <c r="D211" i="1"/>
  <c r="D209" i="1"/>
  <c r="D210" i="1"/>
  <c r="D208" i="1"/>
  <c r="D207" i="1"/>
  <c r="D206" i="1"/>
  <c r="D205" i="1"/>
  <c r="D199" i="1"/>
  <c r="D196" i="1"/>
  <c r="D204" i="1"/>
  <c r="D203" i="1"/>
  <c r="D202" i="1"/>
  <c r="D201" i="1"/>
  <c r="D200" i="1"/>
  <c r="D198" i="1"/>
  <c r="D197" i="1"/>
  <c r="D195" i="1"/>
  <c r="D194" i="1"/>
  <c r="D193" i="1"/>
  <c r="D192" i="1"/>
  <c r="D191" i="1"/>
  <c r="D183" i="1"/>
  <c r="D185" i="1"/>
  <c r="D189" i="1"/>
  <c r="D188" i="1"/>
  <c r="D187" i="1"/>
  <c r="D186" i="1"/>
  <c r="D184" i="1"/>
  <c r="D181" i="1"/>
  <c r="D180" i="1"/>
  <c r="D179" i="1"/>
  <c r="D178" i="1"/>
  <c r="D177" i="1"/>
  <c r="D176" i="1"/>
  <c r="D170" i="1"/>
  <c r="D171" i="1"/>
  <c r="D174" i="1"/>
  <c r="D173" i="1"/>
  <c r="D169" i="1"/>
  <c r="D168" i="1"/>
  <c r="D167" i="1"/>
  <c r="D166" i="1"/>
  <c r="D165" i="1"/>
  <c r="D162" i="1"/>
  <c r="D161" i="1"/>
  <c r="D160" i="1"/>
  <c r="D159" i="1"/>
  <c r="D157" i="1"/>
  <c r="D153" i="1"/>
  <c r="D146" i="1"/>
  <c r="D145" i="1"/>
  <c r="D143" i="1"/>
  <c r="D142" i="1"/>
  <c r="D140" i="1"/>
  <c r="D139" i="1"/>
  <c r="D138" i="1"/>
  <c r="D136" i="1"/>
  <c r="D135" i="1"/>
  <c r="D133" i="1"/>
  <c r="D132" i="1"/>
  <c r="D131" i="1"/>
  <c r="D129" i="1"/>
  <c r="D128" i="1"/>
  <c r="D127" i="1"/>
  <c r="D126" i="1"/>
  <c r="D123" i="1"/>
  <c r="D122" i="1"/>
  <c r="D121" i="1"/>
  <c r="D120" i="1"/>
  <c r="D119" i="1"/>
  <c r="D118" i="1"/>
  <c r="D117" i="1"/>
  <c r="D116" i="1"/>
  <c r="D115" i="1"/>
  <c r="D37" i="1"/>
  <c r="D22" i="1"/>
  <c r="D113" i="1"/>
  <c r="D112" i="1"/>
  <c r="D111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6" i="1"/>
  <c r="D95" i="1"/>
  <c r="D94" i="1"/>
  <c r="D92" i="1"/>
  <c r="D91" i="1"/>
  <c r="D90" i="1"/>
  <c r="D89" i="1"/>
  <c r="D87" i="1"/>
  <c r="D86" i="1"/>
  <c r="D85" i="1"/>
  <c r="D84" i="1"/>
  <c r="D78" i="1"/>
  <c r="D82" i="1"/>
  <c r="D81" i="1"/>
  <c r="D80" i="1"/>
  <c r="D79" i="1"/>
  <c r="D73" i="1"/>
  <c r="D77" i="1"/>
  <c r="D75" i="1"/>
  <c r="D70" i="1"/>
  <c r="D67" i="1"/>
  <c r="D58" i="1"/>
  <c r="D57" i="1"/>
  <c r="D51" i="1"/>
  <c r="D31" i="1"/>
  <c r="D26" i="1"/>
  <c r="D25" i="1"/>
  <c r="D24" i="1"/>
  <c r="D21" i="1"/>
  <c r="D20" i="1"/>
  <c r="D19" i="1"/>
  <c r="D16" i="1"/>
  <c r="D15" i="1"/>
  <c r="D76" i="1"/>
  <c r="D74" i="1"/>
  <c r="D71" i="1"/>
  <c r="D69" i="1"/>
  <c r="D68" i="1"/>
  <c r="D28" i="1"/>
  <c r="D66" i="1"/>
  <c r="D65" i="1"/>
  <c r="D64" i="1"/>
  <c r="D63" i="1"/>
  <c r="D62" i="1"/>
  <c r="D61" i="1"/>
  <c r="D60" i="1"/>
  <c r="D59" i="1"/>
  <c r="D56" i="1"/>
  <c r="D55" i="1"/>
  <c r="D54" i="1"/>
  <c r="D53" i="1"/>
  <c r="D52" i="1"/>
  <c r="D50" i="1"/>
  <c r="D47" i="1"/>
  <c r="D46" i="1"/>
  <c r="D45" i="1"/>
  <c r="D44" i="1"/>
  <c r="D43" i="1"/>
  <c r="D41" i="1"/>
  <c r="D40" i="1"/>
  <c r="D39" i="1"/>
  <c r="D38" i="1"/>
  <c r="D36" i="1"/>
  <c r="D35" i="1"/>
  <c r="D34" i="1"/>
  <c r="D33" i="1"/>
  <c r="D8" i="1"/>
  <c r="D4" i="1"/>
  <c r="D30" i="1"/>
  <c r="D29" i="1"/>
  <c r="D27" i="1"/>
  <c r="D23" i="1"/>
  <c r="D14" i="1"/>
  <c r="D13" i="1"/>
  <c r="D12" i="1"/>
  <c r="D10" i="1"/>
  <c r="D11" i="1"/>
</calcChain>
</file>

<file path=xl/sharedStrings.xml><?xml version="1.0" encoding="utf-8"?>
<sst xmlns="http://schemas.openxmlformats.org/spreadsheetml/2006/main" count="794" uniqueCount="274">
  <si>
    <t>Larghetto</t>
  </si>
  <si>
    <t>Tempo mark</t>
  </si>
  <si>
    <t>A tempo</t>
  </si>
  <si>
    <t>A tempo giusto</t>
  </si>
  <si>
    <t>Adagio</t>
  </si>
  <si>
    <t>Adagio ma non molto</t>
  </si>
  <si>
    <t>Adagio ma non tanto</t>
  </si>
  <si>
    <t>Adagissimo</t>
  </si>
  <si>
    <t>Affettuoso</t>
  </si>
  <si>
    <t>Affettuoso molto</t>
  </si>
  <si>
    <t>Agitato</t>
  </si>
  <si>
    <t>Allegretto</t>
  </si>
  <si>
    <t>Allegretto affettuoso</t>
  </si>
  <si>
    <t>Allegretto grazioso</t>
  </si>
  <si>
    <t>Allegretto moderato</t>
  </si>
  <si>
    <t>Allegretto moderato e delicato</t>
  </si>
  <si>
    <t>Allegro</t>
  </si>
  <si>
    <t>Allegro agitato</t>
  </si>
  <si>
    <t>Allegro amoroso</t>
  </si>
  <si>
    <t>Allegro arioso</t>
  </si>
  <si>
    <t>Allegro armonioso</t>
  </si>
  <si>
    <t>Allegro assai</t>
  </si>
  <si>
    <t>Allegro comodo</t>
  </si>
  <si>
    <t>Allegro con brio</t>
  </si>
  <si>
    <t>Allegro con moto</t>
  </si>
  <si>
    <t>Allegro con spirito</t>
  </si>
  <si>
    <t>Allegro di molto</t>
  </si>
  <si>
    <t>Allegro e spiritoso</t>
  </si>
  <si>
    <t>Allegro e staccato</t>
  </si>
  <si>
    <t>Allegro e spiccato</t>
  </si>
  <si>
    <t>Allegro giusto</t>
  </si>
  <si>
    <t>Allegro ma non presto</t>
  </si>
  <si>
    <t>Allegro ma non tanto</t>
  </si>
  <si>
    <t>Allegro ma non troppo</t>
  </si>
  <si>
    <t>Allegro maestoso</t>
  </si>
  <si>
    <t>Allegro maestoso quasi recitativo</t>
  </si>
  <si>
    <t>Allegro moderato</t>
  </si>
  <si>
    <t>Allegro molto</t>
  </si>
  <si>
    <t>Allegro non tanto</t>
  </si>
  <si>
    <t>Non tanto allegro</t>
  </si>
  <si>
    <t>Allegro non presto</t>
  </si>
  <si>
    <t>Allegro piuttosto</t>
  </si>
  <si>
    <t>Allegro presto</t>
  </si>
  <si>
    <t>Allegro spiritoso</t>
  </si>
  <si>
    <t>Allegro tempo giusto</t>
  </si>
  <si>
    <t>Allegro vivace</t>
  </si>
  <si>
    <t>Alquanto agitato</t>
  </si>
  <si>
    <t>Amoroso</t>
  </si>
  <si>
    <t>Andante</t>
  </si>
  <si>
    <t>Andante ma affettuoso</t>
  </si>
  <si>
    <t>Andante affettuoso</t>
  </si>
  <si>
    <t>Andante agitato</t>
  </si>
  <si>
    <t>Andante amoroso</t>
  </si>
  <si>
    <t>Andante assai</t>
  </si>
  <si>
    <t>Andante cantabile</t>
  </si>
  <si>
    <t>Andante comodo</t>
  </si>
  <si>
    <t>Andante con brio</t>
  </si>
  <si>
    <t>Andante con gusto</t>
  </si>
  <si>
    <t>Andante con moto</t>
  </si>
  <si>
    <t>Andante con spirito</t>
  </si>
  <si>
    <t>Andante di molto</t>
  </si>
  <si>
    <t>Andante e spiritoso</t>
  </si>
  <si>
    <t>Andante e spiccato</t>
  </si>
  <si>
    <t>Andante espressivo</t>
  </si>
  <si>
    <t>Andante giusto</t>
  </si>
  <si>
    <t>Andante grazioso</t>
  </si>
  <si>
    <t>Andante ma non troppo</t>
  </si>
  <si>
    <t>Andante maestoso</t>
  </si>
  <si>
    <t>Andante moderato</t>
  </si>
  <si>
    <t>Andante molto</t>
  </si>
  <si>
    <t>Andante non troppo</t>
  </si>
  <si>
    <t>Andante sostenuto</t>
  </si>
  <si>
    <t>Andante spiritoso</t>
  </si>
  <si>
    <t>Andante vivace</t>
  </si>
  <si>
    <t>Andantino</t>
  </si>
  <si>
    <t>Andantino affettuoso</t>
  </si>
  <si>
    <t>Andantino amoroso</t>
  </si>
  <si>
    <t>Andantino brillante</t>
  </si>
  <si>
    <t>Andantino con moto</t>
  </si>
  <si>
    <t>Andantino espressivo</t>
  </si>
  <si>
    <t>Andantino giusto</t>
  </si>
  <si>
    <t>Andantino grazioso</t>
  </si>
  <si>
    <t>Andantino ma affettuoso</t>
  </si>
  <si>
    <t>Andantino pastoso</t>
  </si>
  <si>
    <t>Andantino sostenuto</t>
  </si>
  <si>
    <t>Andantino spiritoso</t>
  </si>
  <si>
    <t>Comodo</t>
  </si>
  <si>
    <t>Assai comodo</t>
  </si>
  <si>
    <t>Cantabile</t>
  </si>
  <si>
    <t>Cantabile con moto</t>
  </si>
  <si>
    <t>Cantabile sostenuto</t>
  </si>
  <si>
    <t>Comodo ma non troppo</t>
  </si>
  <si>
    <t>Con brio</t>
  </si>
  <si>
    <t>Con molto brio</t>
  </si>
  <si>
    <t>Con spirito</t>
  </si>
  <si>
    <t>Espressivo</t>
  </si>
  <si>
    <t>Fiero</t>
  </si>
  <si>
    <t>Giusto</t>
  </si>
  <si>
    <t>Giusto allegro</t>
  </si>
  <si>
    <t>Grave</t>
  </si>
  <si>
    <t>Grazioso</t>
  </si>
  <si>
    <t>Larghetto a tempo di marcia</t>
  </si>
  <si>
    <t>Larghetto affettuoso</t>
  </si>
  <si>
    <t>Larghetto cantabile</t>
  </si>
  <si>
    <t>Larghetto con moto</t>
  </si>
  <si>
    <t>Larghetto un poco adagio</t>
  </si>
  <si>
    <t>Larghetto un poco sostenuto</t>
  </si>
  <si>
    <t>Largo</t>
  </si>
  <si>
    <t>Largo andante</t>
  </si>
  <si>
    <t>Largo con un poco di moto</t>
  </si>
  <si>
    <t>Largo con un poco di moto e piano</t>
  </si>
  <si>
    <t>Largo assai</t>
  </si>
  <si>
    <t>Largo con moto</t>
  </si>
  <si>
    <t>Largo e cantabile</t>
  </si>
  <si>
    <t>Largo ed espressivo</t>
  </si>
  <si>
    <t>Largo giusto</t>
  </si>
  <si>
    <t>Largo sostenuto</t>
  </si>
  <si>
    <t>Largo e gustoso</t>
  </si>
  <si>
    <t>Largo non tanto</t>
  </si>
  <si>
    <t>Larghetto espressivo</t>
  </si>
  <si>
    <t>Lento</t>
  </si>
  <si>
    <t>Maestoso</t>
  </si>
  <si>
    <t>Maestoso ma non presto</t>
  </si>
  <si>
    <t>Mezzo allegro</t>
  </si>
  <si>
    <t>Moderato</t>
  </si>
  <si>
    <t>Moderato affettuoso</t>
  </si>
  <si>
    <t>Molto allegro</t>
  </si>
  <si>
    <t>Molto largo</t>
  </si>
  <si>
    <t>Sostenuto</t>
  </si>
  <si>
    <t>Molto sostenuto</t>
  </si>
  <si>
    <t>Non molto andante</t>
  </si>
  <si>
    <t>Non molto allegro</t>
  </si>
  <si>
    <t>Presto</t>
  </si>
  <si>
    <t>Non presto</t>
  </si>
  <si>
    <t>Non troppo allegro</t>
  </si>
  <si>
    <t>Non troppo lento</t>
  </si>
  <si>
    <t>Più sostenuto</t>
  </si>
  <si>
    <t>Piuttosto allegro</t>
  </si>
  <si>
    <t>Poco andante</t>
  </si>
  <si>
    <t>Prestissimo</t>
  </si>
  <si>
    <t>Prestissimo e siempre fiero</t>
  </si>
  <si>
    <t>Presto assai</t>
  </si>
  <si>
    <t>Sostenuto imperioso</t>
  </si>
  <si>
    <t>Sostenuto ma non tanto</t>
  </si>
  <si>
    <t>Sostenuto ma poco</t>
  </si>
  <si>
    <t>Sostenuto molto</t>
  </si>
  <si>
    <t>Spiritoso</t>
  </si>
  <si>
    <t>Minueto</t>
  </si>
  <si>
    <t>Tempo giusto</t>
  </si>
  <si>
    <t>Un poco andante</t>
  </si>
  <si>
    <t>Un poco largo</t>
  </si>
  <si>
    <t>Un poco lento</t>
  </si>
  <si>
    <t>Un poco moderato</t>
  </si>
  <si>
    <t>Poco moderato</t>
  </si>
  <si>
    <t>Un poco sostenuto</t>
  </si>
  <si>
    <t>Un poco sostenuto ma poco</t>
  </si>
  <si>
    <t>Vivace</t>
  </si>
  <si>
    <t>Vivace e spiccato</t>
  </si>
  <si>
    <t>Vivace spiccato</t>
  </si>
  <si>
    <t>Vivace molto</t>
  </si>
  <si>
    <t>Piuttosto presto</t>
  </si>
  <si>
    <t>Un poco agitato</t>
  </si>
  <si>
    <t>Larghetto e staccato</t>
  </si>
  <si>
    <t>Allegretto spiritoso</t>
  </si>
  <si>
    <t>Molto andante</t>
  </si>
  <si>
    <t>Vivace assai</t>
  </si>
  <si>
    <t>Maestoso e staccato</t>
  </si>
  <si>
    <t>Andantino gustoso</t>
  </si>
  <si>
    <t>Un poco sostenuto, ma poco</t>
  </si>
  <si>
    <t>Gustoso</t>
  </si>
  <si>
    <t>Andante spiccato</t>
  </si>
  <si>
    <t>Allegro affettuoso</t>
  </si>
  <si>
    <t>Allegro con molto brio</t>
  </si>
  <si>
    <t>Molto agitato</t>
  </si>
  <si>
    <t>Andante più tosto ma grazioso</t>
  </si>
  <si>
    <t>Grouping 1</t>
  </si>
  <si>
    <t>Grouping 2</t>
  </si>
  <si>
    <t>Slow</t>
  </si>
  <si>
    <t>Fast</t>
  </si>
  <si>
    <t>Moderate</t>
  </si>
  <si>
    <t>Allegrissimo</t>
  </si>
  <si>
    <t>Allegretto brillante</t>
  </si>
  <si>
    <t>Larghetto mosso</t>
  </si>
  <si>
    <t>Allegro brillante</t>
  </si>
  <si>
    <t>Imperioso sostenuto</t>
  </si>
  <si>
    <t>Risoluto</t>
  </si>
  <si>
    <t>Adagietto</t>
  </si>
  <si>
    <t>Risoluto. Allegro assai</t>
  </si>
  <si>
    <t>Andante e amoroso</t>
  </si>
  <si>
    <t>Arioso distinto</t>
  </si>
  <si>
    <t>Arioso</t>
  </si>
  <si>
    <t>Allegretto non tanto</t>
  </si>
  <si>
    <t>Andantino alla francese</t>
  </si>
  <si>
    <t>Con spirito assai</t>
  </si>
  <si>
    <t>Molto allegro e spiritoso</t>
  </si>
  <si>
    <t>Allegro non troppo</t>
  </si>
  <si>
    <t>A tempo giusto ma non lento</t>
  </si>
  <si>
    <t>Andante più tosto</t>
  </si>
  <si>
    <t>Più tosto allegro</t>
  </si>
  <si>
    <t>Andantino comodo</t>
  </si>
  <si>
    <t>Adagio non troppo</t>
  </si>
  <si>
    <t>Lento ma non tanto</t>
  </si>
  <si>
    <t>Andante con pò di moto</t>
  </si>
  <si>
    <t>A tempo lento</t>
  </si>
  <si>
    <t>Andantissimo</t>
  </si>
  <si>
    <t>Maestoso mosso</t>
  </si>
  <si>
    <t>Staccato</t>
  </si>
  <si>
    <t>Amoroso e andante</t>
  </si>
  <si>
    <t>Andantino assai</t>
  </si>
  <si>
    <t>Allegro ma non molto</t>
  </si>
  <si>
    <t>Allegro non molto</t>
  </si>
  <si>
    <t>Un poco andante e con brio</t>
  </si>
  <si>
    <t>Affettuoso e moderato</t>
  </si>
  <si>
    <t>Un moderato allegro</t>
  </si>
  <si>
    <t>Allegro con molto spirito</t>
  </si>
  <si>
    <t>Un poco moderato ma poco</t>
  </si>
  <si>
    <t>Presto di molto</t>
  </si>
  <si>
    <t>Andantino movibile</t>
  </si>
  <si>
    <t>Largo movibile</t>
  </si>
  <si>
    <t>Andantino con un poco di moto</t>
  </si>
  <si>
    <t>Andante grazioso con moto</t>
  </si>
  <si>
    <t>Allegretto agitato</t>
  </si>
  <si>
    <t>Allegretto assai</t>
  </si>
  <si>
    <t>Largo non sostenuto</t>
  </si>
  <si>
    <t>Larghetto andante</t>
  </si>
  <si>
    <t>Allegro grazioso</t>
  </si>
  <si>
    <t>Moderato ma non troppo lento</t>
  </si>
  <si>
    <t>Andantino maestoso</t>
  </si>
  <si>
    <t>Andantino larghetto</t>
  </si>
  <si>
    <t>Maestoso allegro</t>
  </si>
  <si>
    <t>Espressivo con moto</t>
  </si>
  <si>
    <t>Larghetto sostenuto</t>
  </si>
  <si>
    <t>Molto affettuoso</t>
  </si>
  <si>
    <t>Tempo spazioso</t>
  </si>
  <si>
    <t>Moderato andante</t>
  </si>
  <si>
    <t>Con spirito moderato</t>
  </si>
  <si>
    <t>Allegro forti</t>
  </si>
  <si>
    <t>Molto allegro e con brio</t>
  </si>
  <si>
    <t>Presto con brio</t>
  </si>
  <si>
    <t>Presto e spiccato</t>
  </si>
  <si>
    <t>Cantabile affettuoso</t>
  </si>
  <si>
    <t>Adagio e staccato</t>
  </si>
  <si>
    <t>Andantino più tosto allegro</t>
  </si>
  <si>
    <t>Sotto andante</t>
  </si>
  <si>
    <t>Allegro con foco</t>
  </si>
  <si>
    <t>Larghetto grazioso</t>
  </si>
  <si>
    <t>Gaio</t>
  </si>
  <si>
    <t>Furioso</t>
  </si>
  <si>
    <t>Parlante</t>
  </si>
  <si>
    <t>Andante non largo</t>
  </si>
  <si>
    <t xml:space="preserve">Adagio assai </t>
  </si>
  <si>
    <t>Presto e spiritoso</t>
  </si>
  <si>
    <t>Più tosto lento</t>
  </si>
  <si>
    <t>Comodetto</t>
  </si>
  <si>
    <t>Comodetto ma con spirito</t>
  </si>
  <si>
    <t>Un poco allegro</t>
  </si>
  <si>
    <t>Moderato con un pò di moto</t>
  </si>
  <si>
    <t>Spiritoso andante</t>
  </si>
  <si>
    <t>Cantabile spazioso</t>
  </si>
  <si>
    <t>Sul cantabile</t>
  </si>
  <si>
    <t>Larghetto maestoso</t>
  </si>
  <si>
    <t>Tempo di minuetto</t>
  </si>
  <si>
    <t>Allegro ma non precipitoso</t>
  </si>
  <si>
    <t>Più andante</t>
  </si>
  <si>
    <t>Con molto spirito</t>
  </si>
  <si>
    <t>Allegretto comodo</t>
  </si>
  <si>
    <t>Un poco adagio</t>
  </si>
  <si>
    <t xml:space="preserve">Allegro più sempre </t>
  </si>
  <si>
    <t xml:space="preserve">Poco più andante </t>
  </si>
  <si>
    <t>Andante sforzato</t>
  </si>
  <si>
    <t>Un poco di moto</t>
  </si>
  <si>
    <t>bpm</t>
  </si>
  <si>
    <t>-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</si>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</sst>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.000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2" borderId="0" xfId="0" applyFont="1" applyFill="1"/>
    <xf numFmtId="0" fontId="2" fillId="2" borderId="0" xfId="0" applyFont="1" applyFill="1"/>
    <xf numFmtId="0" fontId="0" fillId="0" borderId="0" xfId="0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tabSelected="1" topLeftCell="A201" zoomScaleNormal="100" workbookViewId="0">
      <selection activeCell="A222" sqref="A222"/>
    </sheetView>
  </sheetViews>
  <sheetFormatPr baseColWidth="10" defaultColWidth="9" defaultRowHeight="15.75" x14ac:dyDescent="0.25"/>
  <cols>
    <col min="1" max="1" width="26.125" customWidth="1"/>
    <col min="2" max="2" width="12.375" bestFit="1" customWidth="1"/>
    <col min="3" max="3" width="10.625" customWidth="1"/>
    <col min="4" max="4" width="10.625" style="5" customWidth="1"/>
    <col min="5" max="1025" width="10.625" customWidth="1"/>
  </cols>
  <sheetData>
    <row r="1" spans="1:5" s="2" customFormat="1" x14ac:dyDescent="0.25">
      <c r="A1" s="2" t="s">
        <v>1</v>
      </c>
      <c r="B1" s="2" t="s">
        <v>175</v>
      </c>
      <c r="C1" s="2" t="s">
        <v>176</v>
      </c>
      <c r="D1" s="4" t="s">
        <v>271</v>
      </c>
      <c r="E1" s="2" t="s">
        <v>273</v>
      </c>
    </row>
    <row r="2" spans="1:5" x14ac:dyDescent="0.25">
      <c r="A2" s="1" t="s">
        <v>2</v>
      </c>
      <c r="B2" t="s">
        <v>2</v>
      </c>
      <c r="C2" t="s">
        <v>179</v>
      </c>
      <c r="D2" s="5">
        <v>92</v>
      </c>
      <c r="E2" s="11">
        <f>D2/90</f>
        <v>1.0222222222222221</v>
      </c>
    </row>
    <row r="3" spans="1:5" x14ac:dyDescent="0.25">
      <c r="A3" t="s">
        <v>3</v>
      </c>
      <c r="B3" t="s">
        <v>2</v>
      </c>
      <c r="C3" t="s">
        <v>179</v>
      </c>
      <c r="D3" s="5">
        <v>92</v>
      </c>
      <c r="E3" s="11">
        <f t="shared" ref="E3:E66" si="0">D3/90</f>
        <v>1.0222222222222221</v>
      </c>
    </row>
    <row r="4" spans="1:5" x14ac:dyDescent="0.25">
      <c r="A4" t="s">
        <v>196</v>
      </c>
      <c r="B4" t="s">
        <v>2</v>
      </c>
      <c r="C4" t="s">
        <v>179</v>
      </c>
      <c r="D4" s="5">
        <f>92+92*0.025</f>
        <v>94.3</v>
      </c>
      <c r="E4" s="11">
        <f t="shared" si="0"/>
        <v>1.0477777777777777</v>
      </c>
    </row>
    <row r="5" spans="1:5" x14ac:dyDescent="0.25">
      <c r="A5" s="6" t="s">
        <v>203</v>
      </c>
      <c r="B5" s="6" t="s">
        <v>120</v>
      </c>
      <c r="C5" s="6" t="s">
        <v>120</v>
      </c>
      <c r="D5" s="7">
        <v>52</v>
      </c>
      <c r="E5" s="11">
        <f t="shared" si="0"/>
        <v>0.57777777777777772</v>
      </c>
    </row>
    <row r="6" spans="1:5" x14ac:dyDescent="0.25">
      <c r="A6" t="s">
        <v>186</v>
      </c>
      <c r="B6" t="s">
        <v>186</v>
      </c>
      <c r="C6" t="s">
        <v>177</v>
      </c>
      <c r="D6" s="5">
        <v>72</v>
      </c>
      <c r="E6" s="11">
        <f t="shared" si="0"/>
        <v>0.8</v>
      </c>
    </row>
    <row r="7" spans="1:5" x14ac:dyDescent="0.25">
      <c r="A7" s="1" t="s">
        <v>4</v>
      </c>
      <c r="B7" t="s">
        <v>4</v>
      </c>
      <c r="C7" t="s">
        <v>177</v>
      </c>
      <c r="D7" s="5">
        <v>56</v>
      </c>
      <c r="E7" s="11">
        <f t="shared" si="0"/>
        <v>0.62222222222222223</v>
      </c>
    </row>
    <row r="8" spans="1:5" x14ac:dyDescent="0.25">
      <c r="A8" s="8" t="s">
        <v>250</v>
      </c>
      <c r="B8" s="6" t="s">
        <v>4</v>
      </c>
      <c r="C8" s="6" t="s">
        <v>177</v>
      </c>
      <c r="D8" s="7">
        <f>56+56*0.004</f>
        <v>56.223999999999997</v>
      </c>
      <c r="E8" s="11">
        <f t="shared" si="0"/>
        <v>0.62471111111111111</v>
      </c>
    </row>
    <row r="9" spans="1:5" x14ac:dyDescent="0.25">
      <c r="A9" s="8" t="s">
        <v>241</v>
      </c>
      <c r="B9" s="6" t="s">
        <v>4</v>
      </c>
      <c r="C9" s="6" t="s">
        <v>177</v>
      </c>
      <c r="D9" s="7">
        <v>56</v>
      </c>
      <c r="E9" s="11">
        <f t="shared" si="0"/>
        <v>0.62222222222222223</v>
      </c>
    </row>
    <row r="10" spans="1:5" x14ac:dyDescent="0.25">
      <c r="A10" t="s">
        <v>5</v>
      </c>
      <c r="B10" t="s">
        <v>4</v>
      </c>
      <c r="C10" t="s">
        <v>177</v>
      </c>
      <c r="D10" s="5">
        <f>56+56*0.016</f>
        <v>56.896000000000001</v>
      </c>
      <c r="E10" s="11">
        <f t="shared" si="0"/>
        <v>0.63217777777777784</v>
      </c>
    </row>
    <row r="11" spans="1:5" x14ac:dyDescent="0.25">
      <c r="A11" t="s">
        <v>6</v>
      </c>
      <c r="B11" t="s">
        <v>4</v>
      </c>
      <c r="C11" t="s">
        <v>177</v>
      </c>
      <c r="D11" s="5">
        <f>56+56*0.017</f>
        <v>56.951999999999998</v>
      </c>
      <c r="E11" s="11">
        <f t="shared" si="0"/>
        <v>0.63280000000000003</v>
      </c>
    </row>
    <row r="12" spans="1:5" x14ac:dyDescent="0.25">
      <c r="A12" t="s">
        <v>200</v>
      </c>
      <c r="B12" t="s">
        <v>4</v>
      </c>
      <c r="C12" t="s">
        <v>177</v>
      </c>
      <c r="D12" s="5">
        <f>56+56*0.018</f>
        <v>57.008000000000003</v>
      </c>
      <c r="E12" s="11">
        <f t="shared" si="0"/>
        <v>0.63342222222222222</v>
      </c>
    </row>
    <row r="13" spans="1:5" x14ac:dyDescent="0.25">
      <c r="A13" t="s">
        <v>7</v>
      </c>
      <c r="B13" t="s">
        <v>7</v>
      </c>
      <c r="C13" t="s">
        <v>177</v>
      </c>
      <c r="D13" s="5">
        <f>42</f>
        <v>42</v>
      </c>
      <c r="E13" s="11">
        <f t="shared" si="0"/>
        <v>0.46666666666666667</v>
      </c>
    </row>
    <row r="14" spans="1:5" x14ac:dyDescent="0.25">
      <c r="A14" t="s">
        <v>8</v>
      </c>
      <c r="B14" t="s">
        <v>8</v>
      </c>
      <c r="C14" t="s">
        <v>179</v>
      </c>
      <c r="D14" s="5">
        <f>78</f>
        <v>78</v>
      </c>
      <c r="E14" s="11">
        <f t="shared" si="0"/>
        <v>0.8666666666666667</v>
      </c>
    </row>
    <row r="15" spans="1:5" x14ac:dyDescent="0.25">
      <c r="A15" s="6" t="s">
        <v>212</v>
      </c>
      <c r="B15" s="6" t="s">
        <v>124</v>
      </c>
      <c r="C15" s="6" t="s">
        <v>179</v>
      </c>
      <c r="D15" s="7">
        <f>78*0.9+92*0.1</f>
        <v>79.400000000000006</v>
      </c>
      <c r="E15" s="11">
        <f t="shared" si="0"/>
        <v>0.88222222222222224</v>
      </c>
    </row>
    <row r="16" spans="1:5" x14ac:dyDescent="0.25">
      <c r="A16" t="s">
        <v>9</v>
      </c>
      <c r="B16" t="s">
        <v>8</v>
      </c>
      <c r="C16" t="s">
        <v>179</v>
      </c>
      <c r="D16" s="5">
        <f>78*0.9</f>
        <v>70.2</v>
      </c>
      <c r="E16" s="11">
        <f t="shared" si="0"/>
        <v>0.78</v>
      </c>
    </row>
    <row r="17" spans="1:5" x14ac:dyDescent="0.25">
      <c r="A17" s="1" t="s">
        <v>10</v>
      </c>
      <c r="B17" t="s">
        <v>10</v>
      </c>
      <c r="C17" t="s">
        <v>178</v>
      </c>
      <c r="D17" s="5">
        <v>146</v>
      </c>
      <c r="E17" s="11">
        <f t="shared" si="0"/>
        <v>1.6222222222222222</v>
      </c>
    </row>
    <row r="18" spans="1:5" x14ac:dyDescent="0.25">
      <c r="A18" s="1" t="s">
        <v>11</v>
      </c>
      <c r="B18" t="s">
        <v>11</v>
      </c>
      <c r="C18" t="s">
        <v>178</v>
      </c>
      <c r="D18" s="5">
        <v>100</v>
      </c>
      <c r="E18" s="11">
        <f t="shared" si="0"/>
        <v>1.1111111111111112</v>
      </c>
    </row>
    <row r="19" spans="1:5" x14ac:dyDescent="0.25">
      <c r="A19" t="s">
        <v>12</v>
      </c>
      <c r="B19" t="s">
        <v>11</v>
      </c>
      <c r="C19" t="s">
        <v>178</v>
      </c>
      <c r="D19" s="5">
        <f>100*0.9+78*0.1</f>
        <v>97.8</v>
      </c>
      <c r="E19" s="11">
        <f t="shared" si="0"/>
        <v>1.0866666666666667</v>
      </c>
    </row>
    <row r="20" spans="1:5" x14ac:dyDescent="0.25">
      <c r="A20" s="6" t="s">
        <v>221</v>
      </c>
      <c r="B20" s="6" t="s">
        <v>11</v>
      </c>
      <c r="C20" s="6" t="s">
        <v>178</v>
      </c>
      <c r="D20" s="7">
        <f>100*0.9+146*0.1</f>
        <v>104.6</v>
      </c>
      <c r="E20" s="11">
        <f t="shared" si="0"/>
        <v>1.1622222222222223</v>
      </c>
    </row>
    <row r="21" spans="1:5" x14ac:dyDescent="0.25">
      <c r="A21" s="6" t="s">
        <v>222</v>
      </c>
      <c r="B21" s="6" t="s">
        <v>11</v>
      </c>
      <c r="C21" s="6" t="s">
        <v>178</v>
      </c>
      <c r="D21" s="7">
        <f>100-100*0.04</f>
        <v>96</v>
      </c>
      <c r="E21" s="11">
        <f t="shared" si="0"/>
        <v>1.0666666666666667</v>
      </c>
    </row>
    <row r="22" spans="1:5" x14ac:dyDescent="0.25">
      <c r="A22" t="s">
        <v>181</v>
      </c>
      <c r="B22" t="s">
        <v>11</v>
      </c>
      <c r="C22" t="s">
        <v>178</v>
      </c>
      <c r="D22" s="5">
        <f>100+100*0.09</f>
        <v>109</v>
      </c>
      <c r="E22" s="11">
        <f t="shared" si="0"/>
        <v>1.211111111111111</v>
      </c>
    </row>
    <row r="23" spans="1:5" x14ac:dyDescent="0.25">
      <c r="A23" s="6" t="s">
        <v>265</v>
      </c>
      <c r="B23" s="6" t="s">
        <v>11</v>
      </c>
      <c r="C23" s="6" t="s">
        <v>178</v>
      </c>
      <c r="D23" s="7">
        <f>100-100*0.02</f>
        <v>98</v>
      </c>
      <c r="E23" s="11">
        <f t="shared" si="0"/>
        <v>1.0888888888888888</v>
      </c>
    </row>
    <row r="24" spans="1:5" x14ac:dyDescent="0.25">
      <c r="A24" s="1" t="s">
        <v>13</v>
      </c>
      <c r="B24" t="s">
        <v>11</v>
      </c>
      <c r="C24" t="s">
        <v>178</v>
      </c>
      <c r="D24" s="5">
        <f>100*0.9+86*0.1</f>
        <v>98.6</v>
      </c>
      <c r="E24" s="11">
        <f t="shared" si="0"/>
        <v>1.0955555555555554</v>
      </c>
    </row>
    <row r="25" spans="1:5" x14ac:dyDescent="0.25">
      <c r="A25" t="s">
        <v>14</v>
      </c>
      <c r="B25" t="s">
        <v>11</v>
      </c>
      <c r="C25" t="s">
        <v>178</v>
      </c>
      <c r="D25" s="5">
        <f>100*0.9+92*0.1</f>
        <v>99.2</v>
      </c>
      <c r="E25" s="11">
        <f t="shared" si="0"/>
        <v>1.1022222222222222</v>
      </c>
    </row>
    <row r="26" spans="1:5" x14ac:dyDescent="0.25">
      <c r="A26" t="s">
        <v>15</v>
      </c>
      <c r="B26" t="s">
        <v>11</v>
      </c>
      <c r="C26" t="s">
        <v>178</v>
      </c>
      <c r="D26" s="5">
        <f>100*0.9+92*0.1</f>
        <v>99.2</v>
      </c>
      <c r="E26" s="11">
        <f t="shared" si="0"/>
        <v>1.1022222222222222</v>
      </c>
    </row>
    <row r="27" spans="1:5" x14ac:dyDescent="0.25">
      <c r="A27" t="s">
        <v>191</v>
      </c>
      <c r="B27" t="s">
        <v>11</v>
      </c>
      <c r="C27" t="s">
        <v>178</v>
      </c>
      <c r="D27" s="5">
        <f>100-100*0.017</f>
        <v>98.3</v>
      </c>
      <c r="E27" s="11">
        <f t="shared" si="0"/>
        <v>1.0922222222222222</v>
      </c>
    </row>
    <row r="28" spans="1:5" x14ac:dyDescent="0.25">
      <c r="A28" t="s">
        <v>163</v>
      </c>
      <c r="B28" t="s">
        <v>11</v>
      </c>
      <c r="C28" t="s">
        <v>178</v>
      </c>
      <c r="D28" s="5">
        <f>100+100*0.038</f>
        <v>103.8</v>
      </c>
      <c r="E28" s="11">
        <f t="shared" si="0"/>
        <v>1.1533333333333333</v>
      </c>
    </row>
    <row r="29" spans="1:5" x14ac:dyDescent="0.25">
      <c r="A29" t="s">
        <v>180</v>
      </c>
      <c r="B29" t="s">
        <v>180</v>
      </c>
      <c r="C29" t="s">
        <v>178</v>
      </c>
      <c r="D29" s="5">
        <f>150</f>
        <v>150</v>
      </c>
      <c r="E29" s="11">
        <f t="shared" si="0"/>
        <v>1.6666666666666667</v>
      </c>
    </row>
    <row r="30" spans="1:5" x14ac:dyDescent="0.25">
      <c r="A30" t="s">
        <v>16</v>
      </c>
      <c r="B30" t="s">
        <v>16</v>
      </c>
      <c r="C30" t="s">
        <v>178</v>
      </c>
      <c r="D30" s="5">
        <f>120</f>
        <v>120</v>
      </c>
      <c r="E30" s="11">
        <f t="shared" si="0"/>
        <v>1.3333333333333333</v>
      </c>
    </row>
    <row r="31" spans="1:5" x14ac:dyDescent="0.25">
      <c r="A31" t="s">
        <v>171</v>
      </c>
      <c r="B31" t="s">
        <v>16</v>
      </c>
      <c r="C31" t="s">
        <v>178</v>
      </c>
      <c r="D31" s="5">
        <f>120*0.9+78*0.1</f>
        <v>115.8</v>
      </c>
      <c r="E31" s="11">
        <f t="shared" si="0"/>
        <v>1.2866666666666666</v>
      </c>
    </row>
    <row r="32" spans="1:5" x14ac:dyDescent="0.25">
      <c r="A32" t="s">
        <v>17</v>
      </c>
      <c r="B32" t="s">
        <v>16</v>
      </c>
      <c r="C32" t="s">
        <v>178</v>
      </c>
      <c r="D32" s="5">
        <v>125</v>
      </c>
      <c r="E32" s="11">
        <f t="shared" si="0"/>
        <v>1.3888888888888888</v>
      </c>
    </row>
    <row r="33" spans="1:5" x14ac:dyDescent="0.25">
      <c r="A33" s="1" t="s">
        <v>18</v>
      </c>
      <c r="B33" t="s">
        <v>16</v>
      </c>
      <c r="C33" t="s">
        <v>178</v>
      </c>
      <c r="D33" s="5">
        <f>120-120*0.008</f>
        <v>119.04</v>
      </c>
      <c r="E33" s="11">
        <f t="shared" si="0"/>
        <v>1.3226666666666667</v>
      </c>
    </row>
    <row r="34" spans="1:5" x14ac:dyDescent="0.25">
      <c r="A34" s="1" t="s">
        <v>19</v>
      </c>
      <c r="B34" t="s">
        <v>16</v>
      </c>
      <c r="C34" t="s">
        <v>178</v>
      </c>
      <c r="D34" s="5">
        <f>120-120*0.005</f>
        <v>119.4</v>
      </c>
      <c r="E34" s="11">
        <f t="shared" si="0"/>
        <v>1.3266666666666667</v>
      </c>
    </row>
    <row r="35" spans="1:5" x14ac:dyDescent="0.25">
      <c r="A35" t="s">
        <v>20</v>
      </c>
      <c r="B35" t="s">
        <v>16</v>
      </c>
      <c r="C35" t="s">
        <v>178</v>
      </c>
      <c r="D35" s="5">
        <f>120-120*0.013</f>
        <v>118.44</v>
      </c>
      <c r="E35" s="11">
        <f t="shared" si="0"/>
        <v>1.3160000000000001</v>
      </c>
    </row>
    <row r="36" spans="1:5" x14ac:dyDescent="0.25">
      <c r="A36" t="s">
        <v>21</v>
      </c>
      <c r="B36" t="s">
        <v>16</v>
      </c>
      <c r="C36" t="s">
        <v>178</v>
      </c>
      <c r="D36" s="5">
        <f>120-120*0.04</f>
        <v>115.2</v>
      </c>
      <c r="E36" s="11">
        <f t="shared" si="0"/>
        <v>1.28</v>
      </c>
    </row>
    <row r="37" spans="1:5" x14ac:dyDescent="0.25">
      <c r="A37" t="s">
        <v>183</v>
      </c>
      <c r="B37" t="s">
        <v>16</v>
      </c>
      <c r="C37" t="s">
        <v>178</v>
      </c>
      <c r="D37" s="5">
        <f>120+120*0.09</f>
        <v>130.80000000000001</v>
      </c>
      <c r="E37" s="11">
        <f t="shared" si="0"/>
        <v>1.4533333333333334</v>
      </c>
    </row>
    <row r="38" spans="1:5" x14ac:dyDescent="0.25">
      <c r="A38" t="s">
        <v>22</v>
      </c>
      <c r="B38" t="s">
        <v>16</v>
      </c>
      <c r="C38" t="s">
        <v>178</v>
      </c>
      <c r="D38" s="5">
        <f>120-120*0.02</f>
        <v>117.6</v>
      </c>
      <c r="E38" s="11">
        <f t="shared" si="0"/>
        <v>1.3066666666666666</v>
      </c>
    </row>
    <row r="39" spans="1:5" x14ac:dyDescent="0.25">
      <c r="A39" t="s">
        <v>23</v>
      </c>
      <c r="B39" t="s">
        <v>16</v>
      </c>
      <c r="C39" t="s">
        <v>178</v>
      </c>
      <c r="D39" s="5">
        <f>120+120*0.05</f>
        <v>126</v>
      </c>
      <c r="E39" s="11">
        <f t="shared" si="0"/>
        <v>1.4</v>
      </c>
    </row>
    <row r="40" spans="1:5" x14ac:dyDescent="0.25">
      <c r="A40" s="6" t="s">
        <v>244</v>
      </c>
      <c r="B40" s="6" t="s">
        <v>16</v>
      </c>
      <c r="C40" s="6" t="s">
        <v>178</v>
      </c>
      <c r="D40" s="7">
        <f>120+120*0.054</f>
        <v>126.48</v>
      </c>
      <c r="E40" s="11">
        <f t="shared" si="0"/>
        <v>1.4053333333333333</v>
      </c>
    </row>
    <row r="41" spans="1:5" x14ac:dyDescent="0.25">
      <c r="A41" t="s">
        <v>172</v>
      </c>
      <c r="B41" t="s">
        <v>16</v>
      </c>
      <c r="C41" t="s">
        <v>178</v>
      </c>
      <c r="D41" s="5">
        <f>120+120*0.088</f>
        <v>130.56</v>
      </c>
      <c r="E41" s="11">
        <f t="shared" si="0"/>
        <v>1.4506666666666668</v>
      </c>
    </row>
    <row r="42" spans="1:5" x14ac:dyDescent="0.25">
      <c r="A42" t="s">
        <v>24</v>
      </c>
      <c r="B42" t="s">
        <v>16</v>
      </c>
      <c r="C42" t="s">
        <v>178</v>
      </c>
      <c r="D42" s="5">
        <f>120*1.055</f>
        <v>126.6</v>
      </c>
      <c r="E42" s="11">
        <f t="shared" si="0"/>
        <v>1.4066666666666665</v>
      </c>
    </row>
    <row r="43" spans="1:5" x14ac:dyDescent="0.25">
      <c r="A43" t="s">
        <v>25</v>
      </c>
      <c r="B43" t="s">
        <v>16</v>
      </c>
      <c r="C43" t="s">
        <v>178</v>
      </c>
      <c r="D43" s="5">
        <f>120+120*0.04</f>
        <v>124.8</v>
      </c>
      <c r="E43" s="11">
        <f t="shared" si="0"/>
        <v>1.3866666666666667</v>
      </c>
    </row>
    <row r="44" spans="1:5" x14ac:dyDescent="0.25">
      <c r="A44" t="s">
        <v>26</v>
      </c>
      <c r="B44" t="s">
        <v>16</v>
      </c>
      <c r="C44" t="s">
        <v>178</v>
      </c>
      <c r="D44" s="5">
        <f>120+120*0.06</f>
        <v>127.2</v>
      </c>
      <c r="E44" s="11">
        <f t="shared" si="0"/>
        <v>1.4133333333333333</v>
      </c>
    </row>
    <row r="45" spans="1:5" x14ac:dyDescent="0.25">
      <c r="A45" t="s">
        <v>214</v>
      </c>
      <c r="B45" t="s">
        <v>16</v>
      </c>
      <c r="C45" t="s">
        <v>178</v>
      </c>
      <c r="D45" s="5">
        <f>120+120*0.048</f>
        <v>125.76</v>
      </c>
      <c r="E45" s="11">
        <f t="shared" si="0"/>
        <v>1.3973333333333333</v>
      </c>
    </row>
    <row r="46" spans="1:5" x14ac:dyDescent="0.25">
      <c r="A46" t="s">
        <v>29</v>
      </c>
      <c r="B46" t="s">
        <v>16</v>
      </c>
      <c r="C46" t="s">
        <v>178</v>
      </c>
      <c r="D46" s="5">
        <f>120</f>
        <v>120</v>
      </c>
      <c r="E46" s="11">
        <f t="shared" si="0"/>
        <v>1.3333333333333333</v>
      </c>
    </row>
    <row r="47" spans="1:5" x14ac:dyDescent="0.25">
      <c r="A47" t="s">
        <v>27</v>
      </c>
      <c r="B47" t="s">
        <v>16</v>
      </c>
      <c r="C47" t="s">
        <v>178</v>
      </c>
      <c r="D47" s="5">
        <f>120+120*0.038</f>
        <v>124.56</v>
      </c>
      <c r="E47" s="11">
        <f t="shared" si="0"/>
        <v>1.3840000000000001</v>
      </c>
    </row>
    <row r="48" spans="1:5" x14ac:dyDescent="0.25">
      <c r="A48" t="s">
        <v>28</v>
      </c>
      <c r="B48" t="s">
        <v>16</v>
      </c>
      <c r="C48" t="s">
        <v>178</v>
      </c>
      <c r="D48" s="5">
        <v>120</v>
      </c>
      <c r="E48" s="11">
        <f t="shared" si="0"/>
        <v>1.3333333333333333</v>
      </c>
    </row>
    <row r="49" spans="1:5" x14ac:dyDescent="0.25">
      <c r="A49" s="6" t="s">
        <v>236</v>
      </c>
      <c r="B49" s="6" t="s">
        <v>16</v>
      </c>
      <c r="C49" s="6" t="s">
        <v>178</v>
      </c>
      <c r="D49" s="7">
        <f>120*1.049</f>
        <v>125.88</v>
      </c>
      <c r="E49" s="11">
        <f>D49/90</f>
        <v>1.3986666666666667</v>
      </c>
    </row>
    <row r="50" spans="1:5" x14ac:dyDescent="0.25">
      <c r="A50" t="s">
        <v>30</v>
      </c>
      <c r="B50" t="s">
        <v>16</v>
      </c>
      <c r="C50" t="s">
        <v>178</v>
      </c>
      <c r="D50" s="5">
        <f>120-120*0.03</f>
        <v>116.4</v>
      </c>
      <c r="E50" s="11">
        <f t="shared" si="0"/>
        <v>1.2933333333333334</v>
      </c>
    </row>
    <row r="51" spans="1:5" x14ac:dyDescent="0.25">
      <c r="A51" s="6" t="s">
        <v>225</v>
      </c>
      <c r="B51" s="6" t="s">
        <v>16</v>
      </c>
      <c r="C51" s="6" t="s">
        <v>178</v>
      </c>
      <c r="D51" s="7">
        <f>100*0.9+86*0.1</f>
        <v>98.6</v>
      </c>
      <c r="E51" s="11">
        <f t="shared" si="0"/>
        <v>1.0955555555555554</v>
      </c>
    </row>
    <row r="52" spans="1:5" x14ac:dyDescent="0.25">
      <c r="A52" s="8" t="s">
        <v>262</v>
      </c>
      <c r="B52" s="6" t="s">
        <v>16</v>
      </c>
      <c r="C52" s="6" t="s">
        <v>178</v>
      </c>
      <c r="D52" s="7">
        <f>120-120*0.0155</f>
        <v>118.14</v>
      </c>
      <c r="E52" s="11">
        <f t="shared" si="0"/>
        <v>1.3126666666666666</v>
      </c>
    </row>
    <row r="53" spans="1:5" x14ac:dyDescent="0.25">
      <c r="A53" t="s">
        <v>31</v>
      </c>
      <c r="B53" t="s">
        <v>16</v>
      </c>
      <c r="C53" t="s">
        <v>178</v>
      </c>
      <c r="D53" s="5">
        <f>120-120*0.0152</f>
        <v>118.176</v>
      </c>
      <c r="E53" s="11">
        <f t="shared" si="0"/>
        <v>1.3130666666666666</v>
      </c>
    </row>
    <row r="54" spans="1:5" x14ac:dyDescent="0.25">
      <c r="A54" s="6" t="s">
        <v>209</v>
      </c>
      <c r="B54" s="6" t="s">
        <v>16</v>
      </c>
      <c r="C54" s="6" t="s">
        <v>178</v>
      </c>
      <c r="D54" s="7">
        <f>120-120*0.016</f>
        <v>118.08</v>
      </c>
      <c r="E54" s="11">
        <f t="shared" si="0"/>
        <v>1.3120000000000001</v>
      </c>
    </row>
    <row r="55" spans="1:5" x14ac:dyDescent="0.25">
      <c r="A55" t="s">
        <v>32</v>
      </c>
      <c r="B55" t="s">
        <v>16</v>
      </c>
      <c r="C55" t="s">
        <v>178</v>
      </c>
      <c r="D55" s="5">
        <f>120-120*0.017</f>
        <v>117.96</v>
      </c>
      <c r="E55" s="11">
        <f t="shared" si="0"/>
        <v>1.3106666666666666</v>
      </c>
    </row>
    <row r="56" spans="1:5" x14ac:dyDescent="0.25">
      <c r="A56" t="s">
        <v>33</v>
      </c>
      <c r="B56" t="s">
        <v>16</v>
      </c>
      <c r="C56" t="s">
        <v>178</v>
      </c>
      <c r="D56" s="5">
        <f>120-120*0.018</f>
        <v>117.84</v>
      </c>
      <c r="E56" s="11">
        <f t="shared" si="0"/>
        <v>1.3093333333333335</v>
      </c>
    </row>
    <row r="57" spans="1:5" x14ac:dyDescent="0.25">
      <c r="A57" t="s">
        <v>34</v>
      </c>
      <c r="B57" t="s">
        <v>16</v>
      </c>
      <c r="C57" t="s">
        <v>178</v>
      </c>
      <c r="D57" s="5">
        <f>100*0.9+82*0.1</f>
        <v>98.2</v>
      </c>
      <c r="E57" s="11">
        <f t="shared" si="0"/>
        <v>1.0911111111111111</v>
      </c>
    </row>
    <row r="58" spans="1:5" x14ac:dyDescent="0.25">
      <c r="A58" t="s">
        <v>35</v>
      </c>
      <c r="B58" t="s">
        <v>16</v>
      </c>
      <c r="C58" t="s">
        <v>178</v>
      </c>
      <c r="D58" s="5">
        <f>100*0.9+82*0.1</f>
        <v>98.2</v>
      </c>
      <c r="E58" s="11">
        <f t="shared" si="0"/>
        <v>1.0911111111111111</v>
      </c>
    </row>
    <row r="59" spans="1:5" x14ac:dyDescent="0.25">
      <c r="A59" t="s">
        <v>36</v>
      </c>
      <c r="B59" t="s">
        <v>16</v>
      </c>
      <c r="C59" t="s">
        <v>178</v>
      </c>
      <c r="D59" s="5">
        <f>112</f>
        <v>112</v>
      </c>
      <c r="E59" s="11">
        <f t="shared" si="0"/>
        <v>1.2444444444444445</v>
      </c>
    </row>
    <row r="60" spans="1:5" x14ac:dyDescent="0.25">
      <c r="A60" t="s">
        <v>37</v>
      </c>
      <c r="B60" t="s">
        <v>16</v>
      </c>
      <c r="C60" t="s">
        <v>178</v>
      </c>
      <c r="D60" s="5">
        <f>120*1.1</f>
        <v>132</v>
      </c>
      <c r="E60" s="11">
        <f t="shared" si="0"/>
        <v>1.4666666666666666</v>
      </c>
    </row>
    <row r="61" spans="1:5" x14ac:dyDescent="0.25">
      <c r="A61" t="s">
        <v>40</v>
      </c>
      <c r="B61" t="s">
        <v>16</v>
      </c>
      <c r="C61" t="s">
        <v>178</v>
      </c>
      <c r="D61" s="5">
        <f>120-120*0.0152</f>
        <v>118.176</v>
      </c>
      <c r="E61" s="11">
        <f t="shared" si="0"/>
        <v>1.3130666666666666</v>
      </c>
    </row>
    <row r="62" spans="1:5" x14ac:dyDescent="0.25">
      <c r="A62" s="6" t="s">
        <v>210</v>
      </c>
      <c r="B62" s="6" t="s">
        <v>16</v>
      </c>
      <c r="C62" s="6" t="s">
        <v>178</v>
      </c>
      <c r="D62" s="7">
        <f>120+120*0.016</f>
        <v>121.92</v>
      </c>
      <c r="E62" s="11">
        <f t="shared" si="0"/>
        <v>1.3546666666666667</v>
      </c>
    </row>
    <row r="63" spans="1:5" x14ac:dyDescent="0.25">
      <c r="A63" s="1" t="s">
        <v>38</v>
      </c>
      <c r="B63" t="s">
        <v>16</v>
      </c>
      <c r="C63" t="s">
        <v>178</v>
      </c>
      <c r="D63" s="5">
        <f>120-120*0.017</f>
        <v>117.96</v>
      </c>
      <c r="E63" s="11">
        <f t="shared" si="0"/>
        <v>1.3106666666666666</v>
      </c>
    </row>
    <row r="64" spans="1:5" x14ac:dyDescent="0.25">
      <c r="A64" s="1" t="s">
        <v>195</v>
      </c>
      <c r="B64" t="s">
        <v>16</v>
      </c>
      <c r="C64" t="s">
        <v>178</v>
      </c>
      <c r="D64" s="5">
        <f>120-120*0.018</f>
        <v>117.84</v>
      </c>
      <c r="E64" s="11">
        <f t="shared" si="0"/>
        <v>1.3093333333333335</v>
      </c>
    </row>
    <row r="65" spans="1:5" x14ac:dyDescent="0.25">
      <c r="A65" s="8" t="s">
        <v>267</v>
      </c>
      <c r="B65" s="6" t="s">
        <v>16</v>
      </c>
      <c r="C65" s="6" t="s">
        <v>178</v>
      </c>
      <c r="D65" s="7">
        <f>120*1.11</f>
        <v>133.20000000000002</v>
      </c>
      <c r="E65" s="11">
        <f t="shared" si="0"/>
        <v>1.4800000000000002</v>
      </c>
    </row>
    <row r="66" spans="1:5" x14ac:dyDescent="0.25">
      <c r="A66" t="s">
        <v>41</v>
      </c>
      <c r="B66" t="s">
        <v>16</v>
      </c>
      <c r="C66" t="s">
        <v>178</v>
      </c>
      <c r="D66" s="5">
        <f>120*1.075</f>
        <v>129</v>
      </c>
      <c r="E66" s="11">
        <f t="shared" si="0"/>
        <v>1.4333333333333333</v>
      </c>
    </row>
    <row r="67" spans="1:5" x14ac:dyDescent="0.25">
      <c r="A67" t="s">
        <v>42</v>
      </c>
      <c r="B67" t="s">
        <v>16</v>
      </c>
      <c r="C67" t="s">
        <v>178</v>
      </c>
      <c r="D67" s="5">
        <f>100*0.9+144*0.1</f>
        <v>104.4</v>
      </c>
      <c r="E67" s="11">
        <f t="shared" ref="E67:E130" si="1">D67/90</f>
        <v>1.1600000000000001</v>
      </c>
    </row>
    <row r="68" spans="1:5" x14ac:dyDescent="0.25">
      <c r="A68" t="s">
        <v>43</v>
      </c>
      <c r="B68" t="s">
        <v>16</v>
      </c>
      <c r="C68" t="s">
        <v>178</v>
      </c>
      <c r="D68" s="5">
        <f>120*1.038</f>
        <v>124.56</v>
      </c>
      <c r="E68" s="11">
        <f t="shared" si="1"/>
        <v>1.3840000000000001</v>
      </c>
    </row>
    <row r="69" spans="1:5" x14ac:dyDescent="0.25">
      <c r="A69" t="s">
        <v>44</v>
      </c>
      <c r="B69" t="s">
        <v>16</v>
      </c>
      <c r="C69" t="s">
        <v>178</v>
      </c>
      <c r="D69" s="5">
        <f>120*0.97</f>
        <v>116.39999999999999</v>
      </c>
      <c r="E69" s="11">
        <f t="shared" si="1"/>
        <v>1.2933333333333332</v>
      </c>
    </row>
    <row r="70" spans="1:5" x14ac:dyDescent="0.25">
      <c r="A70" t="s">
        <v>45</v>
      </c>
      <c r="B70" t="s">
        <v>16</v>
      </c>
      <c r="C70" t="s">
        <v>178</v>
      </c>
      <c r="D70" s="5">
        <f>100*0.9+132*0.1</f>
        <v>103.2</v>
      </c>
      <c r="E70" s="11">
        <f t="shared" si="1"/>
        <v>1.1466666666666667</v>
      </c>
    </row>
    <row r="71" spans="1:5" x14ac:dyDescent="0.25">
      <c r="A71" t="s">
        <v>46</v>
      </c>
      <c r="B71" t="s">
        <v>10</v>
      </c>
      <c r="C71" t="s">
        <v>178</v>
      </c>
      <c r="D71" s="5">
        <f>146*0.96</f>
        <v>140.16</v>
      </c>
      <c r="E71" s="11">
        <f t="shared" si="1"/>
        <v>1.5573333333333332</v>
      </c>
    </row>
    <row r="72" spans="1:5" x14ac:dyDescent="0.25">
      <c r="A72" t="s">
        <v>47</v>
      </c>
      <c r="B72" t="s">
        <v>47</v>
      </c>
      <c r="C72" t="s">
        <v>179</v>
      </c>
      <c r="D72" s="5">
        <v>75</v>
      </c>
      <c r="E72" s="11">
        <f t="shared" si="1"/>
        <v>0.83333333333333337</v>
      </c>
    </row>
    <row r="73" spans="1:5" x14ac:dyDescent="0.25">
      <c r="A73" s="6" t="s">
        <v>207</v>
      </c>
      <c r="B73" s="6" t="s">
        <v>47</v>
      </c>
      <c r="C73" s="6" t="s">
        <v>179</v>
      </c>
      <c r="D73" s="7">
        <f>75*0.9+76*0.1</f>
        <v>75.099999999999994</v>
      </c>
      <c r="E73" s="11">
        <f t="shared" si="1"/>
        <v>0.83444444444444443</v>
      </c>
    </row>
    <row r="74" spans="1:5" x14ac:dyDescent="0.25">
      <c r="A74" t="s">
        <v>48</v>
      </c>
      <c r="B74" t="s">
        <v>48</v>
      </c>
      <c r="C74" t="s">
        <v>179</v>
      </c>
      <c r="D74" s="5">
        <f>76</f>
        <v>76</v>
      </c>
      <c r="E74" s="11">
        <f t="shared" si="1"/>
        <v>0.84444444444444444</v>
      </c>
    </row>
    <row r="75" spans="1:5" x14ac:dyDescent="0.25">
      <c r="A75" t="s">
        <v>50</v>
      </c>
      <c r="B75" t="s">
        <v>48</v>
      </c>
      <c r="C75" t="s">
        <v>179</v>
      </c>
      <c r="D75" s="5">
        <f>100*0.9+78*0.1</f>
        <v>97.8</v>
      </c>
      <c r="E75" s="11">
        <f t="shared" si="1"/>
        <v>1.0866666666666667</v>
      </c>
    </row>
    <row r="76" spans="1:5" x14ac:dyDescent="0.25">
      <c r="A76" t="s">
        <v>51</v>
      </c>
      <c r="B76" t="s">
        <v>48</v>
      </c>
      <c r="C76" t="s">
        <v>179</v>
      </c>
      <c r="D76" s="5">
        <f>76*0.9+146*0.1</f>
        <v>83</v>
      </c>
      <c r="E76" s="11">
        <f t="shared" si="1"/>
        <v>0.92222222222222228</v>
      </c>
    </row>
    <row r="77" spans="1:5" x14ac:dyDescent="0.25">
      <c r="A77" t="s">
        <v>52</v>
      </c>
      <c r="B77" t="s">
        <v>48</v>
      </c>
      <c r="C77" t="s">
        <v>179</v>
      </c>
      <c r="D77" s="5">
        <f>76*0.9+75*0.1</f>
        <v>75.900000000000006</v>
      </c>
      <c r="E77" s="11">
        <f t="shared" si="1"/>
        <v>0.84333333333333338</v>
      </c>
    </row>
    <row r="78" spans="1:5" x14ac:dyDescent="0.25">
      <c r="A78" t="s">
        <v>53</v>
      </c>
      <c r="B78" t="s">
        <v>48</v>
      </c>
      <c r="C78" t="s">
        <v>179</v>
      </c>
      <c r="D78" s="5">
        <f>76*0.96</f>
        <v>72.959999999999994</v>
      </c>
      <c r="E78" s="11">
        <f t="shared" si="1"/>
        <v>0.81066666666666665</v>
      </c>
    </row>
    <row r="79" spans="1:5" x14ac:dyDescent="0.25">
      <c r="A79" t="s">
        <v>54</v>
      </c>
      <c r="B79" t="s">
        <v>48</v>
      </c>
      <c r="C79" t="s">
        <v>179</v>
      </c>
      <c r="D79" s="5">
        <f>76*0.9+77*0.1</f>
        <v>76.100000000000009</v>
      </c>
      <c r="E79" s="11">
        <f t="shared" si="1"/>
        <v>0.84555555555555562</v>
      </c>
    </row>
    <row r="80" spans="1:5" x14ac:dyDescent="0.25">
      <c r="A80" t="s">
        <v>55</v>
      </c>
      <c r="B80" t="s">
        <v>48</v>
      </c>
      <c r="C80" t="s">
        <v>179</v>
      </c>
      <c r="D80" s="5">
        <f>76*0.9+79*0.1</f>
        <v>76.300000000000011</v>
      </c>
      <c r="E80" s="11">
        <f t="shared" si="1"/>
        <v>0.84777777777777785</v>
      </c>
    </row>
    <row r="81" spans="1:5" x14ac:dyDescent="0.25">
      <c r="A81" t="s">
        <v>56</v>
      </c>
      <c r="B81" t="s">
        <v>48</v>
      </c>
      <c r="C81" t="s">
        <v>179</v>
      </c>
      <c r="D81" s="5">
        <f>76*1.088</f>
        <v>82.688000000000002</v>
      </c>
      <c r="E81" s="11">
        <f t="shared" si="1"/>
        <v>0.91875555555555555</v>
      </c>
    </row>
    <row r="82" spans="1:5" x14ac:dyDescent="0.25">
      <c r="A82" t="s">
        <v>57</v>
      </c>
      <c r="B82" t="s">
        <v>48</v>
      </c>
      <c r="C82" t="s">
        <v>179</v>
      </c>
      <c r="D82" s="5">
        <f>76*0.94</f>
        <v>71.44</v>
      </c>
      <c r="E82" s="11">
        <f t="shared" si="1"/>
        <v>0.7937777777777778</v>
      </c>
    </row>
    <row r="83" spans="1:5" x14ac:dyDescent="0.25">
      <c r="A83" s="1" t="s">
        <v>58</v>
      </c>
      <c r="B83" t="s">
        <v>48</v>
      </c>
      <c r="C83" t="s">
        <v>179</v>
      </c>
      <c r="D83" s="5">
        <f>76*1.055</f>
        <v>80.179999999999993</v>
      </c>
      <c r="E83" s="11">
        <f t="shared" si="1"/>
        <v>0.89088888888888884</v>
      </c>
    </row>
    <row r="84" spans="1:5" x14ac:dyDescent="0.25">
      <c r="A84" t="s">
        <v>59</v>
      </c>
      <c r="B84" t="s">
        <v>48</v>
      </c>
      <c r="C84" t="s">
        <v>179</v>
      </c>
      <c r="D84" s="5">
        <f>76*1.04</f>
        <v>79.040000000000006</v>
      </c>
      <c r="E84" s="11">
        <f t="shared" si="1"/>
        <v>0.87822222222222224</v>
      </c>
    </row>
    <row r="85" spans="1:5" x14ac:dyDescent="0.25">
      <c r="A85" t="s">
        <v>202</v>
      </c>
      <c r="B85" t="s">
        <v>48</v>
      </c>
      <c r="C85" t="s">
        <v>179</v>
      </c>
      <c r="D85" s="5">
        <f>76*1.044</f>
        <v>79.344000000000008</v>
      </c>
      <c r="E85" s="11">
        <f t="shared" si="1"/>
        <v>0.88160000000000005</v>
      </c>
    </row>
    <row r="86" spans="1:5" x14ac:dyDescent="0.25">
      <c r="A86" t="s">
        <v>60</v>
      </c>
      <c r="B86" t="s">
        <v>48</v>
      </c>
      <c r="C86" t="s">
        <v>179</v>
      </c>
      <c r="D86" s="5">
        <f>76*1.06</f>
        <v>80.56</v>
      </c>
      <c r="E86" s="11">
        <f t="shared" si="1"/>
        <v>0.89511111111111119</v>
      </c>
    </row>
    <row r="87" spans="1:5" x14ac:dyDescent="0.25">
      <c r="A87" t="s">
        <v>188</v>
      </c>
      <c r="B87" t="s">
        <v>48</v>
      </c>
      <c r="C87" t="s">
        <v>179</v>
      </c>
      <c r="D87" s="5">
        <f>76*0.9+75*0.1</f>
        <v>75.900000000000006</v>
      </c>
      <c r="E87" s="11">
        <f t="shared" si="1"/>
        <v>0.84333333333333338</v>
      </c>
    </row>
    <row r="88" spans="1:5" x14ac:dyDescent="0.25">
      <c r="A88" t="s">
        <v>62</v>
      </c>
      <c r="B88" t="s">
        <v>48</v>
      </c>
      <c r="C88" t="s">
        <v>179</v>
      </c>
      <c r="D88" s="5">
        <v>76</v>
      </c>
      <c r="E88" s="11">
        <f t="shared" si="1"/>
        <v>0.84444444444444444</v>
      </c>
    </row>
    <row r="89" spans="1:5" x14ac:dyDescent="0.25">
      <c r="A89" t="s">
        <v>61</v>
      </c>
      <c r="B89" t="s">
        <v>48</v>
      </c>
      <c r="C89" t="s">
        <v>179</v>
      </c>
      <c r="D89" s="5">
        <f>76*1.038</f>
        <v>78.888000000000005</v>
      </c>
      <c r="E89" s="11">
        <f t="shared" si="1"/>
        <v>0.87653333333333339</v>
      </c>
    </row>
    <row r="90" spans="1:5" x14ac:dyDescent="0.25">
      <c r="A90" t="s">
        <v>63</v>
      </c>
      <c r="B90" t="s">
        <v>48</v>
      </c>
      <c r="C90" t="s">
        <v>179</v>
      </c>
      <c r="D90" s="5">
        <f>76*0.9+81*0.1</f>
        <v>76.5</v>
      </c>
      <c r="E90" s="11">
        <f t="shared" si="1"/>
        <v>0.85</v>
      </c>
    </row>
    <row r="91" spans="1:5" x14ac:dyDescent="0.25">
      <c r="A91" t="s">
        <v>64</v>
      </c>
      <c r="B91" t="s">
        <v>48</v>
      </c>
      <c r="C91" t="s">
        <v>179</v>
      </c>
      <c r="D91" s="5">
        <f>76*0.97</f>
        <v>73.72</v>
      </c>
      <c r="E91" s="11">
        <f t="shared" si="1"/>
        <v>0.81911111111111112</v>
      </c>
    </row>
    <row r="92" spans="1:5" x14ac:dyDescent="0.25">
      <c r="A92" t="s">
        <v>65</v>
      </c>
      <c r="B92" t="s">
        <v>48</v>
      </c>
      <c r="C92" t="s">
        <v>179</v>
      </c>
      <c r="D92" s="5">
        <f>76*0.9+86*0.1</f>
        <v>77</v>
      </c>
      <c r="E92" s="11">
        <f t="shared" si="1"/>
        <v>0.85555555555555551</v>
      </c>
    </row>
    <row r="93" spans="1:5" x14ac:dyDescent="0.25">
      <c r="A93" s="6" t="s">
        <v>220</v>
      </c>
      <c r="B93" s="6" t="s">
        <v>48</v>
      </c>
      <c r="C93" s="6" t="s">
        <v>179</v>
      </c>
      <c r="D93" s="7">
        <f>(76*0.9+86*0.1)*1.0555</f>
        <v>81.273500000000013</v>
      </c>
      <c r="E93" s="11">
        <f t="shared" si="1"/>
        <v>0.90303888888888906</v>
      </c>
    </row>
    <row r="94" spans="1:5" x14ac:dyDescent="0.25">
      <c r="A94" s="1" t="s">
        <v>49</v>
      </c>
      <c r="B94" s="1" t="s">
        <v>48</v>
      </c>
      <c r="C94" t="s">
        <v>179</v>
      </c>
      <c r="D94" s="5">
        <f>76*0.9+78*0.1</f>
        <v>76.2</v>
      </c>
      <c r="E94" s="11">
        <f t="shared" si="1"/>
        <v>0.84666666666666668</v>
      </c>
    </row>
    <row r="95" spans="1:5" x14ac:dyDescent="0.25">
      <c r="A95" t="s">
        <v>66</v>
      </c>
      <c r="B95" t="s">
        <v>48</v>
      </c>
      <c r="C95" t="s">
        <v>179</v>
      </c>
      <c r="D95" s="5">
        <f>76*0.982</f>
        <v>74.632000000000005</v>
      </c>
      <c r="E95" s="11">
        <f t="shared" si="1"/>
        <v>0.82924444444444445</v>
      </c>
    </row>
    <row r="96" spans="1:5" x14ac:dyDescent="0.25">
      <c r="A96" s="1" t="s">
        <v>67</v>
      </c>
      <c r="B96" t="s">
        <v>48</v>
      </c>
      <c r="C96" t="s">
        <v>179</v>
      </c>
      <c r="D96" s="5">
        <f>76*0.9+82*0.1</f>
        <v>76.600000000000009</v>
      </c>
      <c r="E96" s="11">
        <f t="shared" si="1"/>
        <v>0.85111111111111115</v>
      </c>
    </row>
    <row r="97" spans="1:5" x14ac:dyDescent="0.25">
      <c r="A97" t="s">
        <v>68</v>
      </c>
      <c r="B97" t="s">
        <v>48</v>
      </c>
      <c r="C97" t="s">
        <v>179</v>
      </c>
      <c r="D97" s="5">
        <v>84</v>
      </c>
      <c r="E97" s="11">
        <f t="shared" si="1"/>
        <v>0.93333333333333335</v>
      </c>
    </row>
    <row r="98" spans="1:5" x14ac:dyDescent="0.25">
      <c r="A98" s="1" t="s">
        <v>69</v>
      </c>
      <c r="B98" t="s">
        <v>48</v>
      </c>
      <c r="C98" t="s">
        <v>179</v>
      </c>
      <c r="D98" s="5">
        <f>76*1.1</f>
        <v>83.600000000000009</v>
      </c>
      <c r="E98" s="11">
        <f t="shared" si="1"/>
        <v>0.92888888888888899</v>
      </c>
    </row>
    <row r="99" spans="1:5" x14ac:dyDescent="0.25">
      <c r="A99" s="8" t="s">
        <v>249</v>
      </c>
      <c r="B99" s="6" t="s">
        <v>48</v>
      </c>
      <c r="C99" s="6" t="s">
        <v>179</v>
      </c>
      <c r="D99" s="7">
        <f>76*1.017</f>
        <v>77.291999999999987</v>
      </c>
      <c r="E99" s="11">
        <f t="shared" si="1"/>
        <v>0.8587999999999999</v>
      </c>
    </row>
    <row r="100" spans="1:5" x14ac:dyDescent="0.25">
      <c r="A100" t="s">
        <v>70</v>
      </c>
      <c r="B100" t="s">
        <v>48</v>
      </c>
      <c r="C100" t="s">
        <v>179</v>
      </c>
      <c r="D100" s="5">
        <f>76-76*0.018</f>
        <v>74.632000000000005</v>
      </c>
      <c r="E100" s="11">
        <f t="shared" si="1"/>
        <v>0.82924444444444445</v>
      </c>
    </row>
    <row r="101" spans="1:5" x14ac:dyDescent="0.25">
      <c r="A101" t="s">
        <v>197</v>
      </c>
      <c r="B101" t="s">
        <v>48</v>
      </c>
      <c r="C101" t="s">
        <v>179</v>
      </c>
      <c r="D101" s="5">
        <f>76*1.075</f>
        <v>81.7</v>
      </c>
      <c r="E101" s="11">
        <f t="shared" si="1"/>
        <v>0.90777777777777779</v>
      </c>
    </row>
    <row r="102" spans="1:5" x14ac:dyDescent="0.25">
      <c r="A102" t="s">
        <v>174</v>
      </c>
      <c r="B102" t="s">
        <v>48</v>
      </c>
      <c r="C102" t="s">
        <v>179</v>
      </c>
      <c r="D102" s="5">
        <f>(76*1.075)*0.9+86*0.1</f>
        <v>82.13</v>
      </c>
      <c r="E102" s="11">
        <f t="shared" si="1"/>
        <v>0.91255555555555545</v>
      </c>
    </row>
    <row r="103" spans="1:5" x14ac:dyDescent="0.25">
      <c r="A103" s="6" t="s">
        <v>269</v>
      </c>
      <c r="B103" s="6" t="s">
        <v>48</v>
      </c>
      <c r="C103" s="6" t="s">
        <v>179</v>
      </c>
      <c r="D103" s="7">
        <f>76*0.98</f>
        <v>74.48</v>
      </c>
      <c r="E103" s="11">
        <f t="shared" si="1"/>
        <v>0.8275555555555556</v>
      </c>
    </row>
    <row r="104" spans="1:5" x14ac:dyDescent="0.25">
      <c r="A104" s="1" t="s">
        <v>71</v>
      </c>
      <c r="B104" t="s">
        <v>48</v>
      </c>
      <c r="C104" t="s">
        <v>179</v>
      </c>
      <c r="D104" s="5">
        <f>76*0.9+40*0.1</f>
        <v>72.400000000000006</v>
      </c>
      <c r="E104" s="11">
        <f t="shared" si="1"/>
        <v>0.80444444444444452</v>
      </c>
    </row>
    <row r="105" spans="1:5" x14ac:dyDescent="0.25">
      <c r="A105" t="s">
        <v>170</v>
      </c>
      <c r="B105" t="s">
        <v>48</v>
      </c>
      <c r="C105" t="s">
        <v>179</v>
      </c>
      <c r="D105" s="5">
        <f>76</f>
        <v>76</v>
      </c>
      <c r="E105" s="11">
        <f t="shared" si="1"/>
        <v>0.84444444444444444</v>
      </c>
    </row>
    <row r="106" spans="1:5" x14ac:dyDescent="0.25">
      <c r="A106" t="s">
        <v>72</v>
      </c>
      <c r="B106" t="s">
        <v>48</v>
      </c>
      <c r="C106" t="s">
        <v>179</v>
      </c>
      <c r="D106" s="5">
        <f>76*1.038</f>
        <v>78.888000000000005</v>
      </c>
      <c r="E106" s="11">
        <f t="shared" si="1"/>
        <v>0.87653333333333339</v>
      </c>
    </row>
    <row r="107" spans="1:5" x14ac:dyDescent="0.25">
      <c r="A107" t="s">
        <v>73</v>
      </c>
      <c r="B107" t="s">
        <v>48</v>
      </c>
      <c r="C107" t="s">
        <v>179</v>
      </c>
      <c r="D107" s="5">
        <f>76*0.9+132*0.1</f>
        <v>81.600000000000009</v>
      </c>
      <c r="E107" s="11">
        <f t="shared" si="1"/>
        <v>0.90666666666666673</v>
      </c>
    </row>
    <row r="108" spans="1:5" x14ac:dyDescent="0.25">
      <c r="A108" s="1" t="s">
        <v>74</v>
      </c>
      <c r="B108" t="s">
        <v>74</v>
      </c>
      <c r="C108" t="s">
        <v>179</v>
      </c>
      <c r="D108" s="5">
        <f>80</f>
        <v>80</v>
      </c>
      <c r="E108" s="11">
        <f t="shared" si="1"/>
        <v>0.88888888888888884</v>
      </c>
    </row>
    <row r="109" spans="1:5" x14ac:dyDescent="0.25">
      <c r="A109" t="s">
        <v>75</v>
      </c>
      <c r="B109" t="s">
        <v>74</v>
      </c>
      <c r="C109" t="s">
        <v>179</v>
      </c>
      <c r="D109" s="5">
        <f>80*0.9+78*0.1</f>
        <v>79.8</v>
      </c>
      <c r="E109" s="11">
        <f t="shared" si="1"/>
        <v>0.8866666666666666</v>
      </c>
    </row>
    <row r="110" spans="1:5" x14ac:dyDescent="0.25">
      <c r="A110" s="1" t="s">
        <v>192</v>
      </c>
      <c r="B110" t="s">
        <v>74</v>
      </c>
      <c r="C110" t="s">
        <v>179</v>
      </c>
      <c r="D110" s="5">
        <v>80</v>
      </c>
      <c r="E110" s="11">
        <f t="shared" si="1"/>
        <v>0.88888888888888884</v>
      </c>
    </row>
    <row r="111" spans="1:5" x14ac:dyDescent="0.25">
      <c r="A111" t="s">
        <v>76</v>
      </c>
      <c r="B111" t="s">
        <v>74</v>
      </c>
      <c r="C111" t="s">
        <v>179</v>
      </c>
      <c r="D111" s="5">
        <f>80*0.9+75*0.1</f>
        <v>79.5</v>
      </c>
      <c r="E111" s="11">
        <f t="shared" si="1"/>
        <v>0.8833333333333333</v>
      </c>
    </row>
    <row r="112" spans="1:5" x14ac:dyDescent="0.25">
      <c r="A112" s="6" t="s">
        <v>208</v>
      </c>
      <c r="B112" s="6" t="s">
        <v>74</v>
      </c>
      <c r="C112" s="6" t="s">
        <v>179</v>
      </c>
      <c r="D112" s="7">
        <f>80*0.96</f>
        <v>76.8</v>
      </c>
      <c r="E112" s="11">
        <f t="shared" si="1"/>
        <v>0.85333333333333328</v>
      </c>
    </row>
    <row r="113" spans="1:5" x14ac:dyDescent="0.25">
      <c r="A113" t="s">
        <v>77</v>
      </c>
      <c r="B113" t="s">
        <v>74</v>
      </c>
      <c r="C113" t="s">
        <v>179</v>
      </c>
      <c r="D113" s="5">
        <f>80*1.09</f>
        <v>87.2</v>
      </c>
      <c r="E113" s="11">
        <f t="shared" si="1"/>
        <v>0.96888888888888891</v>
      </c>
    </row>
    <row r="114" spans="1:5" x14ac:dyDescent="0.25">
      <c r="A114" t="s">
        <v>78</v>
      </c>
      <c r="B114" t="s">
        <v>74</v>
      </c>
      <c r="C114" t="s">
        <v>179</v>
      </c>
      <c r="D114" s="5">
        <f>80*1.055</f>
        <v>84.399999999999991</v>
      </c>
      <c r="E114" s="11">
        <f t="shared" si="1"/>
        <v>0.93777777777777771</v>
      </c>
    </row>
    <row r="115" spans="1:5" x14ac:dyDescent="0.25">
      <c r="A115" s="6" t="s">
        <v>219</v>
      </c>
      <c r="B115" s="6" t="s">
        <v>74</v>
      </c>
      <c r="C115" s="6" t="s">
        <v>179</v>
      </c>
      <c r="D115" s="7">
        <f>80*1.044</f>
        <v>83.52000000000001</v>
      </c>
      <c r="E115" s="11">
        <f t="shared" si="1"/>
        <v>0.92800000000000016</v>
      </c>
    </row>
    <row r="116" spans="1:5" x14ac:dyDescent="0.25">
      <c r="A116" t="s">
        <v>199</v>
      </c>
      <c r="B116" t="s">
        <v>74</v>
      </c>
      <c r="C116" t="s">
        <v>179</v>
      </c>
      <c r="D116" s="5">
        <f>80*0.9+79*0.1</f>
        <v>79.900000000000006</v>
      </c>
      <c r="E116" s="11">
        <f t="shared" si="1"/>
        <v>0.88777777777777789</v>
      </c>
    </row>
    <row r="117" spans="1:5" x14ac:dyDescent="0.25">
      <c r="A117" t="s">
        <v>79</v>
      </c>
      <c r="B117" t="s">
        <v>74</v>
      </c>
      <c r="C117" t="s">
        <v>179</v>
      </c>
      <c r="D117" s="5">
        <f>80*0.9+81*0.1</f>
        <v>80.099999999999994</v>
      </c>
      <c r="E117" s="11">
        <f t="shared" si="1"/>
        <v>0.8899999999999999</v>
      </c>
    </row>
    <row r="118" spans="1:5" x14ac:dyDescent="0.25">
      <c r="A118" t="s">
        <v>80</v>
      </c>
      <c r="B118" t="s">
        <v>74</v>
      </c>
      <c r="C118" t="s">
        <v>179</v>
      </c>
      <c r="D118" s="5">
        <f>80*0.97</f>
        <v>77.599999999999994</v>
      </c>
      <c r="E118" s="11">
        <f t="shared" si="1"/>
        <v>0.86222222222222211</v>
      </c>
    </row>
    <row r="119" spans="1:5" x14ac:dyDescent="0.25">
      <c r="A119" t="s">
        <v>81</v>
      </c>
      <c r="B119" t="s">
        <v>74</v>
      </c>
      <c r="C119" t="s">
        <v>179</v>
      </c>
      <c r="D119" s="5">
        <f>80*0.75+86*0.1</f>
        <v>68.599999999999994</v>
      </c>
      <c r="E119" s="11">
        <f t="shared" si="1"/>
        <v>0.76222222222222213</v>
      </c>
    </row>
    <row r="120" spans="1:5" x14ac:dyDescent="0.25">
      <c r="A120" t="s">
        <v>167</v>
      </c>
      <c r="B120" t="s">
        <v>74</v>
      </c>
      <c r="C120" t="s">
        <v>179</v>
      </c>
      <c r="D120" s="5">
        <f>80*0.94</f>
        <v>75.199999999999989</v>
      </c>
      <c r="E120" s="11">
        <f t="shared" si="1"/>
        <v>0.83555555555555538</v>
      </c>
    </row>
    <row r="121" spans="1:5" x14ac:dyDescent="0.25">
      <c r="A121" s="6" t="s">
        <v>228</v>
      </c>
      <c r="B121" s="6" t="s">
        <v>74</v>
      </c>
      <c r="C121" s="6" t="s">
        <v>179</v>
      </c>
      <c r="D121" s="7">
        <f>80*0.75+60*0.1</f>
        <v>66</v>
      </c>
      <c r="E121" s="11">
        <f t="shared" si="1"/>
        <v>0.73333333333333328</v>
      </c>
    </row>
    <row r="122" spans="1:5" x14ac:dyDescent="0.25">
      <c r="A122" s="6" t="s">
        <v>227</v>
      </c>
      <c r="B122" s="6" t="s">
        <v>74</v>
      </c>
      <c r="C122" s="6" t="s">
        <v>179</v>
      </c>
      <c r="D122" s="7">
        <f>80*0.9+82*0.1</f>
        <v>80.2</v>
      </c>
      <c r="E122" s="11">
        <f t="shared" si="1"/>
        <v>0.89111111111111119</v>
      </c>
    </row>
    <row r="123" spans="1:5" x14ac:dyDescent="0.25">
      <c r="A123" t="s">
        <v>82</v>
      </c>
      <c r="B123" t="s">
        <v>74</v>
      </c>
      <c r="C123" t="s">
        <v>179</v>
      </c>
      <c r="D123" s="5">
        <f>80*0.9+78*0.1</f>
        <v>79.8</v>
      </c>
      <c r="E123" s="11">
        <f t="shared" si="1"/>
        <v>0.8866666666666666</v>
      </c>
    </row>
    <row r="124" spans="1:5" x14ac:dyDescent="0.25">
      <c r="A124" s="6" t="s">
        <v>217</v>
      </c>
      <c r="B124" s="6" t="s">
        <v>74</v>
      </c>
      <c r="C124" s="6" t="s">
        <v>179</v>
      </c>
      <c r="D124" s="7">
        <f>80*1.065</f>
        <v>85.199999999999989</v>
      </c>
      <c r="E124" s="11">
        <f t="shared" si="1"/>
        <v>0.94666666666666655</v>
      </c>
    </row>
    <row r="125" spans="1:5" x14ac:dyDescent="0.25">
      <c r="A125" t="s">
        <v>83</v>
      </c>
      <c r="B125" t="s">
        <v>74</v>
      </c>
      <c r="C125" t="s">
        <v>179</v>
      </c>
      <c r="D125" s="5">
        <f>80*0.95</f>
        <v>76</v>
      </c>
      <c r="E125" s="11">
        <f t="shared" si="1"/>
        <v>0.84444444444444444</v>
      </c>
    </row>
    <row r="126" spans="1:5" x14ac:dyDescent="0.25">
      <c r="A126" s="6" t="s">
        <v>242</v>
      </c>
      <c r="B126" s="6" t="s">
        <v>74</v>
      </c>
      <c r="C126" s="6" t="s">
        <v>179</v>
      </c>
      <c r="D126" s="7">
        <f>(80*1.075)*0.9+120*0.1</f>
        <v>89.4</v>
      </c>
      <c r="E126" s="11">
        <f t="shared" si="1"/>
        <v>0.9933333333333334</v>
      </c>
    </row>
    <row r="127" spans="1:5" x14ac:dyDescent="0.25">
      <c r="A127" t="s">
        <v>84</v>
      </c>
      <c r="B127" t="s">
        <v>74</v>
      </c>
      <c r="C127" t="s">
        <v>179</v>
      </c>
      <c r="D127" s="5">
        <f>80*0.9+40*0.1</f>
        <v>76</v>
      </c>
      <c r="E127" s="11">
        <f t="shared" si="1"/>
        <v>0.84444444444444444</v>
      </c>
    </row>
    <row r="128" spans="1:5" x14ac:dyDescent="0.25">
      <c r="A128" t="s">
        <v>85</v>
      </c>
      <c r="B128" t="s">
        <v>74</v>
      </c>
      <c r="C128" t="s">
        <v>179</v>
      </c>
      <c r="D128" s="5">
        <f>80*1.038</f>
        <v>83.04</v>
      </c>
      <c r="E128" s="11">
        <f t="shared" si="1"/>
        <v>0.92266666666666675</v>
      </c>
    </row>
    <row r="129" spans="1:5" x14ac:dyDescent="0.25">
      <c r="A129" s="6" t="s">
        <v>204</v>
      </c>
      <c r="B129" s="6" t="s">
        <v>48</v>
      </c>
      <c r="C129" s="6" t="s">
        <v>179</v>
      </c>
      <c r="D129" s="7">
        <f>76*1.2</f>
        <v>91.2</v>
      </c>
      <c r="E129" s="11">
        <f t="shared" si="1"/>
        <v>1.0133333333333334</v>
      </c>
    </row>
    <row r="130" spans="1:5" x14ac:dyDescent="0.25">
      <c r="A130" t="s">
        <v>189</v>
      </c>
      <c r="B130" t="s">
        <v>190</v>
      </c>
      <c r="C130" t="s">
        <v>179</v>
      </c>
      <c r="D130" s="5">
        <v>74</v>
      </c>
      <c r="E130" s="11">
        <f t="shared" si="1"/>
        <v>0.82222222222222219</v>
      </c>
    </row>
    <row r="131" spans="1:5" x14ac:dyDescent="0.25">
      <c r="A131" t="s">
        <v>87</v>
      </c>
      <c r="B131" t="s">
        <v>86</v>
      </c>
      <c r="C131" t="s">
        <v>179</v>
      </c>
      <c r="D131" s="5">
        <f>74*0.9+79*0.1</f>
        <v>74.500000000000014</v>
      </c>
      <c r="E131" s="11">
        <f t="shared" ref="E131:E194" si="2">D131/90</f>
        <v>0.82777777777777795</v>
      </c>
    </row>
    <row r="132" spans="1:5" x14ac:dyDescent="0.25">
      <c r="A132" t="s">
        <v>88</v>
      </c>
      <c r="B132" t="s">
        <v>88</v>
      </c>
      <c r="C132" t="s">
        <v>179</v>
      </c>
      <c r="D132" s="5">
        <f>77</f>
        <v>77</v>
      </c>
      <c r="E132" s="11">
        <f t="shared" si="2"/>
        <v>0.85555555555555551</v>
      </c>
    </row>
    <row r="133" spans="1:5" x14ac:dyDescent="0.25">
      <c r="A133" s="6" t="s">
        <v>240</v>
      </c>
      <c r="B133" s="6" t="s">
        <v>88</v>
      </c>
      <c r="C133" s="6" t="s">
        <v>179</v>
      </c>
      <c r="D133" s="7">
        <f>77*0.9+78*0.1</f>
        <v>77.099999999999994</v>
      </c>
      <c r="E133" s="11">
        <f t="shared" si="2"/>
        <v>0.85666666666666658</v>
      </c>
    </row>
    <row r="134" spans="1:5" x14ac:dyDescent="0.25">
      <c r="A134" t="s">
        <v>89</v>
      </c>
      <c r="B134" t="s">
        <v>88</v>
      </c>
      <c r="C134" t="s">
        <v>179</v>
      </c>
      <c r="D134" s="5">
        <f>77*1.055</f>
        <v>81.234999999999999</v>
      </c>
      <c r="E134" s="11">
        <f t="shared" si="2"/>
        <v>0.90261111111111114</v>
      </c>
    </row>
    <row r="135" spans="1:5" x14ac:dyDescent="0.25">
      <c r="A135" t="s">
        <v>90</v>
      </c>
      <c r="B135" t="s">
        <v>88</v>
      </c>
      <c r="C135" t="s">
        <v>179</v>
      </c>
      <c r="D135" s="5">
        <f>77*0.9+40*0.1</f>
        <v>73.3</v>
      </c>
      <c r="E135" s="11">
        <f t="shared" si="2"/>
        <v>0.81444444444444442</v>
      </c>
    </row>
    <row r="136" spans="1:5" x14ac:dyDescent="0.25">
      <c r="A136" s="6" t="s">
        <v>258</v>
      </c>
      <c r="B136" s="6" t="s">
        <v>88</v>
      </c>
      <c r="C136" s="6" t="s">
        <v>179</v>
      </c>
      <c r="D136" s="7">
        <f>77*0.93</f>
        <v>71.61</v>
      </c>
      <c r="E136" s="11">
        <f t="shared" si="2"/>
        <v>0.79566666666666663</v>
      </c>
    </row>
    <row r="137" spans="1:5" x14ac:dyDescent="0.25">
      <c r="A137" s="6" t="s">
        <v>253</v>
      </c>
      <c r="B137" s="6" t="s">
        <v>86</v>
      </c>
      <c r="C137" s="6" t="s">
        <v>179</v>
      </c>
      <c r="D137" s="7">
        <f>79*0.985</f>
        <v>77.814999999999998</v>
      </c>
      <c r="E137" s="11">
        <f t="shared" si="2"/>
        <v>0.86461111111111111</v>
      </c>
    </row>
    <row r="138" spans="1:5" x14ac:dyDescent="0.25">
      <c r="A138" s="6" t="s">
        <v>254</v>
      </c>
      <c r="B138" s="6" t="s">
        <v>86</v>
      </c>
      <c r="C138" s="6" t="s">
        <v>179</v>
      </c>
      <c r="D138" s="7">
        <f>(79*0.98)*1.04</f>
        <v>80.516800000000003</v>
      </c>
      <c r="E138" s="11">
        <f t="shared" si="2"/>
        <v>0.89463111111111115</v>
      </c>
    </row>
    <row r="139" spans="1:5" x14ac:dyDescent="0.25">
      <c r="A139" t="s">
        <v>86</v>
      </c>
      <c r="B139" t="s">
        <v>86</v>
      </c>
      <c r="C139" t="s">
        <v>179</v>
      </c>
      <c r="D139" s="5">
        <f>79</f>
        <v>79</v>
      </c>
      <c r="E139" s="11">
        <f t="shared" si="2"/>
        <v>0.87777777777777777</v>
      </c>
    </row>
    <row r="140" spans="1:5" x14ac:dyDescent="0.25">
      <c r="A140" t="s">
        <v>91</v>
      </c>
      <c r="B140" t="s">
        <v>86</v>
      </c>
      <c r="C140" t="s">
        <v>179</v>
      </c>
      <c r="D140" s="5">
        <f>79*1.018</f>
        <v>80.421999999999997</v>
      </c>
      <c r="E140" s="11">
        <f t="shared" si="2"/>
        <v>0.89357777777777769</v>
      </c>
    </row>
    <row r="141" spans="1:5" x14ac:dyDescent="0.25">
      <c r="A141" t="s">
        <v>92</v>
      </c>
      <c r="B141" t="s">
        <v>92</v>
      </c>
      <c r="C141" t="s">
        <v>178</v>
      </c>
      <c r="D141" s="5">
        <v>128</v>
      </c>
      <c r="E141" s="11">
        <f t="shared" si="2"/>
        <v>1.4222222222222223</v>
      </c>
    </row>
    <row r="142" spans="1:5" x14ac:dyDescent="0.25">
      <c r="A142" t="s">
        <v>93</v>
      </c>
      <c r="B142" t="s">
        <v>92</v>
      </c>
      <c r="C142" t="s">
        <v>178</v>
      </c>
      <c r="D142" s="5">
        <f>128*1.1</f>
        <v>140.80000000000001</v>
      </c>
      <c r="E142" s="11">
        <f t="shared" si="2"/>
        <v>1.5644444444444445</v>
      </c>
    </row>
    <row r="143" spans="1:5" x14ac:dyDescent="0.25">
      <c r="A143" s="6" t="s">
        <v>264</v>
      </c>
      <c r="B143" s="6" t="s">
        <v>146</v>
      </c>
      <c r="C143" s="6" t="s">
        <v>178</v>
      </c>
      <c r="D143" s="7">
        <f>110*1.1</f>
        <v>121.00000000000001</v>
      </c>
      <c r="E143" s="11">
        <f t="shared" si="2"/>
        <v>1.3444444444444446</v>
      </c>
    </row>
    <row r="144" spans="1:5" x14ac:dyDescent="0.25">
      <c r="A144" t="s">
        <v>94</v>
      </c>
      <c r="B144" t="s">
        <v>146</v>
      </c>
      <c r="C144" t="s">
        <v>178</v>
      </c>
      <c r="D144" s="5">
        <v>110</v>
      </c>
      <c r="E144" s="11">
        <f t="shared" si="2"/>
        <v>1.2222222222222223</v>
      </c>
    </row>
    <row r="145" spans="1:5" x14ac:dyDescent="0.25">
      <c r="A145" t="s">
        <v>193</v>
      </c>
      <c r="B145" t="s">
        <v>146</v>
      </c>
      <c r="C145" t="s">
        <v>178</v>
      </c>
      <c r="D145" s="5">
        <f>110*0.96</f>
        <v>105.6</v>
      </c>
      <c r="E145" s="11">
        <f t="shared" si="2"/>
        <v>1.1733333333333333</v>
      </c>
    </row>
    <row r="146" spans="1:5" x14ac:dyDescent="0.25">
      <c r="A146" s="6" t="s">
        <v>235</v>
      </c>
      <c r="B146" s="6" t="s">
        <v>146</v>
      </c>
      <c r="C146" s="6" t="s">
        <v>178</v>
      </c>
      <c r="D146" s="7">
        <f>110*0.9+92*0.1</f>
        <v>108.2</v>
      </c>
      <c r="E146" s="11">
        <f t="shared" si="2"/>
        <v>1.2022222222222223</v>
      </c>
    </row>
    <row r="147" spans="1:5" x14ac:dyDescent="0.25">
      <c r="A147" t="s">
        <v>95</v>
      </c>
      <c r="B147" t="s">
        <v>95</v>
      </c>
      <c r="C147" t="s">
        <v>179</v>
      </c>
      <c r="D147" s="5">
        <v>81</v>
      </c>
      <c r="E147" s="11">
        <f t="shared" si="2"/>
        <v>0.9</v>
      </c>
    </row>
    <row r="148" spans="1:5" x14ac:dyDescent="0.25">
      <c r="A148" s="6" t="s">
        <v>230</v>
      </c>
      <c r="B148" s="6" t="s">
        <v>95</v>
      </c>
      <c r="C148" s="6" t="s">
        <v>179</v>
      </c>
      <c r="D148" s="7">
        <f>81*1.055</f>
        <v>85.454999999999998</v>
      </c>
      <c r="E148" s="11">
        <f t="shared" si="2"/>
        <v>0.94950000000000001</v>
      </c>
    </row>
    <row r="149" spans="1:5" x14ac:dyDescent="0.25">
      <c r="A149" t="s">
        <v>96</v>
      </c>
      <c r="B149" t="s">
        <v>96</v>
      </c>
      <c r="C149" t="s">
        <v>178</v>
      </c>
      <c r="D149" s="5">
        <v>148</v>
      </c>
      <c r="E149" s="11">
        <f t="shared" si="2"/>
        <v>1.6444444444444444</v>
      </c>
    </row>
    <row r="150" spans="1:5" x14ac:dyDescent="0.25">
      <c r="A150" s="6" t="s">
        <v>247</v>
      </c>
      <c r="B150" s="6" t="s">
        <v>96</v>
      </c>
      <c r="C150" s="6" t="s">
        <v>178</v>
      </c>
      <c r="D150" s="7">
        <v>149</v>
      </c>
      <c r="E150" s="11">
        <f t="shared" si="2"/>
        <v>1.6555555555555554</v>
      </c>
    </row>
    <row r="151" spans="1:5" x14ac:dyDescent="0.25">
      <c r="A151" s="6" t="s">
        <v>246</v>
      </c>
      <c r="B151" s="6" t="s">
        <v>16</v>
      </c>
      <c r="C151" s="6" t="s">
        <v>178</v>
      </c>
      <c r="D151" s="7">
        <v>120</v>
      </c>
      <c r="E151" s="11">
        <f t="shared" si="2"/>
        <v>1.3333333333333333</v>
      </c>
    </row>
    <row r="152" spans="1:5" x14ac:dyDescent="0.25">
      <c r="A152" t="s">
        <v>97</v>
      </c>
      <c r="B152" t="s">
        <v>97</v>
      </c>
      <c r="C152" t="s">
        <v>179</v>
      </c>
      <c r="D152" s="5">
        <v>92</v>
      </c>
      <c r="E152" s="11">
        <f t="shared" si="2"/>
        <v>1.0222222222222221</v>
      </c>
    </row>
    <row r="153" spans="1:5" x14ac:dyDescent="0.25">
      <c r="A153" t="s">
        <v>98</v>
      </c>
      <c r="B153" t="s">
        <v>16</v>
      </c>
      <c r="C153" t="s">
        <v>178</v>
      </c>
      <c r="D153" s="5">
        <f>92*0.9+120*0.1</f>
        <v>94.8</v>
      </c>
      <c r="E153" s="11">
        <f t="shared" si="2"/>
        <v>1.0533333333333332</v>
      </c>
    </row>
    <row r="154" spans="1:5" x14ac:dyDescent="0.25">
      <c r="A154" t="s">
        <v>99</v>
      </c>
      <c r="B154" t="s">
        <v>99</v>
      </c>
      <c r="C154" t="s">
        <v>177</v>
      </c>
      <c r="D154" s="5">
        <v>32</v>
      </c>
      <c r="E154" s="11">
        <f t="shared" si="2"/>
        <v>0.35555555555555557</v>
      </c>
    </row>
    <row r="155" spans="1:5" x14ac:dyDescent="0.25">
      <c r="A155" t="s">
        <v>100</v>
      </c>
      <c r="B155" t="s">
        <v>100</v>
      </c>
      <c r="C155" t="s">
        <v>179</v>
      </c>
      <c r="D155" s="5">
        <v>86</v>
      </c>
      <c r="E155" s="11">
        <f t="shared" si="2"/>
        <v>0.9555555555555556</v>
      </c>
    </row>
    <row r="156" spans="1:5" x14ac:dyDescent="0.25">
      <c r="A156" t="s">
        <v>169</v>
      </c>
      <c r="B156" t="s">
        <v>169</v>
      </c>
      <c r="C156" t="s">
        <v>179</v>
      </c>
      <c r="D156" s="5">
        <v>78.5</v>
      </c>
      <c r="E156" s="11">
        <f t="shared" si="2"/>
        <v>0.87222222222222223</v>
      </c>
    </row>
    <row r="157" spans="1:5" x14ac:dyDescent="0.25">
      <c r="A157" t="s">
        <v>184</v>
      </c>
      <c r="B157" t="s">
        <v>128</v>
      </c>
      <c r="C157" t="s">
        <v>177</v>
      </c>
      <c r="D157" s="5">
        <f>40*0.84</f>
        <v>33.6</v>
      </c>
      <c r="E157" s="11">
        <f t="shared" si="2"/>
        <v>0.37333333333333335</v>
      </c>
    </row>
    <row r="158" spans="1:5" x14ac:dyDescent="0.25">
      <c r="A158" s="1" t="s">
        <v>0</v>
      </c>
      <c r="B158" s="1" t="s">
        <v>0</v>
      </c>
      <c r="C158" t="s">
        <v>177</v>
      </c>
      <c r="D158" s="5">
        <v>60</v>
      </c>
      <c r="E158" s="11">
        <f t="shared" si="2"/>
        <v>0.66666666666666663</v>
      </c>
    </row>
    <row r="159" spans="1:5" x14ac:dyDescent="0.25">
      <c r="A159" s="8" t="s">
        <v>224</v>
      </c>
      <c r="B159" s="8" t="s">
        <v>0</v>
      </c>
      <c r="C159" s="6" t="s">
        <v>177</v>
      </c>
      <c r="D159" s="7">
        <f>60*0.9+76*0.1</f>
        <v>61.6</v>
      </c>
      <c r="E159" s="11">
        <f t="shared" si="2"/>
        <v>0.68444444444444441</v>
      </c>
    </row>
    <row r="160" spans="1:5" x14ac:dyDescent="0.25">
      <c r="A160" t="s">
        <v>101</v>
      </c>
      <c r="B160" s="1" t="s">
        <v>0</v>
      </c>
      <c r="C160" t="s">
        <v>177</v>
      </c>
      <c r="D160" s="5">
        <f>60*0.9+83*0.1</f>
        <v>62.3</v>
      </c>
      <c r="E160" s="11">
        <f t="shared" si="2"/>
        <v>0.69222222222222218</v>
      </c>
    </row>
    <row r="161" spans="1:5" x14ac:dyDescent="0.25">
      <c r="A161" t="s">
        <v>102</v>
      </c>
      <c r="B161" s="1" t="s">
        <v>0</v>
      </c>
      <c r="C161" t="s">
        <v>177</v>
      </c>
      <c r="D161" s="5">
        <f>60*0.9+78*0.1</f>
        <v>61.8</v>
      </c>
      <c r="E161" s="11">
        <f t="shared" si="2"/>
        <v>0.68666666666666665</v>
      </c>
    </row>
    <row r="162" spans="1:5" x14ac:dyDescent="0.25">
      <c r="A162" t="s">
        <v>103</v>
      </c>
      <c r="B162" s="1" t="s">
        <v>0</v>
      </c>
      <c r="C162" t="s">
        <v>177</v>
      </c>
      <c r="D162" s="5">
        <f>60*0.9+77*0.1</f>
        <v>61.7</v>
      </c>
      <c r="E162" s="11">
        <f t="shared" si="2"/>
        <v>0.68555555555555558</v>
      </c>
    </row>
    <row r="163" spans="1:5" x14ac:dyDescent="0.25">
      <c r="A163" t="s">
        <v>104</v>
      </c>
      <c r="B163" s="1" t="s">
        <v>0</v>
      </c>
      <c r="C163" t="s">
        <v>177</v>
      </c>
      <c r="D163" s="5">
        <f>60*1.055</f>
        <v>63.3</v>
      </c>
      <c r="E163" s="11">
        <f t="shared" si="2"/>
        <v>0.70333333333333325</v>
      </c>
    </row>
    <row r="164" spans="1:5" x14ac:dyDescent="0.25">
      <c r="A164" t="s">
        <v>162</v>
      </c>
      <c r="B164" t="s">
        <v>0</v>
      </c>
      <c r="C164" t="s">
        <v>177</v>
      </c>
      <c r="D164" s="5">
        <v>60</v>
      </c>
      <c r="E164" s="11">
        <f t="shared" si="2"/>
        <v>0.66666666666666663</v>
      </c>
    </row>
    <row r="165" spans="1:5" x14ac:dyDescent="0.25">
      <c r="A165" t="s">
        <v>119</v>
      </c>
      <c r="B165" s="1" t="s">
        <v>0</v>
      </c>
      <c r="C165" t="s">
        <v>177</v>
      </c>
      <c r="D165" s="5">
        <f>60*0.9+81*0.1</f>
        <v>62.1</v>
      </c>
      <c r="E165" s="11">
        <f t="shared" si="2"/>
        <v>0.69000000000000006</v>
      </c>
    </row>
    <row r="166" spans="1:5" x14ac:dyDescent="0.25">
      <c r="A166" s="6" t="s">
        <v>245</v>
      </c>
      <c r="B166" s="8" t="s">
        <v>0</v>
      </c>
      <c r="C166" s="6" t="s">
        <v>177</v>
      </c>
      <c r="D166" s="7">
        <f>60*0.9+86*0.1</f>
        <v>62.6</v>
      </c>
      <c r="E166" s="11">
        <f t="shared" si="2"/>
        <v>0.69555555555555559</v>
      </c>
    </row>
    <row r="167" spans="1:5" x14ac:dyDescent="0.25">
      <c r="A167" s="6" t="s">
        <v>260</v>
      </c>
      <c r="B167" s="8" t="s">
        <v>0</v>
      </c>
      <c r="C167" s="6" t="s">
        <v>177</v>
      </c>
      <c r="D167" s="7">
        <f>60*0.9+82*0.1</f>
        <v>62.2</v>
      </c>
      <c r="E167" s="11">
        <f t="shared" si="2"/>
        <v>0.69111111111111112</v>
      </c>
    </row>
    <row r="168" spans="1:5" x14ac:dyDescent="0.25">
      <c r="A168" t="s">
        <v>182</v>
      </c>
      <c r="B168" s="1" t="s">
        <v>0</v>
      </c>
      <c r="C168" t="s">
        <v>177</v>
      </c>
      <c r="D168" s="5">
        <f>60*1.03</f>
        <v>61.800000000000004</v>
      </c>
      <c r="E168" s="11">
        <f t="shared" si="2"/>
        <v>0.68666666666666676</v>
      </c>
    </row>
    <row r="169" spans="1:5" x14ac:dyDescent="0.25">
      <c r="A169" s="6" t="s">
        <v>231</v>
      </c>
      <c r="B169" s="8" t="s">
        <v>0</v>
      </c>
      <c r="C169" s="6" t="s">
        <v>177</v>
      </c>
      <c r="D169" s="7">
        <f>60*0.9+40*0.1</f>
        <v>58</v>
      </c>
      <c r="E169" s="11">
        <f t="shared" si="2"/>
        <v>0.64444444444444449</v>
      </c>
    </row>
    <row r="170" spans="1:5" x14ac:dyDescent="0.25">
      <c r="A170" s="1" t="s">
        <v>105</v>
      </c>
      <c r="B170" s="1" t="s">
        <v>0</v>
      </c>
      <c r="C170" t="s">
        <v>177</v>
      </c>
      <c r="D170" s="5">
        <f>60*0.9+(56*0.1*0.88)</f>
        <v>58.927999999999997</v>
      </c>
      <c r="E170" s="11">
        <f t="shared" si="2"/>
        <v>0.65475555555555554</v>
      </c>
    </row>
    <row r="171" spans="1:5" x14ac:dyDescent="0.25">
      <c r="A171" t="s">
        <v>106</v>
      </c>
      <c r="B171" s="1" t="s">
        <v>0</v>
      </c>
      <c r="C171" t="s">
        <v>177</v>
      </c>
      <c r="D171" s="5">
        <f>60*0.9+(40*0.1*0.88)</f>
        <v>57.52</v>
      </c>
      <c r="E171" s="11">
        <f t="shared" si="2"/>
        <v>0.63911111111111119</v>
      </c>
    </row>
    <row r="172" spans="1:5" x14ac:dyDescent="0.25">
      <c r="A172" t="s">
        <v>107</v>
      </c>
      <c r="B172" s="1" t="s">
        <v>107</v>
      </c>
      <c r="C172" t="s">
        <v>177</v>
      </c>
      <c r="D172" s="5">
        <v>46</v>
      </c>
      <c r="E172" s="11">
        <f t="shared" si="2"/>
        <v>0.51111111111111107</v>
      </c>
    </row>
    <row r="173" spans="1:5" x14ac:dyDescent="0.25">
      <c r="A173" t="s">
        <v>108</v>
      </c>
      <c r="B173" s="1" t="s">
        <v>107</v>
      </c>
      <c r="C173" t="s">
        <v>177</v>
      </c>
      <c r="D173" s="5">
        <f>46*0.9+76*0.1</f>
        <v>49</v>
      </c>
      <c r="E173" s="11">
        <f t="shared" si="2"/>
        <v>0.5444444444444444</v>
      </c>
    </row>
    <row r="174" spans="1:5" x14ac:dyDescent="0.25">
      <c r="A174" t="s">
        <v>111</v>
      </c>
      <c r="B174" s="1" t="s">
        <v>107</v>
      </c>
      <c r="C174" t="s">
        <v>177</v>
      </c>
      <c r="D174" s="5">
        <f>76*0.96</f>
        <v>72.959999999999994</v>
      </c>
      <c r="E174" s="11">
        <f t="shared" si="2"/>
        <v>0.81066666666666665</v>
      </c>
    </row>
    <row r="175" spans="1:5" x14ac:dyDescent="0.25">
      <c r="A175" s="1" t="s">
        <v>112</v>
      </c>
      <c r="B175" s="1" t="s">
        <v>107</v>
      </c>
      <c r="C175" t="s">
        <v>177</v>
      </c>
      <c r="D175" s="5">
        <f>76*1.055</f>
        <v>80.179999999999993</v>
      </c>
      <c r="E175" s="11">
        <f t="shared" si="2"/>
        <v>0.89088888888888884</v>
      </c>
    </row>
    <row r="176" spans="1:5" x14ac:dyDescent="0.25">
      <c r="A176" t="s">
        <v>109</v>
      </c>
      <c r="B176" s="1" t="s">
        <v>107</v>
      </c>
      <c r="C176" t="s">
        <v>177</v>
      </c>
      <c r="D176" s="5">
        <f>46*1.044</f>
        <v>48.024000000000001</v>
      </c>
      <c r="E176" s="11">
        <f t="shared" si="2"/>
        <v>0.53359999999999996</v>
      </c>
    </row>
    <row r="177" spans="1:5" x14ac:dyDescent="0.25">
      <c r="A177" t="s">
        <v>110</v>
      </c>
      <c r="B177" s="1" t="s">
        <v>107</v>
      </c>
      <c r="C177" t="s">
        <v>177</v>
      </c>
      <c r="D177" s="5">
        <f>46*1.044</f>
        <v>48.024000000000001</v>
      </c>
      <c r="E177" s="11">
        <f t="shared" si="2"/>
        <v>0.53359999999999996</v>
      </c>
    </row>
    <row r="178" spans="1:5" x14ac:dyDescent="0.25">
      <c r="A178" t="s">
        <v>113</v>
      </c>
      <c r="B178" s="1" t="s">
        <v>107</v>
      </c>
      <c r="C178" t="s">
        <v>177</v>
      </c>
      <c r="D178" s="5">
        <f>46*0.9+77*0.1</f>
        <v>49.1</v>
      </c>
      <c r="E178" s="11">
        <f t="shared" si="2"/>
        <v>0.54555555555555557</v>
      </c>
    </row>
    <row r="179" spans="1:5" x14ac:dyDescent="0.25">
      <c r="A179" t="s">
        <v>117</v>
      </c>
      <c r="B179" s="1" t="s">
        <v>107</v>
      </c>
      <c r="C179" t="s">
        <v>177</v>
      </c>
      <c r="D179" s="5">
        <f>46*0.9+78.5*0.1</f>
        <v>49.25</v>
      </c>
      <c r="E179" s="11">
        <f t="shared" si="2"/>
        <v>0.54722222222222228</v>
      </c>
    </row>
    <row r="180" spans="1:5" x14ac:dyDescent="0.25">
      <c r="A180" t="s">
        <v>114</v>
      </c>
      <c r="B180" s="1" t="s">
        <v>107</v>
      </c>
      <c r="C180" t="s">
        <v>177</v>
      </c>
      <c r="D180" s="5">
        <f>46*0.9+81*0.1</f>
        <v>49.5</v>
      </c>
      <c r="E180" s="11">
        <f t="shared" si="2"/>
        <v>0.55000000000000004</v>
      </c>
    </row>
    <row r="181" spans="1:5" x14ac:dyDescent="0.25">
      <c r="A181" t="s">
        <v>115</v>
      </c>
      <c r="B181" s="1" t="s">
        <v>107</v>
      </c>
      <c r="C181" t="s">
        <v>177</v>
      </c>
      <c r="D181" s="5">
        <f>46*1.03</f>
        <v>47.38</v>
      </c>
      <c r="E181" s="11">
        <f t="shared" si="2"/>
        <v>0.52644444444444449</v>
      </c>
    </row>
    <row r="182" spans="1:5" x14ac:dyDescent="0.25">
      <c r="A182" s="6" t="s">
        <v>218</v>
      </c>
      <c r="B182" s="8" t="s">
        <v>107</v>
      </c>
      <c r="C182" s="6" t="s">
        <v>177</v>
      </c>
      <c r="D182" s="7">
        <f>46*1.065</f>
        <v>48.989999999999995</v>
      </c>
      <c r="E182" s="11">
        <f t="shared" si="2"/>
        <v>0.54433333333333322</v>
      </c>
    </row>
    <row r="183" spans="1:5" x14ac:dyDescent="0.25">
      <c r="A183" s="6" t="s">
        <v>223</v>
      </c>
      <c r="B183" s="8" t="s">
        <v>107</v>
      </c>
      <c r="C183" s="6" t="s">
        <v>177</v>
      </c>
      <c r="D183" s="7">
        <f>46*0.9+40*0.1*0.2</f>
        <v>42.199999999999996</v>
      </c>
      <c r="E183" s="11">
        <f t="shared" si="2"/>
        <v>0.46888888888888886</v>
      </c>
    </row>
    <row r="184" spans="1:5" x14ac:dyDescent="0.25">
      <c r="A184" t="s">
        <v>118</v>
      </c>
      <c r="B184" s="1" t="s">
        <v>107</v>
      </c>
      <c r="C184" t="s">
        <v>177</v>
      </c>
      <c r="D184" s="5">
        <f>46*1.017</f>
        <v>46.781999999999996</v>
      </c>
      <c r="E184" s="11">
        <f t="shared" si="2"/>
        <v>0.51979999999999993</v>
      </c>
    </row>
    <row r="185" spans="1:5" x14ac:dyDescent="0.25">
      <c r="A185" t="s">
        <v>116</v>
      </c>
      <c r="B185" s="1" t="s">
        <v>107</v>
      </c>
      <c r="C185" t="s">
        <v>177</v>
      </c>
      <c r="D185" s="5">
        <f>46*0.9+40*0.1</f>
        <v>45.4</v>
      </c>
      <c r="E185" s="11">
        <f t="shared" si="2"/>
        <v>0.50444444444444447</v>
      </c>
    </row>
    <row r="186" spans="1:5" x14ac:dyDescent="0.25">
      <c r="A186" s="1" t="s">
        <v>120</v>
      </c>
      <c r="B186" s="1" t="s">
        <v>120</v>
      </c>
      <c r="C186" t="s">
        <v>177</v>
      </c>
      <c r="D186" s="5">
        <f>52</f>
        <v>52</v>
      </c>
      <c r="E186" s="11">
        <f t="shared" si="2"/>
        <v>0.57777777777777772</v>
      </c>
    </row>
    <row r="187" spans="1:5" x14ac:dyDescent="0.25">
      <c r="A187" s="1" t="s">
        <v>201</v>
      </c>
      <c r="B187" s="1" t="s">
        <v>120</v>
      </c>
      <c r="C187" t="s">
        <v>177</v>
      </c>
      <c r="D187" s="5">
        <f>52*1.017</f>
        <v>52.883999999999993</v>
      </c>
      <c r="E187" s="11">
        <f t="shared" si="2"/>
        <v>0.5875999999999999</v>
      </c>
    </row>
    <row r="188" spans="1:5" x14ac:dyDescent="0.25">
      <c r="A188" t="s">
        <v>121</v>
      </c>
      <c r="B188" s="1" t="s">
        <v>121</v>
      </c>
      <c r="C188" t="s">
        <v>179</v>
      </c>
      <c r="D188" s="5">
        <f>82</f>
        <v>82</v>
      </c>
      <c r="E188" s="11">
        <f t="shared" si="2"/>
        <v>0.91111111111111109</v>
      </c>
    </row>
    <row r="189" spans="1:5" x14ac:dyDescent="0.25">
      <c r="A189" t="s">
        <v>229</v>
      </c>
      <c r="B189" s="1" t="s">
        <v>121</v>
      </c>
      <c r="C189" t="s">
        <v>179</v>
      </c>
      <c r="D189" s="5">
        <f>82*0.9+120*0.1</f>
        <v>85.8</v>
      </c>
      <c r="E189" s="11">
        <f t="shared" si="2"/>
        <v>0.95333333333333325</v>
      </c>
    </row>
    <row r="190" spans="1:5" x14ac:dyDescent="0.25">
      <c r="A190" t="s">
        <v>166</v>
      </c>
      <c r="B190" t="s">
        <v>121</v>
      </c>
      <c r="C190" t="s">
        <v>179</v>
      </c>
      <c r="D190" s="5">
        <v>82</v>
      </c>
      <c r="E190" s="11">
        <f t="shared" si="2"/>
        <v>0.91111111111111109</v>
      </c>
    </row>
    <row r="191" spans="1:5" x14ac:dyDescent="0.25">
      <c r="A191" t="s">
        <v>122</v>
      </c>
      <c r="B191" s="1" t="s">
        <v>121</v>
      </c>
      <c r="C191" t="s">
        <v>179</v>
      </c>
      <c r="D191" s="5">
        <f>82*0.9+(144*0.1*0.5)</f>
        <v>81</v>
      </c>
      <c r="E191" s="11">
        <f t="shared" si="2"/>
        <v>0.9</v>
      </c>
    </row>
    <row r="192" spans="1:5" x14ac:dyDescent="0.25">
      <c r="A192" s="6" t="s">
        <v>205</v>
      </c>
      <c r="B192" s="8" t="s">
        <v>121</v>
      </c>
      <c r="C192" s="6" t="s">
        <v>179</v>
      </c>
      <c r="D192" s="7">
        <f>82*1.03</f>
        <v>84.460000000000008</v>
      </c>
      <c r="E192" s="11">
        <f t="shared" si="2"/>
        <v>0.93844444444444453</v>
      </c>
    </row>
    <row r="193" spans="1:5" x14ac:dyDescent="0.25">
      <c r="A193" t="s">
        <v>123</v>
      </c>
      <c r="B193" s="1" t="s">
        <v>16</v>
      </c>
      <c r="C193" t="s">
        <v>178</v>
      </c>
      <c r="D193" s="5">
        <f>120*0.85</f>
        <v>102</v>
      </c>
      <c r="E193" s="11">
        <f t="shared" si="2"/>
        <v>1.1333333333333333</v>
      </c>
    </row>
    <row r="194" spans="1:5" x14ac:dyDescent="0.25">
      <c r="A194" s="1" t="s">
        <v>124</v>
      </c>
      <c r="B194" s="1" t="s">
        <v>124</v>
      </c>
      <c r="C194" t="s">
        <v>179</v>
      </c>
      <c r="D194" s="5">
        <f>92</f>
        <v>92</v>
      </c>
      <c r="E194" s="11">
        <f t="shared" si="2"/>
        <v>1.0222222222222221</v>
      </c>
    </row>
    <row r="195" spans="1:5" x14ac:dyDescent="0.25">
      <c r="A195" t="s">
        <v>125</v>
      </c>
      <c r="B195" s="1" t="s">
        <v>124</v>
      </c>
      <c r="C195" t="s">
        <v>179</v>
      </c>
      <c r="D195" s="5">
        <f>92*0.9+78*0.1</f>
        <v>90.6</v>
      </c>
      <c r="E195" s="11">
        <f t="shared" ref="E195:E258" si="3">D195/90</f>
        <v>1.0066666666666666</v>
      </c>
    </row>
    <row r="196" spans="1:5" x14ac:dyDescent="0.25">
      <c r="A196" s="6" t="s">
        <v>234</v>
      </c>
      <c r="B196" s="8" t="s">
        <v>124</v>
      </c>
      <c r="C196" s="6" t="s">
        <v>179</v>
      </c>
      <c r="D196" s="7">
        <f>92*0.9+76*0.1</f>
        <v>90.399999999999991</v>
      </c>
      <c r="E196" s="11">
        <f t="shared" si="3"/>
        <v>1.0044444444444443</v>
      </c>
    </row>
    <row r="197" spans="1:5" x14ac:dyDescent="0.25">
      <c r="A197" s="6" t="s">
        <v>256</v>
      </c>
      <c r="B197" s="8" t="s">
        <v>124</v>
      </c>
      <c r="C197" s="6" t="s">
        <v>179</v>
      </c>
      <c r="D197" s="7">
        <f>92*1.044</f>
        <v>96.048000000000002</v>
      </c>
      <c r="E197" s="11">
        <f t="shared" si="3"/>
        <v>1.0671999999999999</v>
      </c>
    </row>
    <row r="198" spans="1:5" x14ac:dyDescent="0.25">
      <c r="A198" s="6" t="s">
        <v>226</v>
      </c>
      <c r="B198" s="8" t="s">
        <v>124</v>
      </c>
      <c r="C198" s="6" t="s">
        <v>179</v>
      </c>
      <c r="D198" s="7">
        <f>92*(0.984*0.95)</f>
        <v>86.001599999999996</v>
      </c>
      <c r="E198" s="11">
        <f t="shared" si="3"/>
        <v>0.95557333333333327</v>
      </c>
    </row>
    <row r="199" spans="1:5" x14ac:dyDescent="0.25">
      <c r="A199" s="6" t="s">
        <v>232</v>
      </c>
      <c r="B199" s="8" t="s">
        <v>8</v>
      </c>
      <c r="C199" s="6" t="s">
        <v>179</v>
      </c>
      <c r="D199" s="7">
        <f>78*0.9</f>
        <v>70.2</v>
      </c>
      <c r="E199" s="11">
        <f t="shared" si="3"/>
        <v>0.78</v>
      </c>
    </row>
    <row r="200" spans="1:5" x14ac:dyDescent="0.25">
      <c r="A200" t="s">
        <v>173</v>
      </c>
      <c r="B200" t="s">
        <v>10</v>
      </c>
      <c r="C200" t="s">
        <v>178</v>
      </c>
      <c r="D200" s="5">
        <f>146*1.1</f>
        <v>160.60000000000002</v>
      </c>
      <c r="E200" s="11">
        <f t="shared" si="3"/>
        <v>1.7844444444444447</v>
      </c>
    </row>
    <row r="201" spans="1:5" x14ac:dyDescent="0.25">
      <c r="A201" t="s">
        <v>126</v>
      </c>
      <c r="B201" s="1" t="s">
        <v>16</v>
      </c>
      <c r="C201" t="s">
        <v>178</v>
      </c>
      <c r="D201" s="5">
        <f>120*1.1</f>
        <v>132</v>
      </c>
      <c r="E201" s="11">
        <f t="shared" si="3"/>
        <v>1.4666666666666666</v>
      </c>
    </row>
    <row r="202" spans="1:5" x14ac:dyDescent="0.25">
      <c r="A202" s="6" t="s">
        <v>237</v>
      </c>
      <c r="B202" s="8" t="s">
        <v>16</v>
      </c>
      <c r="C202" s="6" t="s">
        <v>178</v>
      </c>
      <c r="D202" s="7">
        <f>(120*1.1)*1.08</f>
        <v>142.56</v>
      </c>
      <c r="E202" s="11">
        <f t="shared" si="3"/>
        <v>1.5840000000000001</v>
      </c>
    </row>
    <row r="203" spans="1:5" x14ac:dyDescent="0.25">
      <c r="A203" t="s">
        <v>194</v>
      </c>
      <c r="B203" s="1" t="s">
        <v>16</v>
      </c>
      <c r="C203" t="s">
        <v>178</v>
      </c>
      <c r="D203" s="5">
        <f>(120*1.1)*1.038</f>
        <v>137.01599999999999</v>
      </c>
      <c r="E203" s="11">
        <f t="shared" si="3"/>
        <v>1.5224</v>
      </c>
    </row>
    <row r="204" spans="1:5" x14ac:dyDescent="0.25">
      <c r="A204" t="s">
        <v>164</v>
      </c>
      <c r="B204" t="s">
        <v>48</v>
      </c>
      <c r="C204" t="s">
        <v>179</v>
      </c>
      <c r="D204" s="5">
        <f>76*1.1</f>
        <v>83.600000000000009</v>
      </c>
      <c r="E204" s="11">
        <f t="shared" si="3"/>
        <v>0.92888888888888899</v>
      </c>
    </row>
    <row r="205" spans="1:5" x14ac:dyDescent="0.25">
      <c r="A205" t="s">
        <v>127</v>
      </c>
      <c r="B205" s="1" t="s">
        <v>107</v>
      </c>
      <c r="C205" t="s">
        <v>177</v>
      </c>
      <c r="D205" s="5">
        <f>46*0.9</f>
        <v>41.4</v>
      </c>
      <c r="E205" s="11">
        <f t="shared" si="3"/>
        <v>0.45999999999999996</v>
      </c>
    </row>
    <row r="206" spans="1:5" x14ac:dyDescent="0.25">
      <c r="A206" t="s">
        <v>129</v>
      </c>
      <c r="B206" s="1" t="s">
        <v>128</v>
      </c>
      <c r="C206" t="s">
        <v>177</v>
      </c>
      <c r="D206" s="5">
        <f>40*0.9</f>
        <v>36</v>
      </c>
      <c r="E206" s="11">
        <f t="shared" si="3"/>
        <v>0.4</v>
      </c>
    </row>
    <row r="207" spans="1:5" x14ac:dyDescent="0.25">
      <c r="A207" t="s">
        <v>131</v>
      </c>
      <c r="B207" s="1" t="s">
        <v>16</v>
      </c>
      <c r="C207" t="s">
        <v>178</v>
      </c>
      <c r="D207" s="5">
        <f>120*0.95</f>
        <v>114</v>
      </c>
      <c r="E207" s="11">
        <f t="shared" si="3"/>
        <v>1.2666666666666666</v>
      </c>
    </row>
    <row r="208" spans="1:5" x14ac:dyDescent="0.25">
      <c r="A208" t="s">
        <v>130</v>
      </c>
      <c r="B208" s="1" t="s">
        <v>48</v>
      </c>
      <c r="C208" t="s">
        <v>179</v>
      </c>
      <c r="D208" s="5">
        <f>76*0.95</f>
        <v>72.2</v>
      </c>
      <c r="E208" s="11">
        <f t="shared" si="3"/>
        <v>0.80222222222222228</v>
      </c>
    </row>
    <row r="209" spans="1:5" x14ac:dyDescent="0.25">
      <c r="A209" t="s">
        <v>133</v>
      </c>
      <c r="B209" s="1" t="s">
        <v>132</v>
      </c>
      <c r="C209" t="s">
        <v>178</v>
      </c>
      <c r="D209" s="5">
        <f>144*0.93</f>
        <v>133.92000000000002</v>
      </c>
      <c r="E209" s="11">
        <f t="shared" si="3"/>
        <v>1.4880000000000002</v>
      </c>
    </row>
    <row r="210" spans="1:5" x14ac:dyDescent="0.25">
      <c r="A210" s="1" t="s">
        <v>39</v>
      </c>
      <c r="B210" t="s">
        <v>16</v>
      </c>
      <c r="C210" t="s">
        <v>178</v>
      </c>
      <c r="D210" s="5">
        <f>120*0.97</f>
        <v>116.39999999999999</v>
      </c>
      <c r="E210" s="11">
        <f t="shared" si="3"/>
        <v>1.2933333333333332</v>
      </c>
    </row>
    <row r="211" spans="1:5" x14ac:dyDescent="0.25">
      <c r="A211" t="s">
        <v>134</v>
      </c>
      <c r="B211" s="1" t="s">
        <v>16</v>
      </c>
      <c r="C211" t="s">
        <v>178</v>
      </c>
      <c r="D211" s="5">
        <f>120*0.95</f>
        <v>114</v>
      </c>
      <c r="E211" s="11">
        <f t="shared" si="3"/>
        <v>1.2666666666666666</v>
      </c>
    </row>
    <row r="212" spans="1:5" x14ac:dyDescent="0.25">
      <c r="A212" t="s">
        <v>135</v>
      </c>
      <c r="B212" s="1" t="s">
        <v>120</v>
      </c>
      <c r="C212" t="s">
        <v>177</v>
      </c>
      <c r="D212" s="5">
        <f>52*1.05</f>
        <v>54.6</v>
      </c>
      <c r="E212" s="11">
        <f t="shared" si="3"/>
        <v>0.60666666666666669</v>
      </c>
    </row>
    <row r="213" spans="1:5" x14ac:dyDescent="0.25">
      <c r="A213" s="6" t="s">
        <v>248</v>
      </c>
      <c r="B213" s="8" t="s">
        <v>272</v>
      </c>
      <c r="C213" s="6" t="s">
        <v>179</v>
      </c>
      <c r="D213" s="7">
        <v>85</v>
      </c>
      <c r="E213" s="11">
        <f t="shared" si="3"/>
        <v>0.94444444444444442</v>
      </c>
    </row>
    <row r="214" spans="1:5" x14ac:dyDescent="0.25">
      <c r="A214" s="6" t="s">
        <v>263</v>
      </c>
      <c r="B214" s="8" t="s">
        <v>48</v>
      </c>
      <c r="C214" s="6" t="s">
        <v>179</v>
      </c>
      <c r="D214" s="7">
        <f>76*1.11</f>
        <v>84.360000000000014</v>
      </c>
      <c r="E214" s="11">
        <f t="shared" si="3"/>
        <v>0.93733333333333346</v>
      </c>
    </row>
    <row r="215" spans="1:5" x14ac:dyDescent="0.25">
      <c r="A215" t="s">
        <v>136</v>
      </c>
      <c r="B215" s="1" t="s">
        <v>128</v>
      </c>
      <c r="C215" t="s">
        <v>177</v>
      </c>
      <c r="D215" s="5">
        <f>40*0.89</f>
        <v>35.6</v>
      </c>
      <c r="E215" s="11">
        <f t="shared" si="3"/>
        <v>0.39555555555555555</v>
      </c>
    </row>
    <row r="216" spans="1:5" x14ac:dyDescent="0.25">
      <c r="A216" t="s">
        <v>198</v>
      </c>
      <c r="B216" t="s">
        <v>16</v>
      </c>
      <c r="C216" t="s">
        <v>178</v>
      </c>
      <c r="D216" s="5">
        <f>120*1.075</f>
        <v>129</v>
      </c>
      <c r="E216" s="11">
        <f t="shared" si="3"/>
        <v>1.4333333333333333</v>
      </c>
    </row>
    <row r="217" spans="1:5" x14ac:dyDescent="0.25">
      <c r="A217" s="6" t="s">
        <v>252</v>
      </c>
      <c r="B217" s="6" t="s">
        <v>120</v>
      </c>
      <c r="C217" s="6" t="s">
        <v>177</v>
      </c>
      <c r="D217" s="7">
        <f>52*0.925</f>
        <v>48.1</v>
      </c>
      <c r="E217" s="11">
        <f t="shared" si="3"/>
        <v>0.5344444444444445</v>
      </c>
    </row>
    <row r="218" spans="1:5" x14ac:dyDescent="0.25">
      <c r="A218" t="s">
        <v>137</v>
      </c>
      <c r="B218" s="1" t="s">
        <v>16</v>
      </c>
      <c r="C218" t="s">
        <v>178</v>
      </c>
      <c r="D218" s="5">
        <f>120*1.075</f>
        <v>129</v>
      </c>
      <c r="E218" s="11">
        <f t="shared" si="3"/>
        <v>1.4333333333333333</v>
      </c>
    </row>
    <row r="219" spans="1:5" x14ac:dyDescent="0.25">
      <c r="A219" t="s">
        <v>160</v>
      </c>
      <c r="B219" t="s">
        <v>132</v>
      </c>
      <c r="C219" t="s">
        <v>178</v>
      </c>
      <c r="D219" s="5">
        <f>144*1.075</f>
        <v>154.79999999999998</v>
      </c>
      <c r="E219" s="11">
        <f t="shared" si="3"/>
        <v>1.7199999999999998</v>
      </c>
    </row>
    <row r="220" spans="1:5" x14ac:dyDescent="0.25">
      <c r="A220" t="s">
        <v>138</v>
      </c>
      <c r="B220" s="1" t="s">
        <v>48</v>
      </c>
      <c r="C220" t="s">
        <v>179</v>
      </c>
      <c r="D220" s="5">
        <f>76*0.88</f>
        <v>66.88</v>
      </c>
      <c r="E220" s="11">
        <f t="shared" si="3"/>
        <v>0.74311111111111106</v>
      </c>
    </row>
    <row r="221" spans="1:5" x14ac:dyDescent="0.25">
      <c r="A221" t="s">
        <v>153</v>
      </c>
      <c r="B221" s="3" t="s">
        <v>124</v>
      </c>
      <c r="C221" t="s">
        <v>179</v>
      </c>
      <c r="D221" s="5">
        <f>92*0.88</f>
        <v>80.959999999999994</v>
      </c>
      <c r="E221" s="11">
        <f t="shared" si="3"/>
        <v>0.89955555555555544</v>
      </c>
    </row>
    <row r="222" spans="1:5" x14ac:dyDescent="0.25">
      <c r="A222" s="6" t="s">
        <v>268</v>
      </c>
      <c r="B222" s="9" t="s">
        <v>48</v>
      </c>
      <c r="C222" s="6" t="s">
        <v>179</v>
      </c>
      <c r="D222" s="7">
        <f>76*1.053</f>
        <v>80.027999999999992</v>
      </c>
      <c r="E222" s="11">
        <f t="shared" si="3"/>
        <v>0.88919999999999988</v>
      </c>
    </row>
    <row r="223" spans="1:5" x14ac:dyDescent="0.25">
      <c r="A223" t="s">
        <v>139</v>
      </c>
      <c r="B223" t="s">
        <v>139</v>
      </c>
      <c r="C223" t="s">
        <v>178</v>
      </c>
      <c r="D223" s="5">
        <v>174</v>
      </c>
      <c r="E223" s="11">
        <f t="shared" si="3"/>
        <v>1.9333333333333333</v>
      </c>
    </row>
    <row r="224" spans="1:5" x14ac:dyDescent="0.25">
      <c r="A224" t="s">
        <v>140</v>
      </c>
      <c r="B224" t="s">
        <v>139</v>
      </c>
      <c r="C224" t="s">
        <v>178</v>
      </c>
      <c r="D224" s="5">
        <f>174*0.9+148*0.1</f>
        <v>171.4</v>
      </c>
      <c r="E224" s="11">
        <f t="shared" si="3"/>
        <v>1.9044444444444446</v>
      </c>
    </row>
    <row r="225" spans="1:5" x14ac:dyDescent="0.25">
      <c r="A225" s="1" t="s">
        <v>132</v>
      </c>
      <c r="B225" t="s">
        <v>132</v>
      </c>
      <c r="C225" t="s">
        <v>178</v>
      </c>
      <c r="D225" s="5">
        <f>144</f>
        <v>144</v>
      </c>
      <c r="E225" s="11">
        <f t="shared" si="3"/>
        <v>1.6</v>
      </c>
    </row>
    <row r="226" spans="1:5" x14ac:dyDescent="0.25">
      <c r="A226" t="s">
        <v>141</v>
      </c>
      <c r="B226" t="s">
        <v>132</v>
      </c>
      <c r="C226" t="s">
        <v>178</v>
      </c>
      <c r="D226" s="5">
        <f>144*0.96</f>
        <v>138.24</v>
      </c>
      <c r="E226" s="11">
        <f t="shared" si="3"/>
        <v>1.536</v>
      </c>
    </row>
    <row r="227" spans="1:5" x14ac:dyDescent="0.25">
      <c r="A227" s="6" t="s">
        <v>238</v>
      </c>
      <c r="B227" s="6" t="s">
        <v>132</v>
      </c>
      <c r="C227" s="6" t="s">
        <v>178</v>
      </c>
      <c r="D227" s="7">
        <f>144*1.08</f>
        <v>155.52000000000001</v>
      </c>
      <c r="E227" s="11">
        <f t="shared" si="3"/>
        <v>1.7280000000000002</v>
      </c>
    </row>
    <row r="228" spans="1:5" x14ac:dyDescent="0.25">
      <c r="A228" s="6" t="s">
        <v>216</v>
      </c>
      <c r="B228" s="6" t="s">
        <v>132</v>
      </c>
      <c r="C228" s="6" t="s">
        <v>178</v>
      </c>
      <c r="D228" s="7">
        <f>144*1.06</f>
        <v>152.64000000000001</v>
      </c>
      <c r="E228" s="11">
        <f t="shared" si="3"/>
        <v>1.6960000000000002</v>
      </c>
    </row>
    <row r="229" spans="1:5" x14ac:dyDescent="0.25">
      <c r="A229" s="6" t="s">
        <v>239</v>
      </c>
      <c r="B229" s="6" t="s">
        <v>132</v>
      </c>
      <c r="C229" s="6" t="s">
        <v>178</v>
      </c>
      <c r="D229" s="7">
        <v>144</v>
      </c>
      <c r="E229" s="11">
        <f t="shared" si="3"/>
        <v>1.6</v>
      </c>
    </row>
    <row r="230" spans="1:5" x14ac:dyDescent="0.25">
      <c r="A230" s="6" t="s">
        <v>251</v>
      </c>
      <c r="B230" s="6" t="s">
        <v>132</v>
      </c>
      <c r="C230" s="6" t="s">
        <v>178</v>
      </c>
      <c r="D230" s="7">
        <f>144*1.038</f>
        <v>149.47200000000001</v>
      </c>
      <c r="E230" s="11">
        <f t="shared" si="3"/>
        <v>1.6608000000000001</v>
      </c>
    </row>
    <row r="231" spans="1:5" x14ac:dyDescent="0.25">
      <c r="A231" t="s">
        <v>185</v>
      </c>
      <c r="B231" s="1" t="s">
        <v>185</v>
      </c>
      <c r="C231" t="s">
        <v>178</v>
      </c>
      <c r="D231" s="5">
        <v>124</v>
      </c>
      <c r="E231" s="11">
        <f t="shared" si="3"/>
        <v>1.3777777777777778</v>
      </c>
    </row>
    <row r="232" spans="1:5" x14ac:dyDescent="0.25">
      <c r="A232" t="s">
        <v>187</v>
      </c>
      <c r="B232" t="s">
        <v>16</v>
      </c>
      <c r="C232" t="s">
        <v>178</v>
      </c>
      <c r="D232" s="5">
        <f>124*0.9+(120*0.96*0.1)</f>
        <v>123.12</v>
      </c>
      <c r="E232" s="11">
        <f t="shared" si="3"/>
        <v>1.3680000000000001</v>
      </c>
    </row>
    <row r="233" spans="1:5" x14ac:dyDescent="0.25">
      <c r="A233" t="s">
        <v>128</v>
      </c>
      <c r="B233" s="1" t="s">
        <v>128</v>
      </c>
      <c r="C233" t="s">
        <v>177</v>
      </c>
      <c r="D233" s="5">
        <v>40</v>
      </c>
      <c r="E233" s="11">
        <f t="shared" si="3"/>
        <v>0.44444444444444442</v>
      </c>
    </row>
    <row r="234" spans="1:5" x14ac:dyDescent="0.25">
      <c r="A234" t="s">
        <v>142</v>
      </c>
      <c r="B234" s="1" t="s">
        <v>128</v>
      </c>
      <c r="C234" t="s">
        <v>177</v>
      </c>
      <c r="D234" s="5">
        <f>40*0.84</f>
        <v>33.6</v>
      </c>
      <c r="E234" s="11">
        <f t="shared" si="3"/>
        <v>0.37333333333333335</v>
      </c>
    </row>
    <row r="235" spans="1:5" x14ac:dyDescent="0.25">
      <c r="A235" t="s">
        <v>143</v>
      </c>
      <c r="B235" s="1" t="s">
        <v>128</v>
      </c>
      <c r="C235" t="s">
        <v>177</v>
      </c>
      <c r="D235" s="5">
        <f>40*1.017</f>
        <v>40.679999999999993</v>
      </c>
      <c r="E235" s="11">
        <f t="shared" si="3"/>
        <v>0.4519999999999999</v>
      </c>
    </row>
    <row r="236" spans="1:5" x14ac:dyDescent="0.25">
      <c r="A236" t="s">
        <v>144</v>
      </c>
      <c r="B236" s="1" t="s">
        <v>128</v>
      </c>
      <c r="C236" t="s">
        <v>177</v>
      </c>
      <c r="D236" s="5">
        <f>40*1.012</f>
        <v>40.480000000000004</v>
      </c>
      <c r="E236" s="11">
        <f t="shared" si="3"/>
        <v>0.44977777777777783</v>
      </c>
    </row>
    <row r="237" spans="1:5" x14ac:dyDescent="0.25">
      <c r="A237" t="s">
        <v>145</v>
      </c>
      <c r="B237" s="1" t="s">
        <v>128</v>
      </c>
      <c r="C237" t="s">
        <v>177</v>
      </c>
      <c r="D237" s="5">
        <f>40*0.95</f>
        <v>38</v>
      </c>
      <c r="E237" s="11">
        <f t="shared" si="3"/>
        <v>0.42222222222222222</v>
      </c>
    </row>
    <row r="238" spans="1:5" x14ac:dyDescent="0.25">
      <c r="A238" s="6" t="s">
        <v>243</v>
      </c>
      <c r="B238" s="8" t="s">
        <v>48</v>
      </c>
      <c r="C238" s="6" t="s">
        <v>179</v>
      </c>
      <c r="D238" s="7">
        <f>0.975</f>
        <v>0.97499999999999998</v>
      </c>
      <c r="E238" s="11">
        <f t="shared" si="3"/>
        <v>1.0833333333333334E-2</v>
      </c>
    </row>
    <row r="239" spans="1:5" x14ac:dyDescent="0.25">
      <c r="A239" s="6" t="s">
        <v>206</v>
      </c>
      <c r="B239" s="8" t="s">
        <v>206</v>
      </c>
      <c r="C239" s="6" t="s">
        <v>179</v>
      </c>
      <c r="D239" s="7">
        <v>90</v>
      </c>
      <c r="E239" s="11">
        <f t="shared" si="3"/>
        <v>1</v>
      </c>
    </row>
    <row r="240" spans="1:5" x14ac:dyDescent="0.25">
      <c r="A240" t="s">
        <v>146</v>
      </c>
      <c r="B240" s="1" t="s">
        <v>146</v>
      </c>
      <c r="C240" t="s">
        <v>178</v>
      </c>
      <c r="D240" s="5">
        <v>106</v>
      </c>
      <c r="E240" s="11">
        <f t="shared" si="3"/>
        <v>1.1777777777777778</v>
      </c>
    </row>
    <row r="241" spans="1:5" x14ac:dyDescent="0.25">
      <c r="A241" s="6" t="s">
        <v>257</v>
      </c>
      <c r="B241" s="8" t="s">
        <v>146</v>
      </c>
      <c r="C241" s="6" t="s">
        <v>178</v>
      </c>
      <c r="D241" s="7">
        <f>106*0.9+76*0.1</f>
        <v>103</v>
      </c>
      <c r="E241" s="11">
        <f t="shared" si="3"/>
        <v>1.1444444444444444</v>
      </c>
    </row>
    <row r="242" spans="1:5" x14ac:dyDescent="0.25">
      <c r="A242" s="6" t="s">
        <v>259</v>
      </c>
      <c r="B242" s="8" t="s">
        <v>88</v>
      </c>
      <c r="C242" s="6" t="s">
        <v>179</v>
      </c>
      <c r="D242" s="7">
        <f>77*0.975</f>
        <v>75.075000000000003</v>
      </c>
      <c r="E242" s="11">
        <f t="shared" si="3"/>
        <v>0.83416666666666672</v>
      </c>
    </row>
    <row r="243" spans="1:5" x14ac:dyDescent="0.25">
      <c r="A243" t="s">
        <v>261</v>
      </c>
      <c r="B243" t="s">
        <v>147</v>
      </c>
      <c r="C243" t="s">
        <v>179</v>
      </c>
      <c r="D243" s="5">
        <v>64</v>
      </c>
      <c r="E243" s="11">
        <f t="shared" si="3"/>
        <v>0.71111111111111114</v>
      </c>
    </row>
    <row r="244" spans="1:5" x14ac:dyDescent="0.25">
      <c r="A244" t="s">
        <v>148</v>
      </c>
      <c r="B244" t="s">
        <v>2</v>
      </c>
      <c r="C244" t="s">
        <v>179</v>
      </c>
      <c r="D244" s="5">
        <v>90</v>
      </c>
      <c r="E244" s="11">
        <f t="shared" si="3"/>
        <v>1</v>
      </c>
    </row>
    <row r="245" spans="1:5" x14ac:dyDescent="0.25">
      <c r="A245" s="6" t="s">
        <v>233</v>
      </c>
      <c r="B245" s="6" t="s">
        <v>2</v>
      </c>
      <c r="C245" s="6" t="s">
        <v>179</v>
      </c>
      <c r="D245" s="7">
        <f>90*0.93</f>
        <v>83.7</v>
      </c>
      <c r="E245" s="11">
        <f t="shared" si="3"/>
        <v>0.93</v>
      </c>
    </row>
    <row r="246" spans="1:5" x14ac:dyDescent="0.25">
      <c r="A246" s="6" t="s">
        <v>213</v>
      </c>
      <c r="B246" s="6" t="s">
        <v>16</v>
      </c>
      <c r="C246" s="6" t="s">
        <v>178</v>
      </c>
      <c r="D246" s="7">
        <f>120*0.9+92*0.1</f>
        <v>117.2</v>
      </c>
      <c r="E246" s="11">
        <f t="shared" si="3"/>
        <v>1.3022222222222222</v>
      </c>
    </row>
    <row r="247" spans="1:5" x14ac:dyDescent="0.25">
      <c r="A247" s="6" t="s">
        <v>266</v>
      </c>
      <c r="B247" s="6" t="s">
        <v>4</v>
      </c>
      <c r="C247" s="6" t="s">
        <v>177</v>
      </c>
      <c r="D247" s="7">
        <f>56*1.012</f>
        <v>56.671999999999997</v>
      </c>
      <c r="E247" s="11">
        <f t="shared" si="3"/>
        <v>0.62968888888888885</v>
      </c>
    </row>
    <row r="248" spans="1:5" x14ac:dyDescent="0.25">
      <c r="A248" t="s">
        <v>161</v>
      </c>
      <c r="B248" t="s">
        <v>10</v>
      </c>
      <c r="C248" t="s">
        <v>178</v>
      </c>
      <c r="D248" s="5">
        <f>146*0.88</f>
        <v>128.47999999999999</v>
      </c>
      <c r="E248" s="11">
        <f t="shared" si="3"/>
        <v>1.4275555555555555</v>
      </c>
    </row>
    <row r="249" spans="1:5" x14ac:dyDescent="0.25">
      <c r="A249" t="s">
        <v>255</v>
      </c>
      <c r="B249" s="10" t="s">
        <v>16</v>
      </c>
      <c r="C249" s="10" t="s">
        <v>178</v>
      </c>
      <c r="D249" s="5">
        <f>120*0.88</f>
        <v>105.6</v>
      </c>
      <c r="E249" s="11">
        <f t="shared" si="3"/>
        <v>1.1733333333333333</v>
      </c>
    </row>
    <row r="250" spans="1:5" x14ac:dyDescent="0.25">
      <c r="A250" t="s">
        <v>149</v>
      </c>
      <c r="B250" t="s">
        <v>48</v>
      </c>
      <c r="C250" t="s">
        <v>179</v>
      </c>
      <c r="D250" s="5">
        <f>76*0.88</f>
        <v>66.88</v>
      </c>
      <c r="E250" s="11">
        <f t="shared" si="3"/>
        <v>0.74311111111111106</v>
      </c>
    </row>
    <row r="251" spans="1:5" x14ac:dyDescent="0.25">
      <c r="A251" s="6" t="s">
        <v>211</v>
      </c>
      <c r="B251" s="6" t="s">
        <v>48</v>
      </c>
      <c r="C251" s="6" t="s">
        <v>179</v>
      </c>
      <c r="D251" s="7">
        <f>76*0.88*1.08</f>
        <v>72.230400000000003</v>
      </c>
      <c r="E251" s="11">
        <f t="shared" si="3"/>
        <v>0.80256000000000005</v>
      </c>
    </row>
    <row r="252" spans="1:5" x14ac:dyDescent="0.25">
      <c r="A252" s="6" t="s">
        <v>270</v>
      </c>
      <c r="B252" s="6" t="s">
        <v>92</v>
      </c>
      <c r="C252" s="6" t="s">
        <v>178</v>
      </c>
      <c r="D252" s="7">
        <f>88*0.88</f>
        <v>77.44</v>
      </c>
      <c r="E252" s="11">
        <f t="shared" si="3"/>
        <v>0.86044444444444446</v>
      </c>
    </row>
    <row r="253" spans="1:5" x14ac:dyDescent="0.25">
      <c r="A253" t="s">
        <v>150</v>
      </c>
      <c r="B253" t="s">
        <v>107</v>
      </c>
      <c r="C253" t="s">
        <v>177</v>
      </c>
      <c r="D253" s="5">
        <f>46*1.012</f>
        <v>46.552</v>
      </c>
      <c r="E253" s="11">
        <f t="shared" si="3"/>
        <v>0.5172444444444444</v>
      </c>
    </row>
    <row r="254" spans="1:5" x14ac:dyDescent="0.25">
      <c r="A254" t="s">
        <v>151</v>
      </c>
      <c r="B254" t="s">
        <v>120</v>
      </c>
      <c r="C254" t="s">
        <v>177</v>
      </c>
      <c r="D254" s="5">
        <f>52*1.012</f>
        <v>52.624000000000002</v>
      </c>
      <c r="E254" s="11">
        <f t="shared" si="3"/>
        <v>0.58471111111111118</v>
      </c>
    </row>
    <row r="255" spans="1:5" x14ac:dyDescent="0.25">
      <c r="A255" t="s">
        <v>152</v>
      </c>
      <c r="B255" t="s">
        <v>124</v>
      </c>
      <c r="C255" t="s">
        <v>179</v>
      </c>
      <c r="D255" s="5">
        <f>92*1.012</f>
        <v>93.103999999999999</v>
      </c>
      <c r="E255" s="11">
        <f t="shared" si="3"/>
        <v>1.0344888888888888</v>
      </c>
    </row>
    <row r="256" spans="1:5" x14ac:dyDescent="0.25">
      <c r="A256" s="6" t="s">
        <v>215</v>
      </c>
      <c r="B256" s="6" t="s">
        <v>124</v>
      </c>
      <c r="C256" s="6" t="s">
        <v>179</v>
      </c>
      <c r="D256" s="7">
        <f>92*1.012*0.88</f>
        <v>81.931520000000006</v>
      </c>
      <c r="E256" s="11">
        <f t="shared" si="3"/>
        <v>0.91035022222222228</v>
      </c>
    </row>
    <row r="257" spans="1:5" x14ac:dyDescent="0.25">
      <c r="A257" t="s">
        <v>154</v>
      </c>
      <c r="B257" t="s">
        <v>128</v>
      </c>
      <c r="C257" t="s">
        <v>177</v>
      </c>
      <c r="D257" s="5">
        <f>40*1.012</f>
        <v>40.480000000000004</v>
      </c>
      <c r="E257" s="11">
        <f t="shared" si="3"/>
        <v>0.44977777777777783</v>
      </c>
    </row>
    <row r="258" spans="1:5" x14ac:dyDescent="0.25">
      <c r="A258" t="s">
        <v>155</v>
      </c>
      <c r="B258" t="s">
        <v>128</v>
      </c>
      <c r="C258" t="s">
        <v>177</v>
      </c>
      <c r="D258" s="5">
        <f>40*1.012*1.012</f>
        <v>40.965760000000003</v>
      </c>
      <c r="E258" s="11">
        <f t="shared" si="3"/>
        <v>0.45517511111111114</v>
      </c>
    </row>
    <row r="259" spans="1:5" x14ac:dyDescent="0.25">
      <c r="A259" t="s">
        <v>168</v>
      </c>
      <c r="B259" t="s">
        <v>128</v>
      </c>
      <c r="C259" t="s">
        <v>177</v>
      </c>
      <c r="D259" s="5">
        <f>40*1.012*1.012</f>
        <v>40.965760000000003</v>
      </c>
      <c r="E259" s="11">
        <f t="shared" ref="E259:E264" si="4">D259/90</f>
        <v>0.45517511111111114</v>
      </c>
    </row>
    <row r="260" spans="1:5" x14ac:dyDescent="0.25">
      <c r="A260" t="s">
        <v>156</v>
      </c>
      <c r="B260" t="s">
        <v>156</v>
      </c>
      <c r="C260" t="s">
        <v>178</v>
      </c>
      <c r="D260" s="5">
        <v>132</v>
      </c>
      <c r="E260" s="11">
        <f t="shared" si="4"/>
        <v>1.4666666666666666</v>
      </c>
    </row>
    <row r="261" spans="1:5" x14ac:dyDescent="0.25">
      <c r="A261" t="s">
        <v>165</v>
      </c>
      <c r="B261" t="s">
        <v>156</v>
      </c>
      <c r="C261" t="s">
        <v>178</v>
      </c>
      <c r="D261" s="5">
        <f>144*0.96</f>
        <v>138.24</v>
      </c>
      <c r="E261" s="11">
        <f t="shared" si="4"/>
        <v>1.536</v>
      </c>
    </row>
    <row r="262" spans="1:5" x14ac:dyDescent="0.25">
      <c r="A262" t="s">
        <v>157</v>
      </c>
      <c r="B262" t="s">
        <v>156</v>
      </c>
      <c r="C262" t="s">
        <v>178</v>
      </c>
      <c r="D262" s="5">
        <v>132</v>
      </c>
      <c r="E262" s="11">
        <f t="shared" si="4"/>
        <v>1.4666666666666666</v>
      </c>
    </row>
    <row r="263" spans="1:5" x14ac:dyDescent="0.25">
      <c r="A263" t="s">
        <v>159</v>
      </c>
      <c r="B263" t="s">
        <v>156</v>
      </c>
      <c r="C263" t="s">
        <v>178</v>
      </c>
      <c r="D263" s="5">
        <f>132*1.1</f>
        <v>145.20000000000002</v>
      </c>
      <c r="E263" s="11">
        <f t="shared" si="4"/>
        <v>1.6133333333333335</v>
      </c>
    </row>
    <row r="264" spans="1:5" x14ac:dyDescent="0.25">
      <c r="A264" s="1" t="s">
        <v>158</v>
      </c>
      <c r="B264" t="s">
        <v>156</v>
      </c>
      <c r="C264" t="s">
        <v>178</v>
      </c>
      <c r="D264" s="5">
        <v>132</v>
      </c>
      <c r="E264" s="11">
        <f t="shared" si="4"/>
        <v>1.4666666666666666</v>
      </c>
    </row>
  </sheetData>
  <autoFilter ref="A1:E1"/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Llorens</dc:creator>
  <dc:description/>
  <cp:lastModifiedBy>Ana Llorens</cp:lastModifiedBy>
  <cp:revision>7</cp:revision>
  <dcterms:created xsi:type="dcterms:W3CDTF">2019-05-31T11:48:18Z</dcterms:created>
  <dcterms:modified xsi:type="dcterms:W3CDTF">2021-04-17T18:11:59Z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