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inli/Dropbox (Partners HealthCare)/LI-LAB-v0/"/>
    </mc:Choice>
  </mc:AlternateContent>
  <xr:revisionPtr revIDLastSave="0" documentId="13_ncr:1_{3224064E-6866-6F41-B24F-EDCDE5C2884C}" xr6:coauthVersionLast="47" xr6:coauthVersionMax="47" xr10:uidLastSave="{00000000-0000-0000-0000-000000000000}"/>
  <bookViews>
    <workbookView xWindow="11980" yWindow="500" windowWidth="38020" windowHeight="21100" activeTab="1" xr2:uid="{56BD4B3E-4CE0-B241-A0BB-E53B9B6AA3C1}"/>
  </bookViews>
  <sheets>
    <sheet name="20230130" sheetId="18" r:id="rId1"/>
    <sheet name="20230614" sheetId="19" r:id="rId2"/>
    <sheet name="Sheet1" sheetId="20" r:id="rId3"/>
    <sheet name="final" sheetId="21" r:id="rId4"/>
  </sheets>
  <definedNames>
    <definedName name="_xlnm.Print_Area" localSheetId="1">'20230614'!$L$50:$Q$72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9" l="1"/>
  <c r="N67" i="19" s="1"/>
  <c r="M68" i="19"/>
  <c r="N68" i="19" s="1"/>
  <c r="M69" i="19"/>
  <c r="N69" i="19" s="1"/>
  <c r="M70" i="19"/>
  <c r="N70" i="19"/>
  <c r="M66" i="19"/>
  <c r="N66" i="19" s="1"/>
  <c r="M61" i="19"/>
  <c r="N61" i="19" s="1"/>
  <c r="M62" i="19"/>
  <c r="N62" i="19" s="1"/>
  <c r="M63" i="19"/>
  <c r="N63" i="19" s="1"/>
  <c r="M64" i="19"/>
  <c r="N64" i="19" s="1"/>
  <c r="M60" i="19"/>
  <c r="N60" i="19" s="1"/>
  <c r="P52" i="19"/>
  <c r="O54" i="19"/>
  <c r="O55" i="19"/>
  <c r="O56" i="19"/>
  <c r="O57" i="19"/>
  <c r="O53" i="19"/>
  <c r="M54" i="19"/>
  <c r="N54" i="19" s="1"/>
  <c r="M55" i="19"/>
  <c r="N55" i="19" s="1"/>
  <c r="M56" i="19"/>
  <c r="N56" i="19" s="1"/>
  <c r="M57" i="19"/>
  <c r="N57" i="19" s="1"/>
  <c r="M53" i="19"/>
  <c r="N53" i="19" s="1"/>
  <c r="O52" i="19"/>
  <c r="J52" i="19"/>
  <c r="K52" i="19" s="1"/>
  <c r="N52" i="19" s="1"/>
  <c r="F43" i="19"/>
  <c r="H43" i="19" s="1"/>
  <c r="J43" i="19" s="1"/>
  <c r="G43" i="19"/>
  <c r="O43" i="19"/>
  <c r="F44" i="19"/>
  <c r="H44" i="19" s="1"/>
  <c r="J44" i="19" s="1"/>
  <c r="G44" i="19"/>
  <c r="O44" i="19"/>
  <c r="F45" i="19"/>
  <c r="G45" i="19"/>
  <c r="H45" i="19"/>
  <c r="J45" i="19"/>
  <c r="M45" i="19" s="1"/>
  <c r="O45" i="19"/>
  <c r="F46" i="19"/>
  <c r="H46" i="19" s="1"/>
  <c r="J46" i="19" s="1"/>
  <c r="G46" i="19"/>
  <c r="O46" i="19"/>
  <c r="F47" i="19"/>
  <c r="H47" i="19" s="1"/>
  <c r="J47" i="19" s="1"/>
  <c r="G47" i="19"/>
  <c r="O47" i="19"/>
  <c r="F48" i="19"/>
  <c r="H48" i="19" s="1"/>
  <c r="J48" i="19" s="1"/>
  <c r="G48" i="19"/>
  <c r="O48" i="19"/>
  <c r="U16" i="19"/>
  <c r="U17" i="19"/>
  <c r="U18" i="19"/>
  <c r="U19" i="19"/>
  <c r="U20" i="19"/>
  <c r="U15" i="19"/>
  <c r="T16" i="19"/>
  <c r="T17" i="19"/>
  <c r="T18" i="19"/>
  <c r="T19" i="19"/>
  <c r="T20" i="19"/>
  <c r="T15" i="19"/>
  <c r="S16" i="19"/>
  <c r="S17" i="19"/>
  <c r="S18" i="19"/>
  <c r="S19" i="19"/>
  <c r="S20" i="19"/>
  <c r="S15" i="19"/>
  <c r="O32" i="19"/>
  <c r="O33" i="19"/>
  <c r="O34" i="19"/>
  <c r="O35" i="19"/>
  <c r="O36" i="19"/>
  <c r="O37" i="19"/>
  <c r="O38" i="19"/>
  <c r="O39" i="19"/>
  <c r="O40" i="19"/>
  <c r="O41" i="19"/>
  <c r="O42" i="19"/>
  <c r="F31" i="19"/>
  <c r="H31" i="19" s="1"/>
  <c r="J31" i="19" s="1"/>
  <c r="M31" i="19" s="1"/>
  <c r="G31" i="19"/>
  <c r="F32" i="19"/>
  <c r="H32" i="19" s="1"/>
  <c r="J32" i="19" s="1"/>
  <c r="M32" i="19" s="1"/>
  <c r="G32" i="19"/>
  <c r="F33" i="19"/>
  <c r="H33" i="19" s="1"/>
  <c r="J33" i="19" s="1"/>
  <c r="M33" i="19" s="1"/>
  <c r="G33" i="19"/>
  <c r="F34" i="19"/>
  <c r="H34" i="19" s="1"/>
  <c r="J34" i="19" s="1"/>
  <c r="K34" i="19" s="1"/>
  <c r="N34" i="19" s="1"/>
  <c r="G34" i="19"/>
  <c r="F35" i="19"/>
  <c r="H35" i="19" s="1"/>
  <c r="J35" i="19" s="1"/>
  <c r="G35" i="19"/>
  <c r="F36" i="19"/>
  <c r="H36" i="19" s="1"/>
  <c r="J36" i="19" s="1"/>
  <c r="K36" i="19" s="1"/>
  <c r="N36" i="19" s="1"/>
  <c r="G36" i="19"/>
  <c r="F37" i="19"/>
  <c r="H37" i="19" s="1"/>
  <c r="J37" i="19" s="1"/>
  <c r="G37" i="19"/>
  <c r="F38" i="19"/>
  <c r="H38" i="19" s="1"/>
  <c r="J38" i="19" s="1"/>
  <c r="G38" i="19"/>
  <c r="F39" i="19"/>
  <c r="H39" i="19" s="1"/>
  <c r="J39" i="19" s="1"/>
  <c r="G39" i="19"/>
  <c r="F40" i="19"/>
  <c r="H40" i="19" s="1"/>
  <c r="J40" i="19" s="1"/>
  <c r="G40" i="19"/>
  <c r="F41" i="19"/>
  <c r="H41" i="19" s="1"/>
  <c r="J41" i="19" s="1"/>
  <c r="G41" i="19"/>
  <c r="F42" i="19"/>
  <c r="H42" i="19" s="1"/>
  <c r="J42" i="19" s="1"/>
  <c r="G42" i="19"/>
  <c r="G30" i="19"/>
  <c r="F30" i="19"/>
  <c r="H30" i="19" s="1"/>
  <c r="J30" i="19" s="1"/>
  <c r="M30" i="19" s="1"/>
  <c r="G29" i="19"/>
  <c r="F29" i="19"/>
  <c r="H29" i="19" s="1"/>
  <c r="J29" i="19" s="1"/>
  <c r="B24" i="20"/>
  <c r="H33" i="20" s="1"/>
  <c r="J33" i="20" s="1"/>
  <c r="K33" i="20" s="1"/>
  <c r="N33" i="20" s="1"/>
  <c r="B23" i="20"/>
  <c r="F31" i="20"/>
  <c r="G31" i="20"/>
  <c r="H31" i="20"/>
  <c r="J31" i="20"/>
  <c r="M31" i="20" s="1"/>
  <c r="O31" i="20"/>
  <c r="F32" i="20"/>
  <c r="G32" i="20"/>
  <c r="H32" i="20"/>
  <c r="J32" i="20"/>
  <c r="K32" i="20" s="1"/>
  <c r="N32" i="20" s="1"/>
  <c r="M32" i="20"/>
  <c r="O32" i="20"/>
  <c r="F33" i="20"/>
  <c r="G33" i="20"/>
  <c r="O33" i="20"/>
  <c r="F34" i="20"/>
  <c r="G34" i="20"/>
  <c r="H34" i="20"/>
  <c r="J34" i="20"/>
  <c r="K34" i="20" s="1"/>
  <c r="N34" i="20" s="1"/>
  <c r="O34" i="20"/>
  <c r="F35" i="20"/>
  <c r="G35" i="20"/>
  <c r="H35" i="20"/>
  <c r="J35" i="20" s="1"/>
  <c r="O35" i="20"/>
  <c r="F36" i="20"/>
  <c r="G36" i="20"/>
  <c r="H36" i="20"/>
  <c r="J36" i="20" s="1"/>
  <c r="K36" i="20" s="1"/>
  <c r="N36" i="20" s="1"/>
  <c r="O36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B29" i="20"/>
  <c r="C29" i="20"/>
  <c r="F29" i="20" s="1"/>
  <c r="H29" i="20" s="1"/>
  <c r="J29" i="20" s="1"/>
  <c r="D29" i="20"/>
  <c r="A29" i="20"/>
  <c r="E3" i="20"/>
  <c r="E4" i="20"/>
  <c r="E5" i="20"/>
  <c r="E6" i="20"/>
  <c r="E7" i="20"/>
  <c r="E8" i="20"/>
  <c r="E9" i="20"/>
  <c r="E2" i="20"/>
  <c r="O30" i="20"/>
  <c r="G30" i="20"/>
  <c r="F30" i="20"/>
  <c r="H30" i="20" s="1"/>
  <c r="J30" i="20" s="1"/>
  <c r="O29" i="20"/>
  <c r="O31" i="19"/>
  <c r="O30" i="19"/>
  <c r="O29" i="19"/>
  <c r="D9" i="19"/>
  <c r="D8" i="19"/>
  <c r="D7" i="19"/>
  <c r="D6" i="19"/>
  <c r="D5" i="19"/>
  <c r="D4" i="19"/>
  <c r="D3" i="19"/>
  <c r="D2" i="19"/>
  <c r="F34" i="18"/>
  <c r="G34" i="18"/>
  <c r="H34" i="18"/>
  <c r="J34" i="18" s="1"/>
  <c r="O34" i="18"/>
  <c r="E3" i="18"/>
  <c r="E4" i="18"/>
  <c r="E5" i="18"/>
  <c r="E6" i="18"/>
  <c r="E7" i="18"/>
  <c r="B18" i="18" s="1"/>
  <c r="E8" i="18"/>
  <c r="B19" i="18" s="1"/>
  <c r="E9" i="18"/>
  <c r="B20" i="18" s="1"/>
  <c r="E2" i="18"/>
  <c r="O30" i="18"/>
  <c r="O31" i="18"/>
  <c r="O32" i="18"/>
  <c r="O33" i="18"/>
  <c r="F30" i="18"/>
  <c r="H30" i="18" s="1"/>
  <c r="J30" i="18" s="1"/>
  <c r="M30" i="18" s="1"/>
  <c r="G30" i="18"/>
  <c r="F31" i="18"/>
  <c r="H31" i="18" s="1"/>
  <c r="J31" i="18" s="1"/>
  <c r="M31" i="18" s="1"/>
  <c r="G31" i="18"/>
  <c r="F32" i="18"/>
  <c r="H32" i="18" s="1"/>
  <c r="J32" i="18" s="1"/>
  <c r="M32" i="18" s="1"/>
  <c r="G32" i="18"/>
  <c r="F33" i="18"/>
  <c r="H33" i="18" s="1"/>
  <c r="J33" i="18" s="1"/>
  <c r="M33" i="18" s="1"/>
  <c r="G33" i="18"/>
  <c r="O29" i="18"/>
  <c r="G29" i="18"/>
  <c r="F29" i="18"/>
  <c r="B17" i="18"/>
  <c r="B16" i="18"/>
  <c r="B15" i="18"/>
  <c r="B14" i="18"/>
  <c r="B13" i="18"/>
  <c r="K44" i="19" l="1"/>
  <c r="N44" i="19" s="1"/>
  <c r="M44" i="19"/>
  <c r="K45" i="19"/>
  <c r="N45" i="19" s="1"/>
  <c r="M46" i="19"/>
  <c r="K46" i="19"/>
  <c r="N46" i="19" s="1"/>
  <c r="K37" i="19"/>
  <c r="N37" i="19" s="1"/>
  <c r="M37" i="19"/>
  <c r="K42" i="19"/>
  <c r="N42" i="19" s="1"/>
  <c r="M42" i="19"/>
  <c r="K43" i="19"/>
  <c r="N43" i="19" s="1"/>
  <c r="M43" i="19"/>
  <c r="K38" i="19"/>
  <c r="N38" i="19" s="1"/>
  <c r="M38" i="19"/>
  <c r="M39" i="19"/>
  <c r="K39" i="19"/>
  <c r="N39" i="19" s="1"/>
  <c r="M35" i="19"/>
  <c r="K35" i="19"/>
  <c r="N35" i="19" s="1"/>
  <c r="K41" i="19"/>
  <c r="N41" i="19" s="1"/>
  <c r="M41" i="19"/>
  <c r="M40" i="19"/>
  <c r="K40" i="19"/>
  <c r="N40" i="19" s="1"/>
  <c r="K30" i="19"/>
  <c r="N30" i="19" s="1"/>
  <c r="M36" i="19"/>
  <c r="M52" i="19"/>
  <c r="M48" i="19"/>
  <c r="K48" i="19"/>
  <c r="N48" i="19" s="1"/>
  <c r="K47" i="19"/>
  <c r="N47" i="19" s="1"/>
  <c r="M47" i="19"/>
  <c r="M34" i="19"/>
  <c r="K33" i="19"/>
  <c r="N33" i="19" s="1"/>
  <c r="K32" i="19"/>
  <c r="N32" i="19" s="1"/>
  <c r="K31" i="19"/>
  <c r="N31" i="19" s="1"/>
  <c r="K31" i="20"/>
  <c r="N31" i="20" s="1"/>
  <c r="M35" i="20"/>
  <c r="K35" i="20"/>
  <c r="N35" i="20" s="1"/>
  <c r="M36" i="20"/>
  <c r="M34" i="20"/>
  <c r="M33" i="20"/>
  <c r="G29" i="20"/>
  <c r="M30" i="20"/>
  <c r="K30" i="20"/>
  <c r="N30" i="20" s="1"/>
  <c r="M29" i="20"/>
  <c r="K29" i="20"/>
  <c r="N29" i="20" s="1"/>
  <c r="M29" i="19"/>
  <c r="K29" i="19"/>
  <c r="N29" i="19" s="1"/>
  <c r="O35" i="18"/>
  <c r="K34" i="18"/>
  <c r="N34" i="18" s="1"/>
  <c r="M34" i="18"/>
  <c r="H29" i="18"/>
  <c r="J29" i="18" s="1"/>
  <c r="K30" i="18"/>
  <c r="N30" i="18" s="1"/>
  <c r="K33" i="18"/>
  <c r="N33" i="18" s="1"/>
  <c r="K31" i="18"/>
  <c r="N31" i="18" s="1"/>
  <c r="K32" i="18"/>
  <c r="N32" i="18" s="1"/>
  <c r="K29" i="18" l="1"/>
  <c r="N29" i="18" s="1"/>
  <c r="M29" i="18"/>
</calcChain>
</file>

<file path=xl/sharedStrings.xml><?xml version="1.0" encoding="utf-8"?>
<sst xmlns="http://schemas.openxmlformats.org/spreadsheetml/2006/main" count="317" uniqueCount="99">
  <si>
    <t>Standard (ug/mL)</t>
  </si>
  <si>
    <t>mean</t>
  </si>
  <si>
    <t>BCA rapid gold</t>
  </si>
  <si>
    <t>5 uL + 100 uL</t>
  </si>
  <si>
    <t xml:space="preserve">Dilute 5x in dW before aliquot 5 uL </t>
  </si>
  <si>
    <t>mix thoroughly</t>
  </si>
  <si>
    <t>Concentration (ug/mL)</t>
  </si>
  <si>
    <t>OD595</t>
  </si>
  <si>
    <t>y=ax+b</t>
  </si>
  <si>
    <t>a=</t>
  </si>
  <si>
    <t>b=</t>
  </si>
  <si>
    <t>Dilution factor</t>
  </si>
  <si>
    <t>Sample mean OD</t>
  </si>
  <si>
    <t>Sample Conc (ug/mL)</t>
  </si>
  <si>
    <t>volume sample (uL)</t>
  </si>
  <si>
    <t>Vol RIPA (uL)</t>
  </si>
  <si>
    <t xml:space="preserve">Protein (ug) </t>
  </si>
  <si>
    <t>Gel</t>
  </si>
  <si>
    <t>5 mins lapse btw plate</t>
  </si>
  <si>
    <t>Total vol</t>
  </si>
  <si>
    <t>8.30 mins</t>
  </si>
  <si>
    <t>Graphpad</t>
  </si>
  <si>
    <t>4X Laemli + DTT (uL)</t>
  </si>
  <si>
    <t>1 DTT + 19 Lammelli</t>
  </si>
  <si>
    <t>0.1 D2</t>
  </si>
  <si>
    <t>0.5 D2</t>
  </si>
  <si>
    <t>0.1 D4</t>
  </si>
  <si>
    <t>0.5 D4</t>
  </si>
  <si>
    <t>DMSO D4</t>
  </si>
  <si>
    <t>0.5 D7</t>
  </si>
  <si>
    <t>Y = 0.0003014*X + 0.3513</t>
  </si>
  <si>
    <t>Sample SD OD</t>
  </si>
  <si>
    <t>5 uL protein + 20 uL dw</t>
  </si>
  <si>
    <t>HT29 SOX9 g1 dTAG 5th sort</t>
  </si>
  <si>
    <t>0.1 D2 (1)</t>
  </si>
  <si>
    <t>0.5 D2 (2)</t>
  </si>
  <si>
    <t>0.1 D4 (3)</t>
  </si>
  <si>
    <t>0.5 D4 (4)</t>
  </si>
  <si>
    <t>DMSO D4 (5)</t>
  </si>
  <si>
    <t>0.5 D7 (6)</t>
  </si>
  <si>
    <t xml:space="preserve">     -</t>
  </si>
  <si>
    <t>Slope</t>
  </si>
  <si>
    <t>Y-intercept</t>
  </si>
  <si>
    <t>X-intercept</t>
  </si>
  <si>
    <t>1/slope</t>
  </si>
  <si>
    <t>DMSO_1</t>
  </si>
  <si>
    <t>DMSO_2</t>
  </si>
  <si>
    <t>DMSO_3</t>
  </si>
  <si>
    <t>DMSO_4</t>
  </si>
  <si>
    <t>Romi_1</t>
  </si>
  <si>
    <t>Romi_2</t>
  </si>
  <si>
    <t>Romi_3</t>
  </si>
  <si>
    <t>Romi_4</t>
  </si>
  <si>
    <t>Best-fit values</t>
  </si>
  <si>
    <t>24hr</t>
  </si>
  <si>
    <t>HT29_GFP</t>
  </si>
  <si>
    <t>HT29_HDAC1V5</t>
  </si>
  <si>
    <t>HT29_HDAC2V5</t>
  </si>
  <si>
    <t>HT115_GFP</t>
  </si>
  <si>
    <t>HT115_HDAC1V5</t>
  </si>
  <si>
    <t>HT115_HDAC2V5</t>
  </si>
  <si>
    <t>LS180_NTC</t>
  </si>
  <si>
    <t>LS180_NA</t>
  </si>
  <si>
    <t>LS180_g1</t>
  </si>
  <si>
    <t>LS180_g2</t>
  </si>
  <si>
    <t>HT115_NTC</t>
  </si>
  <si>
    <t>HT115_NA</t>
  </si>
  <si>
    <t>HT115_g1</t>
  </si>
  <si>
    <t>HT115_g2</t>
  </si>
  <si>
    <t># Gel</t>
  </si>
  <si>
    <t>Merck60 rescue</t>
  </si>
  <si>
    <t>HT29_NA</t>
  </si>
  <si>
    <t>HT29_NTC</t>
  </si>
  <si>
    <t>HT29_1</t>
  </si>
  <si>
    <t>HT29_2</t>
  </si>
  <si>
    <t>HT29_3</t>
  </si>
  <si>
    <t>HT29_4</t>
  </si>
  <si>
    <t>JARID2 KO</t>
  </si>
  <si>
    <t>western blot</t>
  </si>
  <si>
    <t>Simple version</t>
  </si>
  <si>
    <t>Assuming</t>
  </si>
  <si>
    <t>BCA ratio</t>
  </si>
  <si>
    <t>HT29_g2_1</t>
  </si>
  <si>
    <t>HT29_g1_2</t>
  </si>
  <si>
    <t>HT29_g2_2</t>
  </si>
  <si>
    <t>HT29_g1_1</t>
  </si>
  <si>
    <t>Sample</t>
  </si>
  <si>
    <t>5ul DTT + 95ul 4xLae</t>
  </si>
  <si>
    <t>72ul</t>
  </si>
  <si>
    <t>HT115_g1_1</t>
  </si>
  <si>
    <t>HT115_g1_2</t>
  </si>
  <si>
    <t>HT115_g2_1</t>
  </si>
  <si>
    <t>HT115_g2_2</t>
  </si>
  <si>
    <t>LS180_g1_1</t>
  </si>
  <si>
    <t>LS180_g1_2</t>
  </si>
  <si>
    <t>LS180_g2_1</t>
  </si>
  <si>
    <t>LS180_g2_2</t>
  </si>
  <si>
    <t>New version 20ul</t>
  </si>
  <si>
    <t>200 ul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</si>
</sst>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00"/>
    <numFmt numFmtId="166" formatCode="0.00000000000"/>
    <numFmt numFmtId="167" formatCode="0.0"/>
    <numFmt numFmtId="168" formatCode="0.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164" fontId="0" fillId="2" borderId="0" xfId="0" applyNumberFormat="1" applyFill="1"/>
    <xf numFmtId="0" fontId="0" fillId="0" borderId="2" xfId="0" applyBorder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0" fillId="0" borderId="1" xfId="0" applyNumberFormat="1" applyBorder="1"/>
    <xf numFmtId="0" fontId="8" fillId="0" borderId="0" xfId="0" applyFont="1"/>
    <xf numFmtId="168" fontId="0" fillId="0" borderId="0" xfId="0" applyNumberFormat="1"/>
    <xf numFmtId="0" fontId="9" fillId="0" borderId="0" xfId="0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915449500110198E-2"/>
                  <c:y val="-4.86774569845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'20230130'!$A$13:$A$20</c:f>
              <c:numCache>
                <c:formatCode>General</c:formatCode>
                <c:ptCount val="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xVal>
          <c:yVal>
            <c:numRef>
              <c:f>'20230130'!$B$13:$B$20</c:f>
              <c:numCache>
                <c:formatCode>General</c:formatCode>
                <c:ptCount val="8"/>
                <c:pt idx="0">
                  <c:v>0.36266666666666669</c:v>
                </c:pt>
                <c:pt idx="1">
                  <c:v>0.39833333333333337</c:v>
                </c:pt>
                <c:pt idx="2">
                  <c:v>0.44533333333333336</c:v>
                </c:pt>
                <c:pt idx="3">
                  <c:v>0.47733333333333333</c:v>
                </c:pt>
                <c:pt idx="4">
                  <c:v>0.56366666666666665</c:v>
                </c:pt>
                <c:pt idx="5">
                  <c:v>0.621</c:v>
                </c:pt>
                <c:pt idx="6">
                  <c:v>0.82866666666666655</c:v>
                </c:pt>
                <c:pt idx="7">
                  <c:v>0.95933333333333337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D-4F77-ACC1-710EF360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5471"/>
        <c:axId val="160210479"/>
      </c:scatterChart>
      <c:valAx>
        <c:axId val="1601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0479"/>
        <c:crosses val="autoZero"/>
        <c:crossBetween val="midCat"/>
      </c:valAx>
      <c:valAx>
        <c:axId val="1602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23024103906345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'20230614'!$A$13:$A$20</c:f>
              <c:numCache>
                <c:formatCode>General</c:formatCode>
                <c:ptCount val="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xVal>
          <c:yVal>
            <c:numRef>
              <c:f>'20230614'!$B$13:$B$20</c:f>
              <c:numCache>
                <c:formatCode>General</c:formatCode>
                <c:ptCount val="8"/>
                <c:pt idx="0">
                  <c:v>0.439</c:v>
                </c:pt>
                <c:pt idx="1">
                  <c:v>0.496</c:v>
                </c:pt>
                <c:pt idx="2">
                  <c:v>0.5595</c:v>
                </c:pt>
                <c:pt idx="3">
                  <c:v>0.7</c:v>
                </c:pt>
                <c:pt idx="4">
                  <c:v>0.88149999999999995</c:v>
                </c:pt>
                <c:pt idx="5">
                  <c:v>0.95500000000000007</c:v>
                </c:pt>
                <c:pt idx="6">
                  <c:v>1.1859999999999999</c:v>
                </c:pt>
                <c:pt idx="7">
                  <c:v>1.4815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8-7840-9360-0CA020E9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65152"/>
        <c:axId val="231867856"/>
      </c:scatterChart>
      <c:valAx>
        <c:axId val="2318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7856"/>
        <c:crosses val="autoZero"/>
        <c:crossBetween val="midCat"/>
      </c:valAx>
      <c:valAx>
        <c:axId val="2318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0.36249999999999999</c:v>
                </c:pt>
                <c:pt idx="1">
                  <c:v>0.42249999999999999</c:v>
                </c:pt>
                <c:pt idx="2">
                  <c:v>0.47099999999999997</c:v>
                </c:pt>
                <c:pt idx="3">
                  <c:v>0.60899999999999999</c:v>
                </c:pt>
                <c:pt idx="4">
                  <c:v>0.872</c:v>
                </c:pt>
                <c:pt idx="5">
                  <c:v>1.0960000000000001</c:v>
                </c:pt>
                <c:pt idx="6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A-264C-BA8C-C8AC6B21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72224"/>
        <c:axId val="520273952"/>
      </c:scatterChart>
      <c:valAx>
        <c:axId val="5202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73952"/>
        <c:crosses val="autoZero"/>
        <c:crossBetween val="midCat"/>
      </c:valAx>
      <c:valAx>
        <c:axId val="5202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9</xdr:row>
      <xdr:rowOff>25400</xdr:rowOff>
    </xdr:from>
    <xdr:to>
      <xdr:col>11</xdr:col>
      <xdr:colOff>184150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26374-F141-4C02-9B26-AA04249BF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133350</xdr:rowOff>
    </xdr:from>
    <xdr:to>
      <xdr:col>8</xdr:col>
      <xdr:colOff>361950</xdr:colOff>
      <xdr:row>24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1F559-A586-41F1-39BE-E9FD1CCF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</xdr:row>
      <xdr:rowOff>107950</xdr:rowOff>
    </xdr:from>
    <xdr:to>
      <xdr:col>12</xdr:col>
      <xdr:colOff>158750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27DA5-1E1A-2EA8-0BA6-52F0F0A50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7D3F-1BFC-4117-8E31-7CAE52566DF0}">
  <dimension ref="A1:V35"/>
  <sheetViews>
    <sheetView workbookViewId="0">
      <selection activeCell="A35" sqref="A1:XFD1048576"/>
    </sheetView>
  </sheetViews>
  <sheetFormatPr baseColWidth="10" defaultColWidth="8.6640625" defaultRowHeight="16" x14ac:dyDescent="0.2"/>
  <cols>
    <col min="1" max="1" width="25.83203125" customWidth="1"/>
    <col min="2" max="4" width="8.6640625" customWidth="1"/>
    <col min="5" max="5" width="7.5" customWidth="1"/>
    <col min="6" max="6" width="8.6640625" customWidth="1"/>
    <col min="7" max="7" width="9.1640625" customWidth="1"/>
    <col min="8" max="8" width="17.33203125" customWidth="1"/>
    <col min="9" max="9" width="12.5" customWidth="1"/>
    <col min="10" max="10" width="9.83203125" customWidth="1"/>
    <col min="11" max="11" width="8.1640625" customWidth="1"/>
    <col min="12" max="12" width="3.6640625" customWidth="1"/>
    <col min="13" max="13" width="12" customWidth="1"/>
    <col min="14" max="14" width="8" customWidth="1"/>
    <col min="15" max="15" width="7.1640625" customWidth="1"/>
    <col min="17" max="18" width="9.33203125" bestFit="1" customWidth="1"/>
    <col min="19" max="19" width="10.33203125" customWidth="1"/>
    <col min="20" max="20" width="25.83203125" customWidth="1"/>
    <col min="21" max="21" width="22" customWidth="1"/>
    <col min="22" max="22" width="25.83203125" customWidth="1"/>
    <col min="23" max="23" width="23.83203125" customWidth="1"/>
  </cols>
  <sheetData>
    <row r="1" spans="1:22" x14ac:dyDescent="0.2">
      <c r="A1" t="s">
        <v>0</v>
      </c>
      <c r="E1" t="s">
        <v>1</v>
      </c>
      <c r="M1" t="s">
        <v>2</v>
      </c>
      <c r="S1" s="11" t="s">
        <v>24</v>
      </c>
      <c r="T1">
        <v>0.74399999999999999</v>
      </c>
      <c r="U1">
        <v>0.67800000000000005</v>
      </c>
      <c r="V1">
        <v>0.69499999999999995</v>
      </c>
    </row>
    <row r="2" spans="1:22" x14ac:dyDescent="0.2">
      <c r="A2">
        <v>0</v>
      </c>
      <c r="B2">
        <v>0.36599999999999999</v>
      </c>
      <c r="C2">
        <v>0.35899999999999999</v>
      </c>
      <c r="D2">
        <v>0.36299999999999999</v>
      </c>
      <c r="E2">
        <f>AVERAGE(B2:D2)</f>
        <v>0.36266666666666669</v>
      </c>
      <c r="M2" t="s">
        <v>3</v>
      </c>
      <c r="S2" s="11" t="s">
        <v>25</v>
      </c>
      <c r="T2">
        <v>0.70699999999999996</v>
      </c>
      <c r="U2">
        <v>0.66900000000000004</v>
      </c>
      <c r="V2">
        <v>0.67700000000000005</v>
      </c>
    </row>
    <row r="3" spans="1:22" x14ac:dyDescent="0.2">
      <c r="A3">
        <v>125</v>
      </c>
      <c r="B3">
        <v>0.40600000000000003</v>
      </c>
      <c r="C3">
        <v>0.39600000000000002</v>
      </c>
      <c r="D3">
        <v>0.39300000000000002</v>
      </c>
      <c r="E3">
        <f t="shared" ref="E3:E9" si="0">AVERAGE(B3:D3)</f>
        <v>0.39833333333333337</v>
      </c>
      <c r="M3" t="s">
        <v>20</v>
      </c>
      <c r="N3" t="s">
        <v>18</v>
      </c>
      <c r="S3" s="11" t="s">
        <v>26</v>
      </c>
      <c r="T3">
        <v>0.98899999999999999</v>
      </c>
      <c r="U3">
        <v>0.92600000000000005</v>
      </c>
      <c r="V3">
        <v>0.90300000000000002</v>
      </c>
    </row>
    <row r="4" spans="1:22" x14ac:dyDescent="0.2">
      <c r="A4">
        <v>250</v>
      </c>
      <c r="B4">
        <v>0.441</v>
      </c>
      <c r="C4">
        <v>0.44800000000000001</v>
      </c>
      <c r="D4">
        <v>0.44700000000000001</v>
      </c>
      <c r="E4">
        <f t="shared" si="0"/>
        <v>0.44533333333333336</v>
      </c>
      <c r="M4" t="s">
        <v>4</v>
      </c>
      <c r="S4" s="11" t="s">
        <v>27</v>
      </c>
      <c r="T4">
        <v>1.0409999999999999</v>
      </c>
      <c r="U4">
        <v>0.94</v>
      </c>
      <c r="V4">
        <v>0.94399999999999995</v>
      </c>
    </row>
    <row r="5" spans="1:22" x14ac:dyDescent="0.2">
      <c r="A5">
        <v>500</v>
      </c>
      <c r="B5">
        <v>0.52900000000000003</v>
      </c>
      <c r="C5">
        <v>0.51500000000000001</v>
      </c>
      <c r="D5">
        <v>0.38800000000000001</v>
      </c>
      <c r="E5">
        <f t="shared" si="0"/>
        <v>0.47733333333333333</v>
      </c>
      <c r="M5" t="s">
        <v>5</v>
      </c>
      <c r="S5" s="11" t="s">
        <v>28</v>
      </c>
      <c r="T5">
        <v>1.091</v>
      </c>
      <c r="U5">
        <v>0.99</v>
      </c>
      <c r="V5">
        <v>0.996</v>
      </c>
    </row>
    <row r="6" spans="1:22" x14ac:dyDescent="0.2">
      <c r="A6">
        <v>750</v>
      </c>
      <c r="B6">
        <v>0.57999999999999996</v>
      </c>
      <c r="C6">
        <v>0.55500000000000005</v>
      </c>
      <c r="D6">
        <v>0.55600000000000005</v>
      </c>
      <c r="E6">
        <f t="shared" si="0"/>
        <v>0.56366666666666665</v>
      </c>
      <c r="S6" s="11" t="s">
        <v>29</v>
      </c>
      <c r="T6">
        <v>1.3779999999999999</v>
      </c>
      <c r="U6">
        <v>1.1819999999999999</v>
      </c>
      <c r="V6">
        <v>1.234</v>
      </c>
    </row>
    <row r="7" spans="1:22" x14ac:dyDescent="0.2">
      <c r="A7">
        <v>1000</v>
      </c>
      <c r="B7">
        <v>0.71499999999999997</v>
      </c>
      <c r="C7">
        <v>0.69299999999999995</v>
      </c>
      <c r="D7">
        <v>0.45500000000000002</v>
      </c>
      <c r="E7">
        <f t="shared" si="0"/>
        <v>0.621</v>
      </c>
    </row>
    <row r="8" spans="1:22" x14ac:dyDescent="0.2">
      <c r="A8">
        <v>1500</v>
      </c>
      <c r="B8">
        <v>0.85499999999999998</v>
      </c>
      <c r="C8">
        <v>0.81699999999999995</v>
      </c>
      <c r="D8">
        <v>0.81399999999999995</v>
      </c>
      <c r="E8">
        <f t="shared" si="0"/>
        <v>0.82866666666666655</v>
      </c>
    </row>
    <row r="9" spans="1:22" x14ac:dyDescent="0.2">
      <c r="A9">
        <v>2000</v>
      </c>
      <c r="B9">
        <v>0.998</v>
      </c>
      <c r="C9">
        <v>0.95</v>
      </c>
      <c r="D9">
        <v>0.93</v>
      </c>
      <c r="E9">
        <f t="shared" si="0"/>
        <v>0.95933333333333337</v>
      </c>
    </row>
    <row r="12" spans="1:22" x14ac:dyDescent="0.2">
      <c r="A12" t="s">
        <v>6</v>
      </c>
      <c r="B12" t="s">
        <v>7</v>
      </c>
      <c r="Q12" s="9" t="s">
        <v>21</v>
      </c>
      <c r="R12" s="6"/>
    </row>
    <row r="13" spans="1:22" x14ac:dyDescent="0.2">
      <c r="A13">
        <v>0</v>
      </c>
      <c r="B13">
        <f>E2</f>
        <v>0.36266666666666669</v>
      </c>
      <c r="Q13" s="8" t="s">
        <v>30</v>
      </c>
      <c r="R13" s="6"/>
    </row>
    <row r="14" spans="1:22" x14ac:dyDescent="0.2">
      <c r="A14">
        <v>125</v>
      </c>
      <c r="B14">
        <f t="shared" ref="B14:B20" si="1">E3</f>
        <v>0.39833333333333337</v>
      </c>
      <c r="Q14" s="12"/>
      <c r="R14" s="8"/>
    </row>
    <row r="15" spans="1:22" x14ac:dyDescent="0.2">
      <c r="A15">
        <v>250</v>
      </c>
      <c r="B15">
        <f t="shared" si="1"/>
        <v>0.44533333333333336</v>
      </c>
      <c r="Q15" s="12"/>
      <c r="R15" s="8"/>
    </row>
    <row r="16" spans="1:22" x14ac:dyDescent="0.2">
      <c r="A16">
        <v>500</v>
      </c>
      <c r="B16">
        <f t="shared" si="1"/>
        <v>0.47733333333333333</v>
      </c>
      <c r="Q16" s="7"/>
      <c r="R16" s="6"/>
    </row>
    <row r="17" spans="1:19" x14ac:dyDescent="0.2">
      <c r="A17">
        <v>750</v>
      </c>
      <c r="B17">
        <f>E6</f>
        <v>0.56366666666666665</v>
      </c>
      <c r="Q17" s="7"/>
      <c r="R17" s="6"/>
    </row>
    <row r="18" spans="1:19" x14ac:dyDescent="0.2">
      <c r="A18">
        <v>1000</v>
      </c>
      <c r="B18">
        <f t="shared" si="1"/>
        <v>0.621</v>
      </c>
      <c r="Q18" s="7"/>
      <c r="R18" s="6"/>
      <c r="S18" s="6"/>
    </row>
    <row r="19" spans="1:19" x14ac:dyDescent="0.2">
      <c r="A19">
        <v>1500</v>
      </c>
      <c r="B19">
        <f t="shared" si="1"/>
        <v>0.82866666666666655</v>
      </c>
      <c r="Q19" s="7"/>
      <c r="R19" s="6"/>
      <c r="S19" s="6"/>
    </row>
    <row r="20" spans="1:19" x14ac:dyDescent="0.2">
      <c r="A20">
        <v>2000</v>
      </c>
      <c r="B20">
        <f t="shared" si="1"/>
        <v>0.95933333333333337</v>
      </c>
      <c r="Q20" s="7"/>
      <c r="R20" s="6"/>
      <c r="S20" s="6"/>
    </row>
    <row r="21" spans="1:19" x14ac:dyDescent="0.2">
      <c r="Q21" s="7"/>
      <c r="R21" s="6"/>
      <c r="S21" s="6"/>
    </row>
    <row r="22" spans="1:19" x14ac:dyDescent="0.2">
      <c r="A22" t="s">
        <v>8</v>
      </c>
      <c r="Q22" s="7"/>
      <c r="R22" s="6"/>
      <c r="S22" s="6"/>
    </row>
    <row r="23" spans="1:19" x14ac:dyDescent="0.2">
      <c r="A23" t="s">
        <v>9</v>
      </c>
      <c r="B23" s="13">
        <v>3.0140000000000001E-4</v>
      </c>
      <c r="Q23" s="7"/>
      <c r="R23" s="6"/>
      <c r="S23" s="6"/>
    </row>
    <row r="24" spans="1:19" x14ac:dyDescent="0.2">
      <c r="A24" t="s">
        <v>10</v>
      </c>
      <c r="B24" s="1">
        <v>0.3513</v>
      </c>
      <c r="Q24" s="7"/>
      <c r="R24" s="6"/>
      <c r="S24" s="6"/>
    </row>
    <row r="25" spans="1:19" x14ac:dyDescent="0.2">
      <c r="Q25" s="7"/>
      <c r="R25" s="6"/>
      <c r="S25" s="6"/>
    </row>
    <row r="26" spans="1:19" x14ac:dyDescent="0.2">
      <c r="Q26" s="7"/>
      <c r="R26" s="6"/>
      <c r="S26" s="6"/>
    </row>
    <row r="27" spans="1:19" x14ac:dyDescent="0.2">
      <c r="A27" t="s">
        <v>33</v>
      </c>
      <c r="E27" t="s">
        <v>32</v>
      </c>
      <c r="J27" t="s">
        <v>19</v>
      </c>
      <c r="K27" s="1">
        <v>24</v>
      </c>
      <c r="O27">
        <v>32</v>
      </c>
      <c r="Q27" s="7"/>
      <c r="R27" s="6"/>
      <c r="S27" s="6"/>
    </row>
    <row r="28" spans="1:19" x14ac:dyDescent="0.2">
      <c r="A28" s="5"/>
      <c r="B28" s="2"/>
      <c r="C28" s="2"/>
      <c r="D28" s="2"/>
      <c r="E28" s="10" t="s">
        <v>11</v>
      </c>
      <c r="F28" s="10" t="s">
        <v>12</v>
      </c>
      <c r="G28" s="10" t="s">
        <v>31</v>
      </c>
      <c r="H28" s="10" t="s">
        <v>13</v>
      </c>
      <c r="I28" s="10" t="s">
        <v>16</v>
      </c>
      <c r="J28" s="10" t="s">
        <v>14</v>
      </c>
      <c r="K28" s="10" t="s">
        <v>15</v>
      </c>
      <c r="L28" s="10" t="s">
        <v>17</v>
      </c>
      <c r="M28" s="10" t="s">
        <v>14</v>
      </c>
      <c r="N28" s="10" t="s">
        <v>15</v>
      </c>
      <c r="O28" s="10" t="s">
        <v>22</v>
      </c>
      <c r="Q28" s="7"/>
      <c r="R28" s="4" t="s">
        <v>23</v>
      </c>
      <c r="S28" s="6"/>
    </row>
    <row r="29" spans="1:19" x14ac:dyDescent="0.2">
      <c r="A29" s="10" t="s">
        <v>34</v>
      </c>
      <c r="B29">
        <v>0.74399999999999999</v>
      </c>
      <c r="C29">
        <v>0.67800000000000005</v>
      </c>
      <c r="D29">
        <v>0.69499999999999995</v>
      </c>
      <c r="E29" s="2">
        <v>5</v>
      </c>
      <c r="F29" s="2">
        <f t="shared" ref="F29" si="2">AVERAGE(B29:D29)</f>
        <v>0.70566666666666666</v>
      </c>
      <c r="G29" s="2">
        <f t="shared" ref="G29" si="3">_xlfn.STDEV.S(B29:D29)</f>
        <v>3.426854728950926E-2</v>
      </c>
      <c r="H29" s="2">
        <f>(F29-B$24)/B$23*E29</f>
        <v>5878.6772837867729</v>
      </c>
      <c r="I29" s="2">
        <v>40</v>
      </c>
      <c r="J29" s="3">
        <f t="shared" ref="J29:J33" si="4">I29/H29*1000</f>
        <v>6.8042517166776406</v>
      </c>
      <c r="K29" s="3">
        <f t="shared" ref="K29:K33" si="5">$K$27-J29</f>
        <v>17.195748283322359</v>
      </c>
      <c r="L29" s="2">
        <v>3</v>
      </c>
      <c r="M29" s="3">
        <f t="shared" ref="M29" si="6">L29*J29</f>
        <v>20.412755150032922</v>
      </c>
      <c r="N29" s="3">
        <f t="shared" ref="N29" si="7">L29*K29</f>
        <v>51.587244849967078</v>
      </c>
      <c r="O29" s="2">
        <f>L29*8</f>
        <v>24</v>
      </c>
      <c r="Q29" s="7"/>
      <c r="R29" s="6"/>
      <c r="S29" s="6"/>
    </row>
    <row r="30" spans="1:19" x14ac:dyDescent="0.2">
      <c r="A30" s="10" t="s">
        <v>35</v>
      </c>
      <c r="B30">
        <v>0.70699999999999996</v>
      </c>
      <c r="C30">
        <v>0.66900000000000004</v>
      </c>
      <c r="D30">
        <v>0.67700000000000005</v>
      </c>
      <c r="E30" s="2">
        <v>5</v>
      </c>
      <c r="F30" s="2">
        <f t="shared" ref="F30:F34" si="8">AVERAGE(B30:D30)</f>
        <v>0.68433333333333335</v>
      </c>
      <c r="G30" s="2">
        <f t="shared" ref="G30:G34" si="9">_xlfn.STDEV.S(B30:D30)</f>
        <v>2.0033305601755581E-2</v>
      </c>
      <c r="H30" s="2">
        <f t="shared" ref="H30:H33" si="10">(F30-B$24)/B$23*E30</f>
        <v>5524.7732802477331</v>
      </c>
      <c r="I30" s="2">
        <v>40</v>
      </c>
      <c r="J30" s="3">
        <f t="shared" si="4"/>
        <v>7.2401161044940441</v>
      </c>
      <c r="K30" s="3">
        <f t="shared" si="5"/>
        <v>16.759883895505958</v>
      </c>
      <c r="L30" s="2">
        <v>3</v>
      </c>
      <c r="M30" s="3">
        <f t="shared" ref="M30:M34" si="11">L30*J30</f>
        <v>21.720348313482134</v>
      </c>
      <c r="N30" s="3">
        <f t="shared" ref="N30:N34" si="12">L30*K30</f>
        <v>50.279651686517873</v>
      </c>
      <c r="O30" s="2">
        <f t="shared" ref="O30:O33" si="13">L30*8</f>
        <v>24</v>
      </c>
      <c r="Q30" s="7"/>
      <c r="R30" s="6"/>
      <c r="S30" s="6"/>
    </row>
    <row r="31" spans="1:19" x14ac:dyDescent="0.2">
      <c r="A31" s="10" t="s">
        <v>36</v>
      </c>
      <c r="B31">
        <v>0.98899999999999999</v>
      </c>
      <c r="C31">
        <v>0.92600000000000005</v>
      </c>
      <c r="D31">
        <v>0.90300000000000002</v>
      </c>
      <c r="E31" s="2">
        <v>5</v>
      </c>
      <c r="F31" s="2">
        <f t="shared" si="8"/>
        <v>0.93933333333333335</v>
      </c>
      <c r="G31" s="2">
        <f t="shared" si="9"/>
        <v>4.4523402086243717E-2</v>
      </c>
      <c r="H31" s="2">
        <f t="shared" si="10"/>
        <v>9755.0320725503225</v>
      </c>
      <c r="I31" s="2">
        <v>40</v>
      </c>
      <c r="J31" s="3">
        <f t="shared" si="4"/>
        <v>4.100447820418343</v>
      </c>
      <c r="K31" s="3">
        <f t="shared" si="5"/>
        <v>19.899552179581658</v>
      </c>
      <c r="L31" s="2">
        <v>3</v>
      </c>
      <c r="M31" s="3">
        <f t="shared" si="11"/>
        <v>12.30134346125503</v>
      </c>
      <c r="N31" s="3">
        <f t="shared" si="12"/>
        <v>59.69865653874497</v>
      </c>
      <c r="O31" s="2">
        <f t="shared" si="13"/>
        <v>24</v>
      </c>
      <c r="Q31" s="7"/>
      <c r="R31" s="6"/>
      <c r="S31" s="6"/>
    </row>
    <row r="32" spans="1:19" x14ac:dyDescent="0.2">
      <c r="A32" s="10" t="s">
        <v>37</v>
      </c>
      <c r="B32">
        <v>1.0409999999999999</v>
      </c>
      <c r="C32">
        <v>0.94</v>
      </c>
      <c r="D32">
        <v>0.94399999999999995</v>
      </c>
      <c r="E32" s="2">
        <v>5</v>
      </c>
      <c r="F32" s="2">
        <f t="shared" si="8"/>
        <v>0.97499999999999998</v>
      </c>
      <c r="G32" s="2">
        <f t="shared" si="9"/>
        <v>5.7192656871315202E-2</v>
      </c>
      <c r="H32" s="2">
        <f t="shared" si="10"/>
        <v>10346.715328467151</v>
      </c>
      <c r="I32" s="2">
        <v>40</v>
      </c>
      <c r="J32" s="3">
        <f t="shared" si="4"/>
        <v>3.8659611992945333</v>
      </c>
      <c r="K32" s="3">
        <f t="shared" si="5"/>
        <v>20.134038800705468</v>
      </c>
      <c r="L32" s="2">
        <v>3</v>
      </c>
      <c r="M32" s="3">
        <f t="shared" si="11"/>
        <v>11.5978835978836</v>
      </c>
      <c r="N32" s="3">
        <f t="shared" si="12"/>
        <v>60.402116402116405</v>
      </c>
      <c r="O32" s="2">
        <f t="shared" si="13"/>
        <v>24</v>
      </c>
      <c r="Q32" s="7"/>
      <c r="R32" s="6"/>
      <c r="S32" s="6"/>
    </row>
    <row r="33" spans="1:19" x14ac:dyDescent="0.2">
      <c r="A33" s="10" t="s">
        <v>38</v>
      </c>
      <c r="B33">
        <v>1.091</v>
      </c>
      <c r="C33">
        <v>0.99</v>
      </c>
      <c r="D33">
        <v>0.996</v>
      </c>
      <c r="E33" s="2">
        <v>5</v>
      </c>
      <c r="F33" s="2">
        <f t="shared" si="8"/>
        <v>1.0256666666666667</v>
      </c>
      <c r="G33" s="2">
        <f t="shared" si="9"/>
        <v>5.6659803505954127E-2</v>
      </c>
      <c r="H33" s="2">
        <f t="shared" si="10"/>
        <v>11187.237336872375</v>
      </c>
      <c r="I33" s="2">
        <v>40</v>
      </c>
      <c r="J33" s="3">
        <f t="shared" si="4"/>
        <v>3.5755029410310906</v>
      </c>
      <c r="K33" s="3">
        <f t="shared" si="5"/>
        <v>20.42449705896891</v>
      </c>
      <c r="L33" s="2">
        <v>3</v>
      </c>
      <c r="M33" s="3">
        <f t="shared" si="11"/>
        <v>10.726508823093273</v>
      </c>
      <c r="N33" s="3">
        <f t="shared" si="12"/>
        <v>61.273491176906731</v>
      </c>
      <c r="O33" s="2">
        <f t="shared" si="13"/>
        <v>24</v>
      </c>
      <c r="Q33" s="7"/>
      <c r="R33" s="6"/>
      <c r="S33" s="6"/>
    </row>
    <row r="34" spans="1:19" x14ac:dyDescent="0.2">
      <c r="A34" s="10" t="s">
        <v>39</v>
      </c>
      <c r="B34">
        <v>1.3779999999999999</v>
      </c>
      <c r="C34">
        <v>1.1819999999999999</v>
      </c>
      <c r="D34">
        <v>1.234</v>
      </c>
      <c r="E34" s="2">
        <v>5</v>
      </c>
      <c r="F34" s="2">
        <f t="shared" si="8"/>
        <v>1.2646666666666666</v>
      </c>
      <c r="G34" s="2">
        <f t="shared" si="9"/>
        <v>0.10153488727197824</v>
      </c>
      <c r="H34" s="2">
        <f>(F34-B$24)/B$23*E34</f>
        <v>15152.06812652068</v>
      </c>
      <c r="I34" s="2">
        <v>40</v>
      </c>
      <c r="J34" s="3">
        <f t="shared" ref="J34" si="14">I34/H34*1000</f>
        <v>2.6399036531513449</v>
      </c>
      <c r="K34" s="3">
        <f t="shared" ref="K34" si="15">$K$27-J34</f>
        <v>21.360096346848657</v>
      </c>
      <c r="L34" s="2">
        <v>3</v>
      </c>
      <c r="M34" s="3">
        <f t="shared" si="11"/>
        <v>7.9197109594540347</v>
      </c>
      <c r="N34" s="3">
        <f t="shared" si="12"/>
        <v>64.080289040545978</v>
      </c>
      <c r="O34" s="2">
        <f>L34*8</f>
        <v>24</v>
      </c>
    </row>
    <row r="35" spans="1:19" x14ac:dyDescent="0.2">
      <c r="O35" s="14">
        <f>SUM(O29:O34)</f>
        <v>144</v>
      </c>
    </row>
  </sheetData>
  <conditionalFormatting sqref="G29:G34">
    <cfRule type="colorScale" priority="2">
      <colorScale>
        <cfvo type="num" val="&quot;&gt;0.1&quot;"/>
        <cfvo type="num" val="&quot;&lt;0.1&quot;"/>
        <color rgb="FFFF7128"/>
        <color theme="0"/>
      </colorScale>
    </cfRule>
  </conditionalFormatting>
  <conditionalFormatting sqref="G1:G1048576">
    <cfRule type="cellIs" dxfId="4" priority="1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F97A-7C8B-724E-BC99-727EAE24A09D}">
  <dimension ref="A1:AD72"/>
  <sheetViews>
    <sheetView tabSelected="1" topLeftCell="B28" workbookViewId="0">
      <selection activeCell="L50" sqref="L50:Q72"/>
    </sheetView>
  </sheetViews>
  <sheetFormatPr baseColWidth="10" defaultColWidth="8.6640625" defaultRowHeight="16" x14ac:dyDescent="0.2"/>
  <cols>
    <col min="1" max="1" width="19.83203125" bestFit="1" customWidth="1"/>
    <col min="2" max="2" width="12.33203125" bestFit="1" customWidth="1"/>
    <col min="3" max="4" width="10.6640625" bestFit="1" customWidth="1"/>
    <col min="5" max="5" width="8.5" customWidth="1"/>
    <col min="6" max="6" width="15.6640625" bestFit="1" customWidth="1"/>
    <col min="7" max="7" width="13.33203125" bestFit="1" customWidth="1"/>
    <col min="8" max="8" width="19" bestFit="1" customWidth="1"/>
    <col min="9" max="9" width="11.33203125" bestFit="1" customWidth="1"/>
    <col min="10" max="10" width="17.6640625" bestFit="1" customWidth="1"/>
    <col min="11" max="11" width="11.83203125" bestFit="1" customWidth="1"/>
    <col min="12" max="12" width="7.1640625" customWidth="1"/>
    <col min="13" max="13" width="17.6640625" customWidth="1"/>
    <col min="14" max="14" width="11.83203125" bestFit="1" customWidth="1"/>
    <col min="15" max="15" width="18.5" bestFit="1" customWidth="1"/>
    <col min="16" max="16" width="11.5" customWidth="1"/>
    <col min="17" max="17" width="19.33203125" bestFit="1" customWidth="1"/>
    <col min="18" max="18" width="10.33203125" customWidth="1"/>
    <col min="19" max="19" width="25.83203125" customWidth="1"/>
    <col min="20" max="20" width="22" customWidth="1"/>
    <col min="21" max="21" width="25.83203125" customWidth="1"/>
    <col min="22" max="22" width="12.5" customWidth="1"/>
  </cols>
  <sheetData>
    <row r="1" spans="1:30" x14ac:dyDescent="0.2">
      <c r="A1" t="s">
        <v>0</v>
      </c>
      <c r="D1" t="s">
        <v>1</v>
      </c>
      <c r="L1" t="s">
        <v>2</v>
      </c>
      <c r="R1" s="11" t="s">
        <v>55</v>
      </c>
      <c r="S1">
        <v>0.46500000000000002</v>
      </c>
      <c r="T1">
        <v>0.45600000000000002</v>
      </c>
      <c r="U1">
        <v>0.46400000000000002</v>
      </c>
      <c r="AA1" t="s">
        <v>40</v>
      </c>
      <c r="AB1" t="s">
        <v>40</v>
      </c>
      <c r="AC1" t="s">
        <v>40</v>
      </c>
      <c r="AD1" t="s">
        <v>40</v>
      </c>
    </row>
    <row r="2" spans="1:30" x14ac:dyDescent="0.2">
      <c r="A2">
        <v>0</v>
      </c>
      <c r="B2">
        <v>0.441</v>
      </c>
      <c r="C2">
        <v>0.437</v>
      </c>
      <c r="D2">
        <f t="shared" ref="D2:D9" si="0">AVERAGE(B2:C2)</f>
        <v>0.439</v>
      </c>
      <c r="L2" t="s">
        <v>3</v>
      </c>
      <c r="R2" s="11" t="s">
        <v>56</v>
      </c>
      <c r="S2">
        <v>0.50800000000000001</v>
      </c>
      <c r="T2">
        <v>0.49299999999999999</v>
      </c>
      <c r="U2">
        <v>0.49199999999999999</v>
      </c>
      <c r="AA2" t="s">
        <v>40</v>
      </c>
      <c r="AB2" t="s">
        <v>40</v>
      </c>
      <c r="AC2" t="s">
        <v>40</v>
      </c>
      <c r="AD2" t="s">
        <v>40</v>
      </c>
    </row>
    <row r="3" spans="1:30" x14ac:dyDescent="0.2">
      <c r="A3">
        <v>125</v>
      </c>
      <c r="B3">
        <v>0.51</v>
      </c>
      <c r="C3">
        <v>0.48199999999999998</v>
      </c>
      <c r="D3">
        <f t="shared" si="0"/>
        <v>0.496</v>
      </c>
      <c r="L3" t="s">
        <v>20</v>
      </c>
      <c r="M3" t="s">
        <v>18</v>
      </c>
      <c r="R3" s="11" t="s">
        <v>57</v>
      </c>
      <c r="S3">
        <v>0.70199999999999996</v>
      </c>
      <c r="T3">
        <v>0.68200000000000005</v>
      </c>
      <c r="U3">
        <v>0.64600000000000002</v>
      </c>
      <c r="AA3" t="s">
        <v>40</v>
      </c>
      <c r="AB3" t="s">
        <v>40</v>
      </c>
      <c r="AC3" t="s">
        <v>40</v>
      </c>
      <c r="AD3" t="s">
        <v>40</v>
      </c>
    </row>
    <row r="4" spans="1:30" x14ac:dyDescent="0.2">
      <c r="A4">
        <v>250</v>
      </c>
      <c r="B4">
        <v>0.56999999999999995</v>
      </c>
      <c r="C4">
        <v>0.54900000000000004</v>
      </c>
      <c r="D4">
        <f t="shared" si="0"/>
        <v>0.5595</v>
      </c>
      <c r="L4" t="s">
        <v>4</v>
      </c>
      <c r="R4" s="11" t="s">
        <v>58</v>
      </c>
      <c r="S4">
        <v>1.0589999999999999</v>
      </c>
      <c r="T4">
        <v>1.006</v>
      </c>
      <c r="U4">
        <v>0.93200000000000005</v>
      </c>
      <c r="AA4" t="s">
        <v>40</v>
      </c>
      <c r="AB4" t="s">
        <v>40</v>
      </c>
      <c r="AC4" t="s">
        <v>40</v>
      </c>
      <c r="AD4" t="s">
        <v>40</v>
      </c>
    </row>
    <row r="5" spans="1:30" x14ac:dyDescent="0.2">
      <c r="A5">
        <v>500</v>
      </c>
      <c r="B5">
        <v>0.71099999999999997</v>
      </c>
      <c r="C5">
        <v>0.68899999999999995</v>
      </c>
      <c r="D5">
        <f t="shared" si="0"/>
        <v>0.7</v>
      </c>
      <c r="L5" t="s">
        <v>5</v>
      </c>
      <c r="R5" s="11" t="s">
        <v>59</v>
      </c>
      <c r="S5">
        <v>0.97499999999999998</v>
      </c>
      <c r="T5">
        <v>0.96499999999999997</v>
      </c>
      <c r="U5">
        <v>0.98899999999999999</v>
      </c>
      <c r="AA5" t="s">
        <v>40</v>
      </c>
      <c r="AB5" t="s">
        <v>40</v>
      </c>
      <c r="AC5" t="s">
        <v>40</v>
      </c>
      <c r="AD5" t="s">
        <v>40</v>
      </c>
    </row>
    <row r="6" spans="1:30" x14ac:dyDescent="0.2">
      <c r="A6">
        <v>750</v>
      </c>
      <c r="B6">
        <v>0.91600000000000004</v>
      </c>
      <c r="C6">
        <v>0.84699999999999998</v>
      </c>
      <c r="D6">
        <f t="shared" si="0"/>
        <v>0.88149999999999995</v>
      </c>
      <c r="R6" s="11" t="s">
        <v>60</v>
      </c>
      <c r="S6">
        <v>1.0649999999999999</v>
      </c>
      <c r="T6">
        <v>1.024</v>
      </c>
      <c r="U6">
        <v>1.012</v>
      </c>
      <c r="AA6" t="s">
        <v>40</v>
      </c>
      <c r="AB6" t="s">
        <v>40</v>
      </c>
      <c r="AC6" t="s">
        <v>40</v>
      </c>
      <c r="AD6" t="s">
        <v>40</v>
      </c>
    </row>
    <row r="7" spans="1:30" x14ac:dyDescent="0.2">
      <c r="A7">
        <v>1000</v>
      </c>
      <c r="B7">
        <v>0.97299999999999998</v>
      </c>
      <c r="C7">
        <v>0.93700000000000006</v>
      </c>
      <c r="D7">
        <f t="shared" si="0"/>
        <v>0.95500000000000007</v>
      </c>
      <c r="R7" s="11" t="s">
        <v>61</v>
      </c>
      <c r="S7">
        <v>0.90800000000000003</v>
      </c>
      <c r="T7">
        <v>0.89600000000000002</v>
      </c>
      <c r="U7">
        <v>0.9</v>
      </c>
      <c r="AA7" t="s">
        <v>40</v>
      </c>
      <c r="AB7" t="s">
        <v>40</v>
      </c>
      <c r="AC7" t="s">
        <v>40</v>
      </c>
      <c r="AD7" t="s">
        <v>40</v>
      </c>
    </row>
    <row r="8" spans="1:30" x14ac:dyDescent="0.2">
      <c r="A8">
        <v>1500</v>
      </c>
      <c r="B8">
        <v>1.212</v>
      </c>
      <c r="C8">
        <v>1.1599999999999999</v>
      </c>
      <c r="D8">
        <f t="shared" si="0"/>
        <v>1.1859999999999999</v>
      </c>
      <c r="R8" s="11" t="s">
        <v>62</v>
      </c>
      <c r="S8">
        <v>0.90900000000000003</v>
      </c>
      <c r="T8">
        <v>0.90600000000000003</v>
      </c>
      <c r="U8">
        <v>0.90900000000000003</v>
      </c>
      <c r="AA8" t="s">
        <v>40</v>
      </c>
      <c r="AB8" t="s">
        <v>40</v>
      </c>
      <c r="AC8" t="s">
        <v>40</v>
      </c>
      <c r="AD8" t="s">
        <v>40</v>
      </c>
    </row>
    <row r="9" spans="1:30" x14ac:dyDescent="0.2">
      <c r="A9">
        <v>2000</v>
      </c>
      <c r="B9">
        <v>1.5229999999999999</v>
      </c>
      <c r="C9">
        <v>1.44</v>
      </c>
      <c r="D9">
        <f t="shared" si="0"/>
        <v>1.4815</v>
      </c>
      <c r="R9" s="11" t="s">
        <v>63</v>
      </c>
      <c r="S9">
        <v>1.022</v>
      </c>
      <c r="T9">
        <v>0.93</v>
      </c>
      <c r="U9">
        <v>0.90300000000000002</v>
      </c>
    </row>
    <row r="10" spans="1:30" x14ac:dyDescent="0.2">
      <c r="R10" s="11" t="s">
        <v>64</v>
      </c>
      <c r="S10">
        <v>0.84199999999999997</v>
      </c>
      <c r="T10">
        <v>0.82799999999999996</v>
      </c>
      <c r="U10">
        <v>0.52500000000000002</v>
      </c>
    </row>
    <row r="11" spans="1:30" x14ac:dyDescent="0.2">
      <c r="R11" s="11" t="s">
        <v>65</v>
      </c>
      <c r="S11">
        <v>0.60399999999999998</v>
      </c>
      <c r="T11">
        <v>0.61299999999999999</v>
      </c>
      <c r="U11">
        <v>0.56000000000000005</v>
      </c>
    </row>
    <row r="12" spans="1:30" x14ac:dyDescent="0.2">
      <c r="A12" t="s">
        <v>6</v>
      </c>
      <c r="B12" t="s">
        <v>7</v>
      </c>
      <c r="P12" s="9" t="s">
        <v>21</v>
      </c>
      <c r="Q12" s="6"/>
      <c r="R12" s="11" t="s">
        <v>66</v>
      </c>
      <c r="S12">
        <v>0.66300000000000003</v>
      </c>
      <c r="T12">
        <v>0.65400000000000003</v>
      </c>
      <c r="U12">
        <v>0.64700000000000002</v>
      </c>
    </row>
    <row r="13" spans="1:30" x14ac:dyDescent="0.2">
      <c r="A13">
        <v>0</v>
      </c>
      <c r="B13">
        <v>0.439</v>
      </c>
      <c r="P13" s="8" t="s">
        <v>30</v>
      </c>
      <c r="Q13" s="6"/>
      <c r="R13" s="11" t="s">
        <v>67</v>
      </c>
      <c r="S13">
        <v>0.67600000000000005</v>
      </c>
      <c r="T13">
        <v>0.67400000000000004</v>
      </c>
      <c r="U13">
        <v>0.66500000000000004</v>
      </c>
    </row>
    <row r="14" spans="1:30" x14ac:dyDescent="0.2">
      <c r="A14">
        <v>125</v>
      </c>
      <c r="B14">
        <v>0.496</v>
      </c>
      <c r="P14" s="12"/>
      <c r="Q14" s="8"/>
      <c r="R14" s="11" t="s">
        <v>68</v>
      </c>
      <c r="S14">
        <v>0.67700000000000005</v>
      </c>
      <c r="T14">
        <v>0.67500000000000004</v>
      </c>
      <c r="U14">
        <v>0.66200000000000003</v>
      </c>
    </row>
    <row r="15" spans="1:30" x14ac:dyDescent="0.2">
      <c r="A15">
        <v>250</v>
      </c>
      <c r="B15">
        <v>0.5595</v>
      </c>
      <c r="P15" s="12" t="s">
        <v>41</v>
      </c>
      <c r="Q15" s="17">
        <v>5.1619999999999997E-4</v>
      </c>
      <c r="R15" s="19" t="s">
        <v>71</v>
      </c>
      <c r="S15">
        <f>0.909*V15</f>
        <v>0.98369791666666662</v>
      </c>
      <c r="T15">
        <f>0.906*V15</f>
        <v>0.98045138888888883</v>
      </c>
      <c r="U15">
        <f>0.909*V15</f>
        <v>0.98369791666666662</v>
      </c>
      <c r="V15">
        <v>1.0821759259259258</v>
      </c>
    </row>
    <row r="16" spans="1:30" x14ac:dyDescent="0.2">
      <c r="A16">
        <v>500</v>
      </c>
      <c r="B16">
        <v>0.7</v>
      </c>
      <c r="P16" s="12" t="s">
        <v>42</v>
      </c>
      <c r="Q16" s="17">
        <v>0.44209999999999999</v>
      </c>
      <c r="R16" s="19" t="s">
        <v>72</v>
      </c>
      <c r="S16">
        <f t="shared" ref="S16:S20" si="1">0.909*V16</f>
        <v>0.59547916666666667</v>
      </c>
      <c r="T16">
        <f t="shared" ref="T16:T20" si="2">0.906*V16</f>
        <v>0.5935138888888889</v>
      </c>
      <c r="U16">
        <f t="shared" ref="U16:U20" si="3">0.909*V16</f>
        <v>0.59547916666666667</v>
      </c>
      <c r="V16">
        <v>0.65509259259259256</v>
      </c>
    </row>
    <row r="17" spans="1:22" x14ac:dyDescent="0.2">
      <c r="A17">
        <v>750</v>
      </c>
      <c r="B17">
        <v>0.88149999999999995</v>
      </c>
      <c r="P17" s="12" t="s">
        <v>43</v>
      </c>
      <c r="Q17" s="17">
        <v>-856.5</v>
      </c>
      <c r="R17" s="19" t="s">
        <v>73</v>
      </c>
      <c r="S17">
        <f t="shared" si="1"/>
        <v>1.0194687499999999</v>
      </c>
      <c r="T17">
        <f t="shared" si="2"/>
        <v>1.0161041666666666</v>
      </c>
      <c r="U17">
        <f t="shared" si="3"/>
        <v>1.0194687499999999</v>
      </c>
      <c r="V17">
        <v>1.1215277777777777</v>
      </c>
    </row>
    <row r="18" spans="1:22" x14ac:dyDescent="0.2">
      <c r="A18">
        <v>1000</v>
      </c>
      <c r="B18">
        <v>0.95500000000000007</v>
      </c>
      <c r="P18" s="12" t="s">
        <v>44</v>
      </c>
      <c r="Q18" s="17">
        <v>1937</v>
      </c>
      <c r="R18" s="19" t="s">
        <v>74</v>
      </c>
      <c r="S18">
        <f t="shared" si="1"/>
        <v>0.98615277777777766</v>
      </c>
      <c r="T18">
        <f t="shared" si="2"/>
        <v>0.98289814814814802</v>
      </c>
      <c r="U18">
        <f t="shared" si="3"/>
        <v>0.98615277777777766</v>
      </c>
      <c r="V18">
        <v>1.0848765432098764</v>
      </c>
    </row>
    <row r="19" spans="1:22" x14ac:dyDescent="0.2">
      <c r="A19">
        <v>1500</v>
      </c>
      <c r="B19">
        <v>1.1859999999999999</v>
      </c>
      <c r="P19" s="7"/>
      <c r="Q19" s="6"/>
      <c r="R19" s="19" t="s">
        <v>75</v>
      </c>
      <c r="S19">
        <f t="shared" si="1"/>
        <v>1.1727222222222222</v>
      </c>
      <c r="T19">
        <f t="shared" si="2"/>
        <v>1.1688518518518518</v>
      </c>
      <c r="U19">
        <f t="shared" si="3"/>
        <v>1.1727222222222222</v>
      </c>
      <c r="V19">
        <v>1.2901234567901234</v>
      </c>
    </row>
    <row r="20" spans="1:22" x14ac:dyDescent="0.2">
      <c r="A20">
        <v>2000</v>
      </c>
      <c r="B20">
        <v>1.4815</v>
      </c>
      <c r="P20" s="7"/>
      <c r="Q20" s="6"/>
      <c r="R20" s="19" t="s">
        <v>76</v>
      </c>
      <c r="S20">
        <f t="shared" si="1"/>
        <v>1.1727222222222222</v>
      </c>
      <c r="T20">
        <f t="shared" si="2"/>
        <v>1.1688518518518518</v>
      </c>
      <c r="U20">
        <f t="shared" si="3"/>
        <v>1.1727222222222222</v>
      </c>
      <c r="V20">
        <v>1.2901234567901234</v>
      </c>
    </row>
    <row r="21" spans="1:22" x14ac:dyDescent="0.2">
      <c r="P21" s="7"/>
      <c r="Q21" s="6"/>
      <c r="R21" s="6"/>
    </row>
    <row r="22" spans="1:22" x14ac:dyDescent="0.2">
      <c r="A22" t="s">
        <v>8</v>
      </c>
      <c r="P22" s="7"/>
      <c r="Q22" s="6"/>
      <c r="R22" s="6"/>
    </row>
    <row r="23" spans="1:22" x14ac:dyDescent="0.2">
      <c r="A23" t="s">
        <v>9</v>
      </c>
      <c r="B23" s="16">
        <v>5.1619999999999997E-4</v>
      </c>
      <c r="P23" s="7"/>
      <c r="Q23" s="6"/>
      <c r="R23" s="6"/>
    </row>
    <row r="24" spans="1:22" x14ac:dyDescent="0.2">
      <c r="A24" t="s">
        <v>10</v>
      </c>
      <c r="B24" s="16">
        <v>0.44209999999999999</v>
      </c>
      <c r="P24" s="7"/>
      <c r="Q24" s="6"/>
      <c r="R24" s="6"/>
    </row>
    <row r="25" spans="1:22" x14ac:dyDescent="0.2">
      <c r="P25" s="7"/>
      <c r="Q25" s="6"/>
      <c r="R25" s="6"/>
    </row>
    <row r="26" spans="1:22" x14ac:dyDescent="0.2">
      <c r="P26" s="7"/>
      <c r="Q26" s="6"/>
      <c r="R26" s="6"/>
    </row>
    <row r="27" spans="1:22" x14ac:dyDescent="0.2">
      <c r="A27" t="s">
        <v>70</v>
      </c>
      <c r="B27" t="s">
        <v>54</v>
      </c>
      <c r="E27" t="s">
        <v>32</v>
      </c>
      <c r="J27" t="s">
        <v>19</v>
      </c>
      <c r="K27" s="1">
        <v>24</v>
      </c>
      <c r="O27">
        <v>32</v>
      </c>
      <c r="Q27" s="7"/>
      <c r="R27" s="6"/>
      <c r="S27" s="6"/>
    </row>
    <row r="28" spans="1:22" x14ac:dyDescent="0.2">
      <c r="A28" s="5"/>
      <c r="B28" s="2"/>
      <c r="C28" s="2"/>
      <c r="E28" s="10" t="s">
        <v>11</v>
      </c>
      <c r="F28" s="10" t="s">
        <v>12</v>
      </c>
      <c r="G28" s="10" t="s">
        <v>31</v>
      </c>
      <c r="H28" s="10" t="s">
        <v>13</v>
      </c>
      <c r="I28" s="10" t="s">
        <v>16</v>
      </c>
      <c r="J28" s="10" t="s">
        <v>14</v>
      </c>
      <c r="K28" s="10" t="s">
        <v>15</v>
      </c>
      <c r="L28" s="10" t="s">
        <v>69</v>
      </c>
      <c r="M28" s="10" t="s">
        <v>14</v>
      </c>
      <c r="N28" s="10" t="s">
        <v>15</v>
      </c>
      <c r="O28" s="10" t="s">
        <v>22</v>
      </c>
      <c r="Q28" s="7"/>
      <c r="R28" s="4" t="s">
        <v>23</v>
      </c>
      <c r="S28" s="6"/>
    </row>
    <row r="29" spans="1:22" x14ac:dyDescent="0.2">
      <c r="A29" s="11" t="s">
        <v>55</v>
      </c>
      <c r="B29">
        <v>0.46500000000000002</v>
      </c>
      <c r="C29">
        <v>0.45600000000000002</v>
      </c>
      <c r="D29">
        <v>0.46400000000000002</v>
      </c>
      <c r="E29" s="2">
        <v>5</v>
      </c>
      <c r="F29" s="2">
        <f>AVERAGE(B29:D29)</f>
        <v>0.46166666666666667</v>
      </c>
      <c r="G29" s="2">
        <f>_xlfn.STDEV.S(B29:D29)</f>
        <v>4.9328828623162518E-3</v>
      </c>
      <c r="H29" s="2">
        <f>(F29-B$24)/B$23*E29</f>
        <v>189.52602350510148</v>
      </c>
      <c r="I29" s="2">
        <v>10</v>
      </c>
      <c r="J29" s="3">
        <f t="shared" ref="J29:J42" si="4">I29/H29*1000</f>
        <v>52.763202725724</v>
      </c>
      <c r="K29" s="18">
        <f>$K$27-J29</f>
        <v>-28.763202725724</v>
      </c>
      <c r="L29" s="2">
        <v>1</v>
      </c>
      <c r="M29" s="3">
        <f t="shared" ref="M29" si="5">L29*J29</f>
        <v>52.763202725724</v>
      </c>
      <c r="N29" s="3">
        <f t="shared" ref="N29" si="6">L29*K29</f>
        <v>-28.763202725724</v>
      </c>
      <c r="O29" s="2">
        <f>L29*8</f>
        <v>8</v>
      </c>
      <c r="P29" s="11" t="s">
        <v>55</v>
      </c>
      <c r="Q29" s="7"/>
      <c r="R29" s="6"/>
      <c r="S29" s="6"/>
    </row>
    <row r="30" spans="1:22" x14ac:dyDescent="0.2">
      <c r="A30" s="11" t="s">
        <v>56</v>
      </c>
      <c r="B30">
        <v>0.50800000000000001</v>
      </c>
      <c r="C30">
        <v>0.49299999999999999</v>
      </c>
      <c r="D30">
        <v>0.49199999999999999</v>
      </c>
      <c r="E30" s="2">
        <v>5</v>
      </c>
      <c r="F30" s="2">
        <f>AVERAGE(B30:D30)</f>
        <v>0.49766666666666665</v>
      </c>
      <c r="G30" s="2">
        <f>_xlfn.STDEV.S(B30:D30)</f>
        <v>8.9628864398325087E-3</v>
      </c>
      <c r="H30" s="2">
        <f>(F30-B$24)/B$23*E30</f>
        <v>538.22807697274948</v>
      </c>
      <c r="I30" s="2">
        <v>10</v>
      </c>
      <c r="J30" s="3">
        <f t="shared" si="4"/>
        <v>18.579484103179368</v>
      </c>
      <c r="K30" s="18">
        <f t="shared" ref="K30:K42" si="7">$K$27-J30</f>
        <v>5.420515896820632</v>
      </c>
      <c r="L30" s="2">
        <v>1</v>
      </c>
      <c r="M30" s="3">
        <f t="shared" ref="M30:M42" si="8">L30*J30</f>
        <v>18.579484103179368</v>
      </c>
      <c r="N30" s="3">
        <f t="shared" ref="N30:N42" si="9">L30*K30</f>
        <v>5.420515896820632</v>
      </c>
      <c r="O30" s="2">
        <f t="shared" ref="O30:O42" si="10">L30*8</f>
        <v>8</v>
      </c>
      <c r="P30" s="11" t="s">
        <v>56</v>
      </c>
      <c r="Q30" s="7"/>
      <c r="R30" s="6"/>
      <c r="S30" s="6"/>
    </row>
    <row r="31" spans="1:22" x14ac:dyDescent="0.2">
      <c r="A31" s="11" t="s">
        <v>57</v>
      </c>
      <c r="B31">
        <v>0.70199999999999996</v>
      </c>
      <c r="C31">
        <v>0.68200000000000005</v>
      </c>
      <c r="D31">
        <v>0.64600000000000002</v>
      </c>
      <c r="E31" s="2">
        <v>5</v>
      </c>
      <c r="F31" s="2">
        <f t="shared" ref="F31:F42" si="11">AVERAGE(B31:D31)</f>
        <v>0.67666666666666664</v>
      </c>
      <c r="G31" s="2">
        <f t="shared" ref="G31:G42" si="12">_xlfn.STDEV.S(B31:D31)</f>
        <v>2.8378395538390326E-2</v>
      </c>
      <c r="H31" s="2">
        <f t="shared" ref="H31:H42" si="13">(F31-B$24)/B$23*E31</f>
        <v>2272.0521761591112</v>
      </c>
      <c r="I31" s="2">
        <v>10</v>
      </c>
      <c r="J31" s="3">
        <f t="shared" si="4"/>
        <v>4.4013073753019754</v>
      </c>
      <c r="K31" s="18">
        <f t="shared" si="7"/>
        <v>19.598692624698025</v>
      </c>
      <c r="L31" s="2">
        <v>1</v>
      </c>
      <c r="M31" s="3">
        <f t="shared" si="8"/>
        <v>4.4013073753019754</v>
      </c>
      <c r="N31" s="3">
        <f t="shared" si="9"/>
        <v>19.598692624698025</v>
      </c>
      <c r="O31" s="2">
        <f t="shared" si="10"/>
        <v>8</v>
      </c>
      <c r="P31" s="11" t="s">
        <v>57</v>
      </c>
      <c r="Q31" s="7"/>
      <c r="R31" s="6"/>
      <c r="S31" s="6"/>
    </row>
    <row r="32" spans="1:22" x14ac:dyDescent="0.2">
      <c r="A32" s="11" t="s">
        <v>58</v>
      </c>
      <c r="B32">
        <v>1.0589999999999999</v>
      </c>
      <c r="C32">
        <v>1.006</v>
      </c>
      <c r="D32">
        <v>0.93200000000000005</v>
      </c>
      <c r="E32" s="2">
        <v>5</v>
      </c>
      <c r="F32" s="2">
        <f t="shared" si="11"/>
        <v>0.999</v>
      </c>
      <c r="G32" s="2">
        <f t="shared" si="12"/>
        <v>6.378871373526819E-2</v>
      </c>
      <c r="H32" s="2">
        <f t="shared" si="13"/>
        <v>5394.2270437814796</v>
      </c>
      <c r="I32" s="2">
        <v>40</v>
      </c>
      <c r="J32" s="3">
        <f t="shared" si="4"/>
        <v>7.415334889567248</v>
      </c>
      <c r="K32" s="18">
        <f t="shared" si="7"/>
        <v>16.584665110432752</v>
      </c>
      <c r="L32" s="2">
        <v>3</v>
      </c>
      <c r="M32" s="3">
        <f t="shared" si="8"/>
        <v>22.246004668701744</v>
      </c>
      <c r="N32" s="3">
        <f t="shared" si="9"/>
        <v>49.753995331298256</v>
      </c>
      <c r="O32" s="2">
        <f t="shared" si="10"/>
        <v>24</v>
      </c>
      <c r="P32" s="11" t="s">
        <v>58</v>
      </c>
      <c r="Q32" s="7"/>
      <c r="R32" s="6"/>
      <c r="S32" s="6"/>
    </row>
    <row r="33" spans="1:19" x14ac:dyDescent="0.2">
      <c r="A33" s="11" t="s">
        <v>59</v>
      </c>
      <c r="B33">
        <v>0.97499999999999998</v>
      </c>
      <c r="C33">
        <v>0.96499999999999997</v>
      </c>
      <c r="D33">
        <v>0.98899999999999999</v>
      </c>
      <c r="E33" s="2">
        <v>5</v>
      </c>
      <c r="F33" s="2">
        <f t="shared" si="11"/>
        <v>0.97633333333333328</v>
      </c>
      <c r="G33" s="2">
        <f t="shared" si="12"/>
        <v>1.2055427546683426E-2</v>
      </c>
      <c r="H33" s="2">
        <f t="shared" si="13"/>
        <v>5174.6738990055546</v>
      </c>
      <c r="I33" s="2">
        <v>40</v>
      </c>
      <c r="J33" s="3">
        <f t="shared" si="4"/>
        <v>7.7299556997566592</v>
      </c>
      <c r="K33" s="18">
        <f t="shared" si="7"/>
        <v>16.270044300243342</v>
      </c>
      <c r="L33" s="2">
        <v>3</v>
      </c>
      <c r="M33" s="3">
        <f t="shared" si="8"/>
        <v>23.189867099269978</v>
      </c>
      <c r="N33" s="3">
        <f t="shared" si="9"/>
        <v>48.810132900730025</v>
      </c>
      <c r="O33" s="2">
        <f t="shared" si="10"/>
        <v>24</v>
      </c>
      <c r="P33" s="11" t="s">
        <v>59</v>
      </c>
      <c r="Q33" s="7"/>
      <c r="R33" s="6"/>
      <c r="S33" s="6"/>
    </row>
    <row r="34" spans="1:19" x14ac:dyDescent="0.2">
      <c r="A34" s="11" t="s">
        <v>60</v>
      </c>
      <c r="B34">
        <v>1.0649999999999999</v>
      </c>
      <c r="C34">
        <v>1.024</v>
      </c>
      <c r="D34">
        <v>1.012</v>
      </c>
      <c r="E34" s="2">
        <v>5</v>
      </c>
      <c r="F34" s="2">
        <f t="shared" si="11"/>
        <v>1.0336666666666667</v>
      </c>
      <c r="G34" s="2">
        <f t="shared" si="12"/>
        <v>2.7790885796126239E-2</v>
      </c>
      <c r="H34" s="2">
        <f t="shared" si="13"/>
        <v>5730.0142063799576</v>
      </c>
      <c r="I34" s="2">
        <v>40</v>
      </c>
      <c r="J34" s="3">
        <f t="shared" si="4"/>
        <v>6.9807854848706805</v>
      </c>
      <c r="K34" s="18">
        <f t="shared" si="7"/>
        <v>17.01921451512932</v>
      </c>
      <c r="L34" s="2">
        <v>3</v>
      </c>
      <c r="M34" s="3">
        <f t="shared" si="8"/>
        <v>20.942356454612042</v>
      </c>
      <c r="N34" s="3">
        <f t="shared" si="9"/>
        <v>51.057643545387961</v>
      </c>
      <c r="O34" s="2">
        <f t="shared" si="10"/>
        <v>24</v>
      </c>
      <c r="P34" s="11" t="s">
        <v>60</v>
      </c>
    </row>
    <row r="35" spans="1:19" x14ac:dyDescent="0.2">
      <c r="A35" s="11" t="s">
        <v>61</v>
      </c>
      <c r="B35">
        <v>0.90800000000000003</v>
      </c>
      <c r="C35">
        <v>0.89600000000000002</v>
      </c>
      <c r="D35">
        <v>0.9</v>
      </c>
      <c r="E35" s="2">
        <v>5</v>
      </c>
      <c r="F35" s="2">
        <f t="shared" si="11"/>
        <v>0.90133333333333343</v>
      </c>
      <c r="G35" s="2">
        <f t="shared" si="12"/>
        <v>6.1101009266077925E-3</v>
      </c>
      <c r="H35" s="2">
        <f t="shared" si="13"/>
        <v>4448.2112876146211</v>
      </c>
      <c r="I35" s="2">
        <v>40</v>
      </c>
      <c r="J35" s="3">
        <f t="shared" si="4"/>
        <v>8.9923786020178529</v>
      </c>
      <c r="K35" s="18">
        <f t="shared" si="7"/>
        <v>15.007621397982147</v>
      </c>
      <c r="L35" s="2">
        <v>3</v>
      </c>
      <c r="M35" s="3">
        <f t="shared" si="8"/>
        <v>26.97713580605356</v>
      </c>
      <c r="N35" s="3">
        <f t="shared" si="9"/>
        <v>45.02286419394644</v>
      </c>
      <c r="O35" s="2">
        <f t="shared" si="10"/>
        <v>24</v>
      </c>
      <c r="P35" s="11" t="s">
        <v>61</v>
      </c>
    </row>
    <row r="36" spans="1:19" x14ac:dyDescent="0.2">
      <c r="A36" s="11" t="s">
        <v>62</v>
      </c>
      <c r="B36">
        <v>0.90900000000000003</v>
      </c>
      <c r="C36">
        <v>0.90600000000000003</v>
      </c>
      <c r="D36">
        <v>0.90900000000000003</v>
      </c>
      <c r="E36" s="2">
        <v>5</v>
      </c>
      <c r="F36" s="2">
        <f t="shared" si="11"/>
        <v>0.90800000000000003</v>
      </c>
      <c r="G36" s="2">
        <f t="shared" si="12"/>
        <v>1.7320508075688791E-3</v>
      </c>
      <c r="H36" s="2">
        <f t="shared" si="13"/>
        <v>4512.7857419604807</v>
      </c>
      <c r="I36" s="2">
        <v>40</v>
      </c>
      <c r="J36" s="3">
        <f t="shared" si="4"/>
        <v>8.8637046576518568</v>
      </c>
      <c r="K36" s="18">
        <f t="shared" si="7"/>
        <v>15.136295342348143</v>
      </c>
      <c r="L36" s="2">
        <v>3</v>
      </c>
      <c r="M36" s="3">
        <f t="shared" si="8"/>
        <v>26.591113972955569</v>
      </c>
      <c r="N36" s="3">
        <f t="shared" si="9"/>
        <v>45.408886027044431</v>
      </c>
      <c r="O36" s="2">
        <f t="shared" si="10"/>
        <v>24</v>
      </c>
      <c r="P36" s="11" t="s">
        <v>62</v>
      </c>
    </row>
    <row r="37" spans="1:19" x14ac:dyDescent="0.2">
      <c r="A37" s="11" t="s">
        <v>63</v>
      </c>
      <c r="B37">
        <v>1.022</v>
      </c>
      <c r="C37">
        <v>0.93</v>
      </c>
      <c r="D37">
        <v>0.90300000000000002</v>
      </c>
      <c r="E37" s="2">
        <v>5</v>
      </c>
      <c r="F37" s="2">
        <f t="shared" si="11"/>
        <v>0.95166666666666666</v>
      </c>
      <c r="G37" s="2">
        <f t="shared" si="12"/>
        <v>6.2388567328744877E-2</v>
      </c>
      <c r="H37" s="2">
        <f t="shared" si="13"/>
        <v>4935.748417925869</v>
      </c>
      <c r="I37" s="2">
        <v>40</v>
      </c>
      <c r="J37" s="3">
        <f t="shared" si="4"/>
        <v>8.1041407732059909</v>
      </c>
      <c r="K37" s="18">
        <f t="shared" si="7"/>
        <v>15.895859226794009</v>
      </c>
      <c r="L37" s="2">
        <v>3</v>
      </c>
      <c r="M37" s="3">
        <f t="shared" si="8"/>
        <v>24.312422319617973</v>
      </c>
      <c r="N37" s="3">
        <f t="shared" si="9"/>
        <v>47.687577680382027</v>
      </c>
      <c r="O37" s="2">
        <f t="shared" si="10"/>
        <v>24</v>
      </c>
      <c r="P37" s="11" t="s">
        <v>63</v>
      </c>
    </row>
    <row r="38" spans="1:19" x14ac:dyDescent="0.2">
      <c r="A38" s="11" t="s">
        <v>64</v>
      </c>
      <c r="B38">
        <v>0.84199999999999997</v>
      </c>
      <c r="C38">
        <v>0.82799999999999996</v>
      </c>
      <c r="D38">
        <v>0.52500000000000002</v>
      </c>
      <c r="E38" s="2">
        <v>5</v>
      </c>
      <c r="F38" s="2">
        <f t="shared" si="11"/>
        <v>0.73166666666666658</v>
      </c>
      <c r="G38" s="2">
        <f t="shared" si="12"/>
        <v>0.1791154190273225</v>
      </c>
      <c r="H38" s="2">
        <f t="shared" si="13"/>
        <v>2804.7914245124621</v>
      </c>
      <c r="I38" s="2">
        <v>40</v>
      </c>
      <c r="J38" s="3">
        <f t="shared" si="4"/>
        <v>14.26131000345344</v>
      </c>
      <c r="K38" s="18">
        <f t="shared" si="7"/>
        <v>9.7386899965465599</v>
      </c>
      <c r="L38" s="2">
        <v>3</v>
      </c>
      <c r="M38" s="3">
        <f t="shared" si="8"/>
        <v>42.783930010360322</v>
      </c>
      <c r="N38" s="3">
        <f t="shared" si="9"/>
        <v>29.216069989639678</v>
      </c>
      <c r="O38" s="2">
        <f t="shared" si="10"/>
        <v>24</v>
      </c>
      <c r="P38" s="11" t="s">
        <v>64</v>
      </c>
    </row>
    <row r="39" spans="1:19" x14ac:dyDescent="0.2">
      <c r="A39" s="11" t="s">
        <v>65</v>
      </c>
      <c r="B39">
        <v>0.60399999999999998</v>
      </c>
      <c r="C39">
        <v>0.61299999999999999</v>
      </c>
      <c r="D39">
        <v>0.56000000000000005</v>
      </c>
      <c r="E39" s="2">
        <v>5</v>
      </c>
      <c r="F39" s="2">
        <f t="shared" si="11"/>
        <v>0.59233333333333338</v>
      </c>
      <c r="G39" s="2">
        <f t="shared" si="12"/>
        <v>2.836077102854101E-2</v>
      </c>
      <c r="H39" s="2">
        <f t="shared" si="13"/>
        <v>1455.1853286839732</v>
      </c>
      <c r="I39" s="2">
        <v>40</v>
      </c>
      <c r="J39" s="3">
        <f t="shared" si="4"/>
        <v>27.48790769913467</v>
      </c>
      <c r="K39" s="18">
        <f t="shared" si="7"/>
        <v>-3.48790769913467</v>
      </c>
      <c r="L39" s="2">
        <v>1</v>
      </c>
      <c r="M39" s="3">
        <f t="shared" si="8"/>
        <v>27.48790769913467</v>
      </c>
      <c r="N39" s="3">
        <f t="shared" si="9"/>
        <v>-3.48790769913467</v>
      </c>
      <c r="O39" s="2">
        <f t="shared" si="10"/>
        <v>8</v>
      </c>
      <c r="P39" s="11" t="s">
        <v>65</v>
      </c>
    </row>
    <row r="40" spans="1:19" x14ac:dyDescent="0.2">
      <c r="A40" s="11" t="s">
        <v>66</v>
      </c>
      <c r="B40">
        <v>0.66300000000000003</v>
      </c>
      <c r="C40">
        <v>0.65400000000000003</v>
      </c>
      <c r="D40">
        <v>0.64700000000000002</v>
      </c>
      <c r="E40" s="2">
        <v>5</v>
      </c>
      <c r="F40" s="2">
        <f t="shared" si="11"/>
        <v>0.65466666666666673</v>
      </c>
      <c r="G40" s="2">
        <f t="shared" si="12"/>
        <v>8.0208062770106506E-3</v>
      </c>
      <c r="H40" s="2">
        <f t="shared" si="13"/>
        <v>2058.9564768177715</v>
      </c>
      <c r="I40" s="2">
        <v>40</v>
      </c>
      <c r="J40" s="3">
        <f t="shared" si="4"/>
        <v>19.427316920181894</v>
      </c>
      <c r="K40" s="18">
        <f t="shared" si="7"/>
        <v>4.5726830798181055</v>
      </c>
      <c r="L40" s="2">
        <v>3</v>
      </c>
      <c r="M40" s="3">
        <f t="shared" si="8"/>
        <v>58.281950760545683</v>
      </c>
      <c r="N40" s="3">
        <f t="shared" si="9"/>
        <v>13.718049239454317</v>
      </c>
      <c r="O40" s="2">
        <f t="shared" si="10"/>
        <v>24</v>
      </c>
      <c r="P40" s="11" t="s">
        <v>66</v>
      </c>
    </row>
    <row r="41" spans="1:19" x14ac:dyDescent="0.2">
      <c r="A41" s="11" t="s">
        <v>67</v>
      </c>
      <c r="B41">
        <v>0.67600000000000005</v>
      </c>
      <c r="C41">
        <v>0.67400000000000004</v>
      </c>
      <c r="D41">
        <v>0.66500000000000004</v>
      </c>
      <c r="E41" s="2">
        <v>5</v>
      </c>
      <c r="F41" s="2">
        <f t="shared" si="11"/>
        <v>0.67166666666666675</v>
      </c>
      <c r="G41" s="2">
        <f t="shared" si="12"/>
        <v>5.8594652770823201E-3</v>
      </c>
      <c r="H41" s="2">
        <f t="shared" si="13"/>
        <v>2223.6213353997168</v>
      </c>
      <c r="I41" s="2">
        <v>40</v>
      </c>
      <c r="J41" s="3">
        <f t="shared" si="4"/>
        <v>17.988674313924779</v>
      </c>
      <c r="K41" s="18">
        <f t="shared" si="7"/>
        <v>6.0113256860752209</v>
      </c>
      <c r="L41" s="2">
        <v>3</v>
      </c>
      <c r="M41" s="3">
        <f t="shared" si="8"/>
        <v>53.966022941774341</v>
      </c>
      <c r="N41" s="3">
        <f t="shared" si="9"/>
        <v>18.033977058225663</v>
      </c>
      <c r="O41" s="2">
        <f t="shared" si="10"/>
        <v>24</v>
      </c>
      <c r="P41" s="11" t="s">
        <v>67</v>
      </c>
    </row>
    <row r="42" spans="1:19" x14ac:dyDescent="0.2">
      <c r="A42" s="11" t="s">
        <v>68</v>
      </c>
      <c r="B42">
        <v>0.67700000000000005</v>
      </c>
      <c r="C42">
        <v>0.67500000000000004</v>
      </c>
      <c r="D42">
        <v>0.66200000000000003</v>
      </c>
      <c r="E42" s="2">
        <v>5</v>
      </c>
      <c r="F42" s="2">
        <f t="shared" si="11"/>
        <v>0.67133333333333345</v>
      </c>
      <c r="G42" s="2">
        <f t="shared" si="12"/>
        <v>8.1445278152470837E-3</v>
      </c>
      <c r="H42" s="2">
        <f t="shared" si="13"/>
        <v>2220.3926126824244</v>
      </c>
      <c r="I42" s="2">
        <v>40</v>
      </c>
      <c r="J42" s="3">
        <f t="shared" si="4"/>
        <v>18.014832048858501</v>
      </c>
      <c r="K42" s="18">
        <f t="shared" si="7"/>
        <v>5.9851679511414986</v>
      </c>
      <c r="L42" s="2">
        <v>3</v>
      </c>
      <c r="M42" s="3">
        <f t="shared" si="8"/>
        <v>54.044496146575504</v>
      </c>
      <c r="N42" s="3">
        <f t="shared" si="9"/>
        <v>17.955503853424496</v>
      </c>
      <c r="O42" s="2">
        <f t="shared" si="10"/>
        <v>24</v>
      </c>
      <c r="P42" s="11" t="s">
        <v>68</v>
      </c>
    </row>
    <row r="43" spans="1:19" x14ac:dyDescent="0.2">
      <c r="A43" s="19" t="s">
        <v>71</v>
      </c>
      <c r="B43" s="20">
        <v>0.98369791666666662</v>
      </c>
      <c r="C43" s="20">
        <v>0.98045138888888883</v>
      </c>
      <c r="D43" s="20">
        <v>0.98369791666666662</v>
      </c>
      <c r="E43" s="2">
        <v>5</v>
      </c>
      <c r="F43" s="2">
        <f t="shared" ref="F43:F48" si="14">AVERAGE(B43:D43)</f>
        <v>0.98261574074074076</v>
      </c>
      <c r="G43" s="2">
        <f t="shared" ref="G43:G48" si="15">_xlfn.STDEV.S(B43:D43)</f>
        <v>1.874383686431602E-3</v>
      </c>
      <c r="H43" s="2">
        <f t="shared" ref="H43:H48" si="16">(F43-B$24)/B$23*E43</f>
        <v>5235.5263535523136</v>
      </c>
      <c r="I43" s="2">
        <v>40</v>
      </c>
      <c r="J43" s="3">
        <f t="shared" ref="J43:J48" si="17">I43/H43*1000</f>
        <v>7.6401105254412354</v>
      </c>
      <c r="K43" s="18">
        <f t="shared" ref="K43:K48" si="18">$K$27-J43</f>
        <v>16.359889474558763</v>
      </c>
      <c r="L43" s="2">
        <v>3</v>
      </c>
      <c r="M43" s="3">
        <f>L43*J43</f>
        <v>22.920331576323704</v>
      </c>
      <c r="N43" s="3">
        <f t="shared" ref="N43:N48" si="19">L43*K43</f>
        <v>49.079668423676289</v>
      </c>
      <c r="O43" s="2">
        <f t="shared" ref="O43:O48" si="20">L43*8</f>
        <v>24</v>
      </c>
      <c r="P43" s="19" t="s">
        <v>71</v>
      </c>
    </row>
    <row r="44" spans="1:19" x14ac:dyDescent="0.2">
      <c r="A44" s="19" t="s">
        <v>72</v>
      </c>
      <c r="B44" s="20">
        <v>0.59547916666666667</v>
      </c>
      <c r="C44" s="20">
        <v>0.5935138888888889</v>
      </c>
      <c r="D44" s="20">
        <v>0.59547916666666667</v>
      </c>
      <c r="E44" s="2">
        <v>5</v>
      </c>
      <c r="F44" s="2">
        <f t="shared" si="14"/>
        <v>0.59482407407407412</v>
      </c>
      <c r="G44" s="2">
        <f t="shared" si="15"/>
        <v>1.1346536540323875E-3</v>
      </c>
      <c r="H44" s="2">
        <f t="shared" si="16"/>
        <v>1479.3110623215239</v>
      </c>
      <c r="I44" s="2">
        <v>40</v>
      </c>
      <c r="J44" s="3">
        <f t="shared" si="17"/>
        <v>27.039613924894805</v>
      </c>
      <c r="K44" s="18">
        <f t="shared" si="18"/>
        <v>-3.0396139248948053</v>
      </c>
      <c r="L44" s="2">
        <v>3</v>
      </c>
      <c r="M44" s="3">
        <f t="shared" ref="M44:M48" si="21">L44*J44</f>
        <v>81.118841774684412</v>
      </c>
      <c r="N44" s="3">
        <f t="shared" si="19"/>
        <v>-9.1188417746844159</v>
      </c>
      <c r="O44" s="2">
        <f t="shared" si="20"/>
        <v>24</v>
      </c>
      <c r="P44" s="19" t="s">
        <v>72</v>
      </c>
    </row>
    <row r="45" spans="1:19" x14ac:dyDescent="0.2">
      <c r="A45" s="19" t="s">
        <v>73</v>
      </c>
      <c r="B45" s="20">
        <v>1.0194687499999999</v>
      </c>
      <c r="C45" s="20">
        <v>1.0161041666666666</v>
      </c>
      <c r="D45" s="20">
        <v>1.0194687499999999</v>
      </c>
      <c r="E45" s="2">
        <v>5</v>
      </c>
      <c r="F45" s="2">
        <f t="shared" si="14"/>
        <v>1.0183472222222221</v>
      </c>
      <c r="G45" s="2">
        <f t="shared" si="15"/>
        <v>1.9425430932109306E-3</v>
      </c>
      <c r="H45" s="2">
        <f t="shared" si="16"/>
        <v>5581.6274914976966</v>
      </c>
      <c r="I45" s="2">
        <v>40</v>
      </c>
      <c r="J45" s="3">
        <f t="shared" si="17"/>
        <v>7.1663686014393901</v>
      </c>
      <c r="K45" s="18">
        <f t="shared" si="18"/>
        <v>16.833631398560609</v>
      </c>
      <c r="L45" s="2">
        <v>3</v>
      </c>
      <c r="M45" s="3">
        <f t="shared" si="21"/>
        <v>21.49910580431817</v>
      </c>
      <c r="N45" s="3">
        <f t="shared" si="19"/>
        <v>50.500894195681823</v>
      </c>
      <c r="O45" s="2">
        <f t="shared" si="20"/>
        <v>24</v>
      </c>
      <c r="P45" s="19" t="s">
        <v>73</v>
      </c>
    </row>
    <row r="46" spans="1:19" x14ac:dyDescent="0.2">
      <c r="A46" s="19" t="s">
        <v>74</v>
      </c>
      <c r="B46" s="20">
        <v>0.98615277777777766</v>
      </c>
      <c r="C46" s="20">
        <v>0.98289814814814802</v>
      </c>
      <c r="D46" s="20">
        <v>0.98615277777777766</v>
      </c>
      <c r="E46" s="2">
        <v>5</v>
      </c>
      <c r="F46" s="2">
        <f t="shared" si="14"/>
        <v>0.98506790123456778</v>
      </c>
      <c r="G46" s="2">
        <f t="shared" si="15"/>
        <v>1.8790612927792019E-3</v>
      </c>
      <c r="H46" s="2">
        <f t="shared" si="16"/>
        <v>5259.2783924309169</v>
      </c>
      <c r="I46" s="2">
        <v>40</v>
      </c>
      <c r="J46" s="3">
        <f t="shared" si="17"/>
        <v>7.6056061336413494</v>
      </c>
      <c r="K46" s="18">
        <f t="shared" si="18"/>
        <v>16.394393866358651</v>
      </c>
      <c r="L46" s="2">
        <v>3</v>
      </c>
      <c r="M46" s="3">
        <f t="shared" si="21"/>
        <v>22.816818400924049</v>
      </c>
      <c r="N46" s="3">
        <f t="shared" si="19"/>
        <v>49.183181599075951</v>
      </c>
      <c r="O46" s="2">
        <f t="shared" si="20"/>
        <v>24</v>
      </c>
      <c r="P46" s="19" t="s">
        <v>74</v>
      </c>
    </row>
    <row r="47" spans="1:19" x14ac:dyDescent="0.2">
      <c r="A47" s="19" t="s">
        <v>75</v>
      </c>
      <c r="B47">
        <v>1.022</v>
      </c>
      <c r="C47">
        <v>1.022</v>
      </c>
      <c r="D47">
        <v>1.022</v>
      </c>
      <c r="E47" s="2">
        <v>5</v>
      </c>
      <c r="F47" s="2">
        <f t="shared" si="14"/>
        <v>1.022</v>
      </c>
      <c r="G47" s="2">
        <f t="shared" si="15"/>
        <v>0</v>
      </c>
      <c r="H47" s="2">
        <f t="shared" si="16"/>
        <v>5617.0089112747009</v>
      </c>
      <c r="I47" s="2">
        <v>40</v>
      </c>
      <c r="J47" s="3">
        <f t="shared" si="17"/>
        <v>7.1212277978961875</v>
      </c>
      <c r="K47" s="18">
        <f t="shared" si="18"/>
        <v>16.878772202103811</v>
      </c>
      <c r="L47" s="2">
        <v>3</v>
      </c>
      <c r="M47" s="3">
        <f t="shared" si="21"/>
        <v>21.363683393688561</v>
      </c>
      <c r="N47" s="3">
        <f t="shared" si="19"/>
        <v>50.636316606311432</v>
      </c>
      <c r="O47" s="2">
        <f t="shared" si="20"/>
        <v>24</v>
      </c>
      <c r="P47" s="19" t="s">
        <v>75</v>
      </c>
    </row>
    <row r="48" spans="1:19" x14ac:dyDescent="0.2">
      <c r="A48" s="19" t="s">
        <v>76</v>
      </c>
      <c r="B48">
        <v>1.022</v>
      </c>
      <c r="C48">
        <v>1.022</v>
      </c>
      <c r="D48">
        <v>1.022</v>
      </c>
      <c r="E48" s="2">
        <v>5</v>
      </c>
      <c r="F48" s="2">
        <f t="shared" si="14"/>
        <v>1.022</v>
      </c>
      <c r="G48" s="2">
        <f t="shared" si="15"/>
        <v>0</v>
      </c>
      <c r="H48" s="2">
        <f t="shared" si="16"/>
        <v>5617.0089112747009</v>
      </c>
      <c r="I48" s="2">
        <v>40</v>
      </c>
      <c r="J48" s="3">
        <f t="shared" si="17"/>
        <v>7.1212277978961875</v>
      </c>
      <c r="K48" s="18">
        <f t="shared" si="18"/>
        <v>16.878772202103811</v>
      </c>
      <c r="L48" s="2">
        <v>3</v>
      </c>
      <c r="M48" s="3">
        <f t="shared" si="21"/>
        <v>21.363683393688561</v>
      </c>
      <c r="N48" s="3">
        <f t="shared" si="19"/>
        <v>50.636316606311432</v>
      </c>
      <c r="O48" s="2">
        <f t="shared" si="20"/>
        <v>24</v>
      </c>
      <c r="P48" s="19" t="s">
        <v>76</v>
      </c>
    </row>
    <row r="50" spans="6:17" x14ac:dyDescent="0.2">
      <c r="O50" s="27" t="s">
        <v>87</v>
      </c>
    </row>
    <row r="51" spans="6:17" x14ac:dyDescent="0.2">
      <c r="F51" s="26" t="s">
        <v>79</v>
      </c>
      <c r="H51" s="23" t="s">
        <v>13</v>
      </c>
      <c r="I51" s="23" t="s">
        <v>16</v>
      </c>
      <c r="J51" s="23" t="s">
        <v>14</v>
      </c>
      <c r="K51" s="23" t="s">
        <v>15</v>
      </c>
      <c r="L51" s="23" t="s">
        <v>69</v>
      </c>
      <c r="M51" s="23" t="s">
        <v>14</v>
      </c>
      <c r="N51" s="23" t="s">
        <v>15</v>
      </c>
      <c r="O51" s="23" t="s">
        <v>22</v>
      </c>
      <c r="P51" s="29" t="s">
        <v>86</v>
      </c>
      <c r="Q51" s="27" t="s">
        <v>81</v>
      </c>
    </row>
    <row r="52" spans="6:17" x14ac:dyDescent="0.2">
      <c r="F52" s="24" t="s">
        <v>80</v>
      </c>
      <c r="H52" s="24">
        <v>5000</v>
      </c>
      <c r="I52" s="24">
        <v>40</v>
      </c>
      <c r="J52" s="25">
        <f t="shared" ref="J52" si="22">I52/H52*1000</f>
        <v>8</v>
      </c>
      <c r="K52" s="25">
        <f>24-J52</f>
        <v>16</v>
      </c>
      <c r="L52" s="24">
        <v>3</v>
      </c>
      <c r="M52" s="27">
        <f>L52*J52</f>
        <v>24</v>
      </c>
      <c r="N52" s="27">
        <f t="shared" ref="N52" si="23">L52*K52</f>
        <v>48</v>
      </c>
      <c r="O52" s="24">
        <f t="shared" ref="O52:O57" si="24">L52*8</f>
        <v>24</v>
      </c>
      <c r="P52" s="27">
        <f>96/3</f>
        <v>32</v>
      </c>
      <c r="Q52" s="27"/>
    </row>
    <row r="53" spans="6:17" x14ac:dyDescent="0.2">
      <c r="F53" s="27"/>
      <c r="L53" s="24">
        <v>3</v>
      </c>
      <c r="M53" s="28">
        <f>24*1/Q53</f>
        <v>23.754536456614979</v>
      </c>
      <c r="N53" s="28">
        <f>72-M53</f>
        <v>48.245463543385021</v>
      </c>
      <c r="O53" s="24">
        <f t="shared" si="24"/>
        <v>24</v>
      </c>
      <c r="P53" t="s">
        <v>72</v>
      </c>
      <c r="Q53" s="30">
        <v>1.0103333333333333</v>
      </c>
    </row>
    <row r="54" spans="6:17" x14ac:dyDescent="0.2">
      <c r="F54" s="27"/>
      <c r="L54" s="24">
        <v>3</v>
      </c>
      <c r="M54" s="28">
        <f>24*1/Q54</f>
        <v>25.732666190135813</v>
      </c>
      <c r="N54" s="28">
        <f t="shared" ref="N54:N57" si="25">72-M54</f>
        <v>46.267333809864184</v>
      </c>
      <c r="O54" s="24">
        <f t="shared" si="24"/>
        <v>24</v>
      </c>
      <c r="P54" t="s">
        <v>85</v>
      </c>
      <c r="Q54" s="30">
        <v>0.93266666666666664</v>
      </c>
    </row>
    <row r="55" spans="6:17" x14ac:dyDescent="0.2">
      <c r="F55" s="27"/>
      <c r="L55" s="24">
        <v>3</v>
      </c>
      <c r="M55" s="28">
        <f>24*1/Q55</f>
        <v>24</v>
      </c>
      <c r="N55" s="28">
        <f t="shared" si="25"/>
        <v>48</v>
      </c>
      <c r="O55" s="24">
        <f t="shared" si="24"/>
        <v>24</v>
      </c>
      <c r="P55" t="s">
        <v>83</v>
      </c>
      <c r="Q55" s="30">
        <v>1</v>
      </c>
    </row>
    <row r="56" spans="6:17" x14ac:dyDescent="0.2">
      <c r="F56" s="27"/>
      <c r="L56" s="24">
        <v>3</v>
      </c>
      <c r="M56" s="28">
        <f>24*1/Q56</f>
        <v>23.738872403560826</v>
      </c>
      <c r="N56" s="28">
        <f t="shared" si="25"/>
        <v>48.261127596439174</v>
      </c>
      <c r="O56" s="24">
        <f t="shared" si="24"/>
        <v>24</v>
      </c>
      <c r="P56" t="s">
        <v>82</v>
      </c>
      <c r="Q56" s="30">
        <v>1.0110000000000001</v>
      </c>
    </row>
    <row r="57" spans="6:17" x14ac:dyDescent="0.2">
      <c r="F57" s="27"/>
      <c r="L57" s="24">
        <v>3</v>
      </c>
      <c r="M57" s="28">
        <f>24*1/Q57</f>
        <v>25.166025865082137</v>
      </c>
      <c r="N57" s="28">
        <f t="shared" si="25"/>
        <v>46.833974134917867</v>
      </c>
      <c r="O57" s="24">
        <f t="shared" si="24"/>
        <v>24</v>
      </c>
      <c r="P57" t="s">
        <v>84</v>
      </c>
      <c r="Q57" s="30">
        <v>0.95366666666666677</v>
      </c>
    </row>
    <row r="58" spans="6:17" x14ac:dyDescent="0.2">
      <c r="N58" s="27" t="s">
        <v>88</v>
      </c>
      <c r="Q58" s="27"/>
    </row>
    <row r="59" spans="6:17" x14ac:dyDescent="0.2">
      <c r="J59" t="s">
        <v>97</v>
      </c>
      <c r="N59" s="27"/>
      <c r="Q59" s="27"/>
    </row>
    <row r="60" spans="6:17" x14ac:dyDescent="0.2">
      <c r="F60" s="27"/>
      <c r="L60" s="27">
        <v>3</v>
      </c>
      <c r="M60" s="28">
        <f>20*1/Q60</f>
        <v>11.067961165048542</v>
      </c>
      <c r="N60" s="28">
        <f>60-M60</f>
        <v>48.932038834951456</v>
      </c>
      <c r="O60" s="27">
        <v>20</v>
      </c>
      <c r="P60" s="27" t="s">
        <v>65</v>
      </c>
      <c r="Q60" s="30">
        <v>1.8070175438596494</v>
      </c>
    </row>
    <row r="61" spans="6:17" x14ac:dyDescent="0.2">
      <c r="F61" s="27"/>
      <c r="L61" s="27">
        <v>3</v>
      </c>
      <c r="M61" s="28">
        <f>20*1/Q61</f>
        <v>19.964973730297718</v>
      </c>
      <c r="N61" s="28">
        <f t="shared" ref="N61:N64" si="26">60-M61</f>
        <v>40.035026269702286</v>
      </c>
      <c r="O61" s="27">
        <v>20</v>
      </c>
      <c r="P61" s="27" t="s">
        <v>89</v>
      </c>
      <c r="Q61" s="30">
        <v>1.0017543859649125</v>
      </c>
    </row>
    <row r="62" spans="6:17" x14ac:dyDescent="0.2">
      <c r="F62" s="27"/>
      <c r="L62" s="27">
        <v>3</v>
      </c>
      <c r="M62" s="28">
        <f>20*1/Q62</f>
        <v>11.313264968574265</v>
      </c>
      <c r="N62" s="28">
        <f t="shared" si="26"/>
        <v>48.686735031425734</v>
      </c>
      <c r="O62" s="27">
        <v>20</v>
      </c>
      <c r="P62" s="27" t="s">
        <v>90</v>
      </c>
      <c r="Q62" s="30">
        <v>1.7678362573099413</v>
      </c>
    </row>
    <row r="63" spans="6:17" x14ac:dyDescent="0.2">
      <c r="F63" s="27"/>
      <c r="L63" s="27">
        <v>3</v>
      </c>
      <c r="M63" s="28">
        <f>20*1/Q63</f>
        <v>16.116870876531575</v>
      </c>
      <c r="N63" s="28">
        <f t="shared" si="26"/>
        <v>43.883129123468422</v>
      </c>
      <c r="O63" s="27">
        <v>20</v>
      </c>
      <c r="P63" s="27" t="s">
        <v>91</v>
      </c>
      <c r="Q63" s="30">
        <v>1.2409356725146199</v>
      </c>
    </row>
    <row r="64" spans="6:17" x14ac:dyDescent="0.2">
      <c r="F64" s="27"/>
      <c r="L64" s="27">
        <v>3</v>
      </c>
      <c r="M64" s="28">
        <f>20*1/Q64</f>
        <v>13.219945883262467</v>
      </c>
      <c r="N64" s="28">
        <f t="shared" si="26"/>
        <v>46.780054116737531</v>
      </c>
      <c r="O64" s="27">
        <v>20</v>
      </c>
      <c r="P64" s="27" t="s">
        <v>92</v>
      </c>
      <c r="Q64" s="30">
        <v>1.5128654970760234</v>
      </c>
    </row>
    <row r="65" spans="6:17" x14ac:dyDescent="0.2">
      <c r="L65" s="27"/>
      <c r="M65" s="27"/>
      <c r="N65" s="27"/>
      <c r="O65" s="27"/>
      <c r="P65" s="27"/>
      <c r="Q65" s="27"/>
    </row>
    <row r="66" spans="6:17" x14ac:dyDescent="0.2">
      <c r="F66" s="27"/>
      <c r="L66" s="27">
        <v>3</v>
      </c>
      <c r="M66" s="28">
        <f>20*1/Q66</f>
        <v>19.96852871754524</v>
      </c>
      <c r="N66" s="28">
        <f>60-M66</f>
        <v>40.03147128245476</v>
      </c>
      <c r="O66" s="31">
        <v>20</v>
      </c>
      <c r="P66" s="27" t="s">
        <v>61</v>
      </c>
      <c r="Q66" s="30">
        <v>1.0015760441292356</v>
      </c>
    </row>
    <row r="67" spans="6:17" x14ac:dyDescent="0.2">
      <c r="F67" s="27"/>
      <c r="L67" s="27">
        <v>3</v>
      </c>
      <c r="M67" s="28">
        <f>20*1/Q67</f>
        <v>14.713043478260866</v>
      </c>
      <c r="N67" s="28">
        <f t="shared" ref="N67:N70" si="27">60-M67</f>
        <v>45.286956521739135</v>
      </c>
      <c r="O67" s="31">
        <v>20</v>
      </c>
      <c r="P67" s="27" t="s">
        <v>93</v>
      </c>
      <c r="Q67" s="30">
        <v>1.3593380614657213</v>
      </c>
    </row>
    <row r="68" spans="6:17" x14ac:dyDescent="0.2">
      <c r="F68" s="27"/>
      <c r="L68" s="27">
        <v>3</v>
      </c>
      <c r="M68" s="28">
        <f>20*1/Q68</f>
        <v>14.334933634566507</v>
      </c>
      <c r="N68" s="28">
        <f t="shared" si="27"/>
        <v>45.665066365433489</v>
      </c>
      <c r="O68" s="31">
        <v>20</v>
      </c>
      <c r="P68" s="27" t="s">
        <v>94</v>
      </c>
      <c r="Q68" s="30">
        <v>1.3951930654058313</v>
      </c>
    </row>
    <row r="69" spans="6:17" x14ac:dyDescent="0.2">
      <c r="F69" s="27"/>
      <c r="L69" s="27">
        <v>3</v>
      </c>
      <c r="M69" s="28">
        <f>20*1/Q69</f>
        <v>14.092171016102164</v>
      </c>
      <c r="N69" s="28">
        <f t="shared" si="27"/>
        <v>45.907828983897836</v>
      </c>
      <c r="O69" s="31">
        <v>20</v>
      </c>
      <c r="P69" s="27" t="s">
        <v>95</v>
      </c>
      <c r="Q69" s="30">
        <v>1.4192277383766747</v>
      </c>
    </row>
    <row r="70" spans="6:17" x14ac:dyDescent="0.2">
      <c r="F70" s="27"/>
      <c r="L70" s="27">
        <v>3</v>
      </c>
      <c r="M70" s="28">
        <f>20*1/Q70</f>
        <v>11.25</v>
      </c>
      <c r="N70" s="28">
        <f t="shared" si="27"/>
        <v>48.75</v>
      </c>
      <c r="O70" s="31">
        <v>20</v>
      </c>
      <c r="P70" s="27" t="s">
        <v>96</v>
      </c>
      <c r="Q70" s="30">
        <v>1.7777777777777777</v>
      </c>
    </row>
    <row r="71" spans="6:17" x14ac:dyDescent="0.2">
      <c r="L71" s="27"/>
      <c r="M71" s="27"/>
      <c r="N71" s="27"/>
      <c r="O71" s="27"/>
      <c r="P71" s="27"/>
      <c r="Q71" s="27"/>
    </row>
    <row r="72" spans="6:17" x14ac:dyDescent="0.2">
      <c r="L72" s="27"/>
      <c r="M72" s="27"/>
      <c r="N72" s="27"/>
      <c r="O72" s="27" t="s">
        <v>98</v>
      </c>
      <c r="P72" s="27"/>
      <c r="Q72" s="27"/>
    </row>
  </sheetData>
  <conditionalFormatting sqref="G29:G48">
    <cfRule type="colorScale" priority="4">
      <colorScale>
        <cfvo type="num" val="&quot;&gt;0.1&quot;"/>
        <cfvo type="num" val="&quot;&lt;0.1&quot;"/>
        <color rgb="FFFF7128"/>
        <color theme="0"/>
      </colorScale>
    </cfRule>
  </conditionalFormatting>
  <conditionalFormatting sqref="F1:F26 G27:G48 F49:F50 F53:F1048576">
    <cfRule type="cellIs" dxfId="3" priority="3" operator="greaterThan">
      <formula>0.01</formula>
    </cfRule>
  </conditionalFormatting>
  <conditionalFormatting sqref="P53:P57">
    <cfRule type="cellIs" dxfId="2" priority="2" operator="greaterThan">
      <formula>0.01</formula>
    </cfRule>
  </conditionalFormatting>
  <conditionalFormatting sqref="P60:P70">
    <cfRule type="cellIs" dxfId="1" priority="1" operator="greaterThan">
      <formula>0.01</formula>
    </cfRule>
  </conditionalFormatting>
  <pageMargins left="1" right="1" top="1" bottom="1" header="0.5" footer="0.5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3B50-899F-934D-B801-D0714BD0633C}">
  <dimension ref="A1:AE38"/>
  <sheetViews>
    <sheetView workbookViewId="0">
      <selection sqref="A1:M1048576"/>
    </sheetView>
  </sheetViews>
  <sheetFormatPr baseColWidth="10" defaultColWidth="8.6640625" defaultRowHeight="16" x14ac:dyDescent="0.2"/>
  <cols>
    <col min="1" max="1" width="25.83203125" customWidth="1"/>
    <col min="2" max="2" width="11" customWidth="1"/>
    <col min="3" max="4" width="8.6640625" customWidth="1"/>
    <col min="5" max="5" width="7.5" customWidth="1"/>
    <col min="6" max="6" width="8.6640625" customWidth="1"/>
    <col min="7" max="7" width="9.1640625" customWidth="1"/>
    <col min="8" max="8" width="17.33203125" customWidth="1"/>
    <col min="9" max="9" width="12.5" customWidth="1"/>
    <col min="10" max="10" width="9.83203125" customWidth="1"/>
    <col min="11" max="11" width="8.1640625" customWidth="1"/>
    <col min="12" max="12" width="3.6640625" customWidth="1"/>
    <col min="13" max="13" width="12" customWidth="1"/>
    <col min="14" max="14" width="8" customWidth="1"/>
    <col min="15" max="15" width="7.1640625" customWidth="1"/>
    <col min="17" max="18" width="9.33203125" bestFit="1" customWidth="1"/>
    <col min="19" max="19" width="10.33203125" customWidth="1"/>
    <col min="20" max="20" width="25.83203125" customWidth="1"/>
    <col min="21" max="21" width="22" customWidth="1"/>
    <col min="22" max="22" width="25.83203125" customWidth="1"/>
    <col min="23" max="23" width="23.83203125" customWidth="1"/>
  </cols>
  <sheetData>
    <row r="1" spans="1:31" x14ac:dyDescent="0.2">
      <c r="A1" t="s">
        <v>0</v>
      </c>
      <c r="E1" t="s">
        <v>1</v>
      </c>
      <c r="M1" t="s">
        <v>2</v>
      </c>
      <c r="S1" s="11" t="s">
        <v>45</v>
      </c>
      <c r="T1">
        <v>0.69199999999999995</v>
      </c>
      <c r="U1">
        <v>0.68600000000000005</v>
      </c>
      <c r="V1">
        <v>0.68600000000000005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 x14ac:dyDescent="0.2">
      <c r="A2">
        <v>0</v>
      </c>
      <c r="B2">
        <v>0.36099999999999999</v>
      </c>
      <c r="C2">
        <v>0.36399999999999999</v>
      </c>
      <c r="E2">
        <f>AVERAGE(B2:C2)</f>
        <v>0.36249999999999999</v>
      </c>
      <c r="M2" t="s">
        <v>3</v>
      </c>
      <c r="S2" s="11" t="s">
        <v>46</v>
      </c>
      <c r="T2">
        <v>0.5</v>
      </c>
      <c r="U2">
        <v>0.501</v>
      </c>
      <c r="V2">
        <v>0.503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</row>
    <row r="3" spans="1:31" x14ac:dyDescent="0.2">
      <c r="A3">
        <v>125</v>
      </c>
      <c r="B3">
        <v>0.42699999999999999</v>
      </c>
      <c r="C3">
        <v>0.41799999999999998</v>
      </c>
      <c r="E3">
        <f t="shared" ref="E3:E9" si="0">AVERAGE(B3:C3)</f>
        <v>0.42249999999999999</v>
      </c>
      <c r="M3" t="s">
        <v>20</v>
      </c>
      <c r="N3" t="s">
        <v>18</v>
      </c>
      <c r="S3" s="11" t="s">
        <v>47</v>
      </c>
      <c r="T3">
        <v>0.68400000000000005</v>
      </c>
      <c r="U3">
        <v>0.69899999999999995</v>
      </c>
      <c r="V3">
        <v>0.70599999999999996</v>
      </c>
      <c r="Y3" t="s">
        <v>40</v>
      </c>
      <c r="Z3" t="s">
        <v>40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</row>
    <row r="4" spans="1:31" x14ac:dyDescent="0.2">
      <c r="A4">
        <v>250</v>
      </c>
      <c r="B4">
        <v>0.47299999999999998</v>
      </c>
      <c r="C4">
        <v>0.46899999999999997</v>
      </c>
      <c r="E4">
        <f t="shared" si="0"/>
        <v>0.47099999999999997</v>
      </c>
      <c r="M4" t="s">
        <v>4</v>
      </c>
      <c r="S4" s="11" t="s">
        <v>48</v>
      </c>
      <c r="T4">
        <v>0.70399999999999996</v>
      </c>
      <c r="U4">
        <v>0.64800000000000002</v>
      </c>
      <c r="V4">
        <v>0.65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</row>
    <row r="5" spans="1:31" x14ac:dyDescent="0.2">
      <c r="A5">
        <v>500</v>
      </c>
      <c r="B5">
        <v>0.59199999999999997</v>
      </c>
      <c r="C5">
        <v>0.626</v>
      </c>
      <c r="E5">
        <f t="shared" si="0"/>
        <v>0.60899999999999999</v>
      </c>
      <c r="M5" t="s">
        <v>5</v>
      </c>
      <c r="S5" s="11" t="s">
        <v>49</v>
      </c>
      <c r="T5">
        <v>0.58799999999999997</v>
      </c>
      <c r="U5">
        <v>0.57099999999999995</v>
      </c>
      <c r="V5">
        <v>0.57899999999999996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</row>
    <row r="6" spans="1:31" x14ac:dyDescent="0.2">
      <c r="A6">
        <v>750</v>
      </c>
      <c r="B6">
        <v>0.8</v>
      </c>
      <c r="C6">
        <v>0.8</v>
      </c>
      <c r="E6">
        <f t="shared" si="0"/>
        <v>0.8</v>
      </c>
      <c r="S6" s="11" t="s">
        <v>50</v>
      </c>
      <c r="T6">
        <v>0.56100000000000005</v>
      </c>
      <c r="U6">
        <v>0.55700000000000005</v>
      </c>
      <c r="V6">
        <v>0.55800000000000005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</row>
    <row r="7" spans="1:31" x14ac:dyDescent="0.2">
      <c r="A7">
        <v>1000</v>
      </c>
      <c r="B7">
        <v>0.83699999999999997</v>
      </c>
      <c r="C7">
        <v>0.90700000000000003</v>
      </c>
      <c r="E7">
        <f t="shared" si="0"/>
        <v>0.872</v>
      </c>
      <c r="S7" s="11" t="s">
        <v>51</v>
      </c>
      <c r="T7">
        <v>0.48</v>
      </c>
      <c r="U7">
        <v>0.47199999999999998</v>
      </c>
      <c r="V7">
        <v>0.47699999999999998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</row>
    <row r="8" spans="1:31" x14ac:dyDescent="0.2">
      <c r="A8">
        <v>1500</v>
      </c>
      <c r="B8">
        <v>1.044</v>
      </c>
      <c r="C8">
        <v>1.1479999999999999</v>
      </c>
      <c r="E8">
        <f t="shared" si="0"/>
        <v>1.0960000000000001</v>
      </c>
      <c r="S8" s="11" t="s">
        <v>52</v>
      </c>
      <c r="T8">
        <v>0.622</v>
      </c>
      <c r="U8">
        <v>0.65500000000000003</v>
      </c>
      <c r="V8">
        <v>0.60899999999999999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</row>
    <row r="9" spans="1:31" x14ac:dyDescent="0.2">
      <c r="A9">
        <v>2000</v>
      </c>
      <c r="B9">
        <v>1.3009999999999999</v>
      </c>
      <c r="C9">
        <v>1.431</v>
      </c>
      <c r="E9">
        <f t="shared" si="0"/>
        <v>1.3660000000000001</v>
      </c>
    </row>
    <row r="12" spans="1:31" x14ac:dyDescent="0.2">
      <c r="A12" t="s">
        <v>6</v>
      </c>
      <c r="B12" t="s">
        <v>7</v>
      </c>
      <c r="Q12" s="9" t="s">
        <v>21</v>
      </c>
      <c r="R12" s="6"/>
    </row>
    <row r="13" spans="1:31" x14ac:dyDescent="0.2">
      <c r="A13">
        <v>0</v>
      </c>
      <c r="B13">
        <v>0.36249999999999999</v>
      </c>
      <c r="Q13" s="12" t="s">
        <v>53</v>
      </c>
      <c r="R13" s="8"/>
    </row>
    <row r="14" spans="1:31" x14ac:dyDescent="0.2">
      <c r="A14">
        <v>125</v>
      </c>
      <c r="B14">
        <v>0.42249999999999999</v>
      </c>
      <c r="Q14" s="12" t="s">
        <v>41</v>
      </c>
      <c r="R14" s="8">
        <v>5.0160000000000005E-4</v>
      </c>
    </row>
    <row r="15" spans="1:31" x14ac:dyDescent="0.2">
      <c r="A15">
        <v>250</v>
      </c>
      <c r="B15">
        <v>0.47099999999999997</v>
      </c>
      <c r="Q15" s="12" t="s">
        <v>42</v>
      </c>
      <c r="R15" s="8">
        <v>0.35759999999999997</v>
      </c>
    </row>
    <row r="16" spans="1:31" x14ac:dyDescent="0.2">
      <c r="A16">
        <v>500</v>
      </c>
      <c r="B16">
        <v>0.60899999999999999</v>
      </c>
      <c r="Q16" s="12" t="s">
        <v>43</v>
      </c>
      <c r="R16" s="8">
        <v>-712.8</v>
      </c>
    </row>
    <row r="17" spans="1:19" x14ac:dyDescent="0.2">
      <c r="A17">
        <v>1000</v>
      </c>
      <c r="B17">
        <v>0.872</v>
      </c>
      <c r="Q17" s="12" t="s">
        <v>44</v>
      </c>
      <c r="R17" s="8">
        <v>1994</v>
      </c>
    </row>
    <row r="18" spans="1:19" x14ac:dyDescent="0.2">
      <c r="A18">
        <v>1500</v>
      </c>
      <c r="B18">
        <v>1.0960000000000001</v>
      </c>
      <c r="Q18" s="12" t="s">
        <v>44</v>
      </c>
      <c r="R18" s="8">
        <v>2075</v>
      </c>
      <c r="S18" s="6"/>
    </row>
    <row r="19" spans="1:19" x14ac:dyDescent="0.2">
      <c r="A19">
        <v>2000</v>
      </c>
      <c r="B19">
        <v>1.3660000000000001</v>
      </c>
      <c r="Q19" s="7"/>
      <c r="R19" s="6"/>
      <c r="S19" s="6"/>
    </row>
    <row r="20" spans="1:19" x14ac:dyDescent="0.2">
      <c r="Q20" s="7"/>
      <c r="R20" s="6"/>
      <c r="S20" s="6"/>
    </row>
    <row r="21" spans="1:19" x14ac:dyDescent="0.2">
      <c r="Q21" s="7"/>
      <c r="R21" s="6"/>
      <c r="S21" s="6"/>
    </row>
    <row r="22" spans="1:19" x14ac:dyDescent="0.2">
      <c r="A22" t="s">
        <v>8</v>
      </c>
      <c r="Q22" s="7"/>
      <c r="R22" s="6"/>
      <c r="S22" s="6"/>
    </row>
    <row r="23" spans="1:19" x14ac:dyDescent="0.2">
      <c r="A23" t="s">
        <v>9</v>
      </c>
      <c r="B23" s="15">
        <f>R14</f>
        <v>5.0160000000000005E-4</v>
      </c>
      <c r="Q23" s="7"/>
      <c r="R23" s="6"/>
      <c r="S23" s="6"/>
    </row>
    <row r="24" spans="1:19" x14ac:dyDescent="0.2">
      <c r="A24" t="s">
        <v>10</v>
      </c>
      <c r="B24" s="1">
        <f>R15</f>
        <v>0.35759999999999997</v>
      </c>
      <c r="Q24" s="7"/>
      <c r="R24" s="6"/>
      <c r="S24" s="6"/>
    </row>
    <row r="25" spans="1:19" x14ac:dyDescent="0.2">
      <c r="Q25" s="7"/>
      <c r="R25" s="6"/>
      <c r="S25" s="6"/>
    </row>
    <row r="26" spans="1:19" x14ac:dyDescent="0.2">
      <c r="Q26" s="7"/>
      <c r="R26" s="6"/>
      <c r="S26" s="6"/>
    </row>
    <row r="27" spans="1:19" x14ac:dyDescent="0.2">
      <c r="A27" t="s">
        <v>33</v>
      </c>
      <c r="E27" t="s">
        <v>32</v>
      </c>
      <c r="J27" t="s">
        <v>19</v>
      </c>
      <c r="K27" s="1">
        <v>24</v>
      </c>
      <c r="O27">
        <v>32</v>
      </c>
      <c r="Q27" s="7"/>
      <c r="R27" s="6"/>
      <c r="S27" s="6"/>
    </row>
    <row r="28" spans="1:19" x14ac:dyDescent="0.2">
      <c r="A28" s="5"/>
      <c r="B28" s="2"/>
      <c r="C28" s="2"/>
      <c r="D28" s="2"/>
      <c r="E28" s="10" t="s">
        <v>11</v>
      </c>
      <c r="F28" s="10" t="s">
        <v>12</v>
      </c>
      <c r="G28" s="10" t="s">
        <v>31</v>
      </c>
      <c r="H28" s="10" t="s">
        <v>13</v>
      </c>
      <c r="I28" s="10" t="s">
        <v>16</v>
      </c>
      <c r="J28" s="10" t="s">
        <v>14</v>
      </c>
      <c r="K28" s="10" t="s">
        <v>15</v>
      </c>
      <c r="L28" s="10" t="s">
        <v>17</v>
      </c>
      <c r="M28" s="10" t="s">
        <v>14</v>
      </c>
      <c r="N28" s="10" t="s">
        <v>15</v>
      </c>
      <c r="O28" s="10" t="s">
        <v>22</v>
      </c>
      <c r="Q28" s="7"/>
      <c r="R28" s="4" t="s">
        <v>23</v>
      </c>
      <c r="S28" s="6"/>
    </row>
    <row r="29" spans="1:19" x14ac:dyDescent="0.2">
      <c r="A29" s="11" t="str">
        <f>S1</f>
        <v>DMSO_1</v>
      </c>
      <c r="B29" s="11">
        <f t="shared" ref="B29:D29" si="1">T1</f>
        <v>0.69199999999999995</v>
      </c>
      <c r="C29" s="11">
        <f t="shared" si="1"/>
        <v>0.68600000000000005</v>
      </c>
      <c r="D29" s="11">
        <f t="shared" si="1"/>
        <v>0.68600000000000005</v>
      </c>
      <c r="E29" s="2">
        <v>5</v>
      </c>
      <c r="F29" s="2">
        <f t="shared" ref="F29:F30" si="2">AVERAGE(B29:C29)</f>
        <v>0.68900000000000006</v>
      </c>
      <c r="G29" s="2">
        <f t="shared" ref="G29:G30" si="3">_xlfn.STDEV.S(B29:C29)</f>
        <v>4.2426406871192103E-3</v>
      </c>
      <c r="H29" s="2">
        <f t="shared" ref="H29:H30" si="4">(F29-B$24)/B$23*E29</f>
        <v>3303.4290271132381</v>
      </c>
      <c r="I29" s="2">
        <v>30</v>
      </c>
      <c r="J29" s="3">
        <f t="shared" ref="J29:J30" si="5">I29/H29*1000</f>
        <v>9.081472540736268</v>
      </c>
      <c r="K29" s="3">
        <f>$K$27-J29</f>
        <v>14.918527459263732</v>
      </c>
      <c r="L29" s="2">
        <v>3</v>
      </c>
      <c r="M29" s="3">
        <f t="shared" ref="M29:M30" si="6">L29*J29</f>
        <v>27.244417622208804</v>
      </c>
      <c r="N29" s="3">
        <f t="shared" ref="N29:N30" si="7">L29*K29</f>
        <v>44.7555823777912</v>
      </c>
      <c r="O29" s="2">
        <f>L29*8</f>
        <v>24</v>
      </c>
      <c r="Q29" s="7"/>
      <c r="R29" s="6"/>
      <c r="S29" s="6"/>
    </row>
    <row r="30" spans="1:19" x14ac:dyDescent="0.2">
      <c r="A30" s="11" t="str">
        <f t="shared" ref="A30:A36" si="8">S2</f>
        <v>DMSO_2</v>
      </c>
      <c r="B30" s="11">
        <f t="shared" ref="B30:B36" si="9">T2</f>
        <v>0.5</v>
      </c>
      <c r="C30" s="11">
        <f t="shared" ref="C30:C36" si="10">U2</f>
        <v>0.501</v>
      </c>
      <c r="D30" s="11">
        <f t="shared" ref="D30:D36" si="11">V2</f>
        <v>0.503</v>
      </c>
      <c r="E30" s="2">
        <v>5</v>
      </c>
      <c r="F30" s="2">
        <f t="shared" si="2"/>
        <v>0.50049999999999994</v>
      </c>
      <c r="G30" s="2">
        <f t="shared" si="3"/>
        <v>7.0710678118654816E-4</v>
      </c>
      <c r="H30" s="2">
        <f t="shared" si="4"/>
        <v>1424.4417862838914</v>
      </c>
      <c r="I30" s="2">
        <v>30</v>
      </c>
      <c r="J30" s="3">
        <f t="shared" si="5"/>
        <v>21.060881735479359</v>
      </c>
      <c r="K30" s="3">
        <f>$K$27-J30</f>
        <v>2.9391182645206406</v>
      </c>
      <c r="L30" s="2">
        <v>3</v>
      </c>
      <c r="M30" s="3">
        <f t="shared" si="6"/>
        <v>63.182645206438082</v>
      </c>
      <c r="N30" s="3">
        <f t="shared" si="7"/>
        <v>8.8173547935619219</v>
      </c>
      <c r="O30" s="2">
        <f t="shared" ref="O30:O31" si="12">L30*8</f>
        <v>24</v>
      </c>
      <c r="Q30" s="7"/>
      <c r="R30" s="6"/>
      <c r="S30" s="6"/>
    </row>
    <row r="31" spans="1:19" x14ac:dyDescent="0.2">
      <c r="A31" s="11" t="str">
        <f t="shared" si="8"/>
        <v>DMSO_3</v>
      </c>
      <c r="B31" s="11">
        <f t="shared" si="9"/>
        <v>0.68400000000000005</v>
      </c>
      <c r="C31" s="11">
        <f t="shared" si="10"/>
        <v>0.69899999999999995</v>
      </c>
      <c r="D31" s="11">
        <f t="shared" si="11"/>
        <v>0.70599999999999996</v>
      </c>
      <c r="E31" s="2">
        <v>5</v>
      </c>
      <c r="F31" s="2">
        <f t="shared" ref="F31:F36" si="13">AVERAGE(B31:C31)</f>
        <v>0.6915</v>
      </c>
      <c r="G31" s="2">
        <f t="shared" ref="G31:G36" si="14">_xlfn.STDEV.S(B31:C31)</f>
        <v>1.0606601717798144E-2</v>
      </c>
      <c r="H31" s="2">
        <f t="shared" ref="H31:H36" si="15">(F31-B$24)/B$23*E31</f>
        <v>3328.3492822966509</v>
      </c>
      <c r="I31" s="2">
        <v>30</v>
      </c>
      <c r="J31" s="3">
        <f t="shared" ref="J31:J36" si="16">I31/H31*1000</f>
        <v>9.0134770889487861</v>
      </c>
      <c r="K31" s="3">
        <f t="shared" ref="K31:K36" si="17">$K$27-J31</f>
        <v>14.986522911051214</v>
      </c>
      <c r="L31" s="2">
        <v>3</v>
      </c>
      <c r="M31" s="3">
        <f t="shared" ref="M31:M36" si="18">L31*J31</f>
        <v>27.040431266846358</v>
      </c>
      <c r="N31" s="3">
        <f t="shared" ref="N31:N36" si="19">L31*K31</f>
        <v>44.959568733153645</v>
      </c>
      <c r="O31" s="2">
        <f t="shared" si="12"/>
        <v>24</v>
      </c>
      <c r="Q31" s="7"/>
      <c r="R31" s="6"/>
      <c r="S31" s="6"/>
    </row>
    <row r="32" spans="1:19" x14ac:dyDescent="0.2">
      <c r="A32" s="11" t="str">
        <f t="shared" si="8"/>
        <v>DMSO_4</v>
      </c>
      <c r="B32" s="11">
        <f t="shared" si="9"/>
        <v>0.70399999999999996</v>
      </c>
      <c r="C32" s="11">
        <f t="shared" si="10"/>
        <v>0.64800000000000002</v>
      </c>
      <c r="D32" s="11">
        <f t="shared" si="11"/>
        <v>0.65</v>
      </c>
      <c r="E32" s="2">
        <v>5</v>
      </c>
      <c r="F32" s="2">
        <f t="shared" si="13"/>
        <v>0.67599999999999993</v>
      </c>
      <c r="G32" s="2">
        <f t="shared" si="14"/>
        <v>3.9597979746446618E-2</v>
      </c>
      <c r="H32" s="2">
        <f t="shared" si="15"/>
        <v>3173.8437001594889</v>
      </c>
      <c r="I32" s="2">
        <v>30</v>
      </c>
      <c r="J32" s="3">
        <f t="shared" si="16"/>
        <v>9.4522613065326659</v>
      </c>
      <c r="K32" s="3">
        <f t="shared" si="17"/>
        <v>14.547738693467334</v>
      </c>
      <c r="L32" s="2">
        <v>3</v>
      </c>
      <c r="M32" s="3">
        <f t="shared" si="18"/>
        <v>28.356783919597998</v>
      </c>
      <c r="N32" s="3">
        <f t="shared" si="19"/>
        <v>43.643216080401999</v>
      </c>
      <c r="O32" s="2">
        <f t="shared" ref="O32:O36" si="20">L32*8</f>
        <v>24</v>
      </c>
      <c r="Q32" s="7"/>
      <c r="R32" s="6"/>
      <c r="S32" s="6"/>
    </row>
    <row r="33" spans="1:19" x14ac:dyDescent="0.2">
      <c r="A33" s="11" t="str">
        <f t="shared" si="8"/>
        <v>Romi_1</v>
      </c>
      <c r="B33" s="11">
        <f t="shared" si="9"/>
        <v>0.58799999999999997</v>
      </c>
      <c r="C33" s="11">
        <f t="shared" si="10"/>
        <v>0.57099999999999995</v>
      </c>
      <c r="D33" s="11">
        <f t="shared" si="11"/>
        <v>0.57899999999999996</v>
      </c>
      <c r="E33" s="2">
        <v>5</v>
      </c>
      <c r="F33" s="2">
        <f t="shared" si="13"/>
        <v>0.5794999999999999</v>
      </c>
      <c r="G33" s="2">
        <f t="shared" si="14"/>
        <v>1.2020815280171319E-2</v>
      </c>
      <c r="H33" s="2">
        <f t="shared" si="15"/>
        <v>2211.9218500797438</v>
      </c>
      <c r="I33" s="2">
        <v>30</v>
      </c>
      <c r="J33" s="3">
        <f t="shared" si="16"/>
        <v>13.5628661559261</v>
      </c>
      <c r="K33" s="3">
        <f t="shared" si="17"/>
        <v>10.4371338440739</v>
      </c>
      <c r="L33" s="2">
        <v>3</v>
      </c>
      <c r="M33" s="3">
        <f t="shared" si="18"/>
        <v>40.688598467778299</v>
      </c>
      <c r="N33" s="3">
        <f t="shared" si="19"/>
        <v>31.311401532221701</v>
      </c>
      <c r="O33" s="2">
        <f t="shared" si="20"/>
        <v>24</v>
      </c>
      <c r="Q33" s="7"/>
      <c r="R33" s="6"/>
      <c r="S33" s="6"/>
    </row>
    <row r="34" spans="1:19" x14ac:dyDescent="0.2">
      <c r="A34" s="11" t="str">
        <f t="shared" si="8"/>
        <v>Romi_2</v>
      </c>
      <c r="B34" s="11">
        <f t="shared" si="9"/>
        <v>0.56100000000000005</v>
      </c>
      <c r="C34" s="11">
        <f t="shared" si="10"/>
        <v>0.55700000000000005</v>
      </c>
      <c r="D34" s="11">
        <f t="shared" si="11"/>
        <v>0.55800000000000005</v>
      </c>
      <c r="E34" s="2">
        <v>5</v>
      </c>
      <c r="F34" s="2">
        <f t="shared" si="13"/>
        <v>0.55900000000000005</v>
      </c>
      <c r="G34" s="2">
        <f t="shared" si="14"/>
        <v>2.8284271247461927E-3</v>
      </c>
      <c r="H34" s="2">
        <f t="shared" si="15"/>
        <v>2007.575757575758</v>
      </c>
      <c r="I34" s="2">
        <v>30</v>
      </c>
      <c r="J34" s="3">
        <f t="shared" si="16"/>
        <v>14.943396226415091</v>
      </c>
      <c r="K34" s="3">
        <f t="shared" si="17"/>
        <v>9.056603773584909</v>
      </c>
      <c r="L34" s="2">
        <v>3</v>
      </c>
      <c r="M34" s="3">
        <f t="shared" si="18"/>
        <v>44.830188679245275</v>
      </c>
      <c r="N34" s="3">
        <f t="shared" si="19"/>
        <v>27.169811320754725</v>
      </c>
      <c r="O34" s="2">
        <f t="shared" si="20"/>
        <v>24</v>
      </c>
    </row>
    <row r="35" spans="1:19" x14ac:dyDescent="0.2">
      <c r="A35" s="11" t="str">
        <f t="shared" si="8"/>
        <v>Romi_3</v>
      </c>
      <c r="B35" s="11">
        <f t="shared" si="9"/>
        <v>0.48</v>
      </c>
      <c r="C35" s="11">
        <f t="shared" si="10"/>
        <v>0.47199999999999998</v>
      </c>
      <c r="D35" s="11">
        <f t="shared" si="11"/>
        <v>0.47699999999999998</v>
      </c>
      <c r="E35" s="2">
        <v>5</v>
      </c>
      <c r="F35" s="2">
        <f t="shared" si="13"/>
        <v>0.47599999999999998</v>
      </c>
      <c r="G35" s="2">
        <f t="shared" si="14"/>
        <v>5.6568542494923853E-3</v>
      </c>
      <c r="H35" s="2">
        <f t="shared" si="15"/>
        <v>1180.2232854864433</v>
      </c>
      <c r="I35" s="2">
        <v>30</v>
      </c>
      <c r="J35" s="3">
        <f t="shared" si="16"/>
        <v>25.418918918918923</v>
      </c>
      <c r="K35" s="3">
        <f t="shared" si="17"/>
        <v>-1.4189189189189229</v>
      </c>
      <c r="L35" s="2">
        <v>3</v>
      </c>
      <c r="M35" s="3">
        <f t="shared" si="18"/>
        <v>76.256756756756772</v>
      </c>
      <c r="N35" s="3">
        <f t="shared" si="19"/>
        <v>-4.2567567567567686</v>
      </c>
      <c r="O35" s="2">
        <f t="shared" si="20"/>
        <v>24</v>
      </c>
    </row>
    <row r="36" spans="1:19" x14ac:dyDescent="0.2">
      <c r="A36" s="11" t="str">
        <f t="shared" si="8"/>
        <v>Romi_4</v>
      </c>
      <c r="B36" s="11">
        <f t="shared" si="9"/>
        <v>0.622</v>
      </c>
      <c r="C36" s="11">
        <f t="shared" si="10"/>
        <v>0.65500000000000003</v>
      </c>
      <c r="D36" s="11">
        <f t="shared" si="11"/>
        <v>0.60899999999999999</v>
      </c>
      <c r="E36" s="2">
        <v>5</v>
      </c>
      <c r="F36" s="2">
        <f t="shared" si="13"/>
        <v>0.63850000000000007</v>
      </c>
      <c r="G36" s="2">
        <f t="shared" si="14"/>
        <v>2.333452377915609E-2</v>
      </c>
      <c r="H36" s="2">
        <f t="shared" si="15"/>
        <v>2800.0398724082943</v>
      </c>
      <c r="I36" s="2">
        <v>30</v>
      </c>
      <c r="J36" s="3">
        <f t="shared" si="16"/>
        <v>10.714133143467423</v>
      </c>
      <c r="K36" s="3">
        <f t="shared" si="17"/>
        <v>13.285866856532577</v>
      </c>
      <c r="L36" s="2">
        <v>3</v>
      </c>
      <c r="M36" s="3">
        <f t="shared" si="18"/>
        <v>32.142399430402271</v>
      </c>
      <c r="N36" s="3">
        <f t="shared" si="19"/>
        <v>39.857600569597729</v>
      </c>
      <c r="O36" s="2">
        <f t="shared" si="20"/>
        <v>24</v>
      </c>
    </row>
    <row r="37" spans="1:19" x14ac:dyDescent="0.2">
      <c r="A37" s="11"/>
      <c r="B37" s="11"/>
      <c r="C37" s="11"/>
      <c r="D37" s="11"/>
    </row>
    <row r="38" spans="1:19" x14ac:dyDescent="0.2">
      <c r="A38" s="11"/>
      <c r="B38" s="11"/>
      <c r="C38" s="11"/>
      <c r="D38" s="11"/>
    </row>
  </sheetData>
  <phoneticPr fontId="7" type="noConversion"/>
  <conditionalFormatting sqref="G29:G36">
    <cfRule type="colorScale" priority="2">
      <colorScale>
        <cfvo type="num" val="&quot;&gt;0.1&quot;"/>
        <cfvo type="num" val="&quot;&lt;0.1&quot;"/>
        <color rgb="FFFF7128"/>
        <color theme="0"/>
      </colorScale>
    </cfRule>
  </conditionalFormatting>
  <conditionalFormatting sqref="G1:G1048576">
    <cfRule type="cellIs" dxfId="0" priority="1" operator="greaterThan">
      <formula>0.01</formula>
    </cfRule>
  </conditionalFormatting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9F3E-1197-9249-B18D-0BC86BD40313}">
  <dimension ref="A3:E16"/>
  <sheetViews>
    <sheetView workbookViewId="0">
      <selection activeCell="A2" sqref="A2:E18"/>
    </sheetView>
  </sheetViews>
  <sheetFormatPr baseColWidth="10" defaultRowHeight="16" x14ac:dyDescent="0.2"/>
  <cols>
    <col min="1" max="1" width="12.33203125" bestFit="1" customWidth="1"/>
    <col min="2" max="2" width="6" bestFit="1" customWidth="1"/>
    <col min="3" max="3" width="19.33203125" bestFit="1" customWidth="1"/>
    <col min="4" max="4" width="13.1640625" bestFit="1" customWidth="1"/>
    <col min="5" max="5" width="20.33203125" bestFit="1" customWidth="1"/>
    <col min="14" max="14" width="16.33203125" customWidth="1"/>
  </cols>
  <sheetData>
    <row r="3" spans="1:5" ht="19" x14ac:dyDescent="0.2">
      <c r="A3" s="21" t="s">
        <v>77</v>
      </c>
      <c r="B3" s="21"/>
      <c r="C3" s="21" t="s">
        <v>78</v>
      </c>
      <c r="D3" s="21"/>
      <c r="E3" s="21"/>
    </row>
    <row r="4" spans="1:5" ht="19" x14ac:dyDescent="0.2">
      <c r="A4" s="21"/>
      <c r="B4" s="21" t="s">
        <v>69</v>
      </c>
      <c r="C4" s="21" t="s">
        <v>14</v>
      </c>
      <c r="D4" s="21" t="s">
        <v>15</v>
      </c>
      <c r="E4" s="21" t="s">
        <v>22</v>
      </c>
    </row>
    <row r="5" spans="1:5" ht="19" x14ac:dyDescent="0.2">
      <c r="A5" s="21" t="s">
        <v>66</v>
      </c>
      <c r="B5" s="21">
        <v>3</v>
      </c>
      <c r="C5" s="22">
        <v>58.281950760545683</v>
      </c>
      <c r="D5" s="22">
        <v>13.718049239454317</v>
      </c>
      <c r="E5" s="21">
        <v>24</v>
      </c>
    </row>
    <row r="6" spans="1:5" ht="19" x14ac:dyDescent="0.2">
      <c r="A6" s="21" t="s">
        <v>65</v>
      </c>
      <c r="B6" s="21">
        <v>1</v>
      </c>
      <c r="C6" s="22">
        <v>27.48790769913467</v>
      </c>
      <c r="D6" s="22">
        <v>-3.48790769913467</v>
      </c>
      <c r="E6" s="21">
        <v>8</v>
      </c>
    </row>
    <row r="7" spans="1:5" ht="19" x14ac:dyDescent="0.2">
      <c r="A7" s="21" t="s">
        <v>67</v>
      </c>
      <c r="B7" s="21">
        <v>3</v>
      </c>
      <c r="C7" s="22">
        <v>53.966022941774341</v>
      </c>
      <c r="D7" s="22">
        <v>18.033977058225663</v>
      </c>
      <c r="E7" s="21">
        <v>24</v>
      </c>
    </row>
    <row r="8" spans="1:5" ht="19" x14ac:dyDescent="0.2">
      <c r="A8" s="21" t="s">
        <v>68</v>
      </c>
      <c r="B8" s="21">
        <v>3</v>
      </c>
      <c r="C8" s="22">
        <v>54.044496146575504</v>
      </c>
      <c r="D8" s="22">
        <v>17.955503853424496</v>
      </c>
      <c r="E8" s="21">
        <v>24</v>
      </c>
    </row>
    <row r="9" spans="1:5" ht="19" x14ac:dyDescent="0.2">
      <c r="A9" s="21" t="s">
        <v>62</v>
      </c>
      <c r="B9" s="21">
        <v>3</v>
      </c>
      <c r="C9" s="22">
        <v>26.591113972955569</v>
      </c>
      <c r="D9" s="22">
        <v>45.408886027044431</v>
      </c>
      <c r="E9" s="21">
        <v>24</v>
      </c>
    </row>
    <row r="10" spans="1:5" ht="19" x14ac:dyDescent="0.2">
      <c r="A10" s="21" t="s">
        <v>61</v>
      </c>
      <c r="B10" s="21">
        <v>3</v>
      </c>
      <c r="C10" s="22">
        <v>26.97713580605356</v>
      </c>
      <c r="D10" s="22">
        <v>45.02286419394644</v>
      </c>
      <c r="E10" s="21">
        <v>24</v>
      </c>
    </row>
    <row r="11" spans="1:5" ht="19" x14ac:dyDescent="0.2">
      <c r="A11" s="21" t="s">
        <v>63</v>
      </c>
      <c r="B11" s="21">
        <v>3</v>
      </c>
      <c r="C11" s="22">
        <v>24.312422319617973</v>
      </c>
      <c r="D11" s="22">
        <v>47.687577680382027</v>
      </c>
      <c r="E11" s="21">
        <v>24</v>
      </c>
    </row>
    <row r="12" spans="1:5" ht="19" x14ac:dyDescent="0.2">
      <c r="A12" s="21" t="s">
        <v>64</v>
      </c>
      <c r="B12" s="21">
        <v>3</v>
      </c>
      <c r="C12" s="22">
        <v>42.783930010360322</v>
      </c>
      <c r="D12" s="22">
        <v>29.216069989639678</v>
      </c>
      <c r="E12" s="21">
        <v>24</v>
      </c>
    </row>
    <row r="13" spans="1:5" ht="19" x14ac:dyDescent="0.2">
      <c r="A13" s="21" t="s">
        <v>71</v>
      </c>
      <c r="B13" s="21">
        <v>3</v>
      </c>
      <c r="C13" s="22">
        <v>22.920331576323704</v>
      </c>
      <c r="D13" s="22">
        <v>49.079668423676289</v>
      </c>
      <c r="E13" s="21">
        <v>24</v>
      </c>
    </row>
    <row r="14" spans="1:5" ht="19" x14ac:dyDescent="0.2">
      <c r="A14" s="21" t="s">
        <v>72</v>
      </c>
      <c r="B14" s="21">
        <v>3</v>
      </c>
      <c r="C14" s="22">
        <v>81.118841774684412</v>
      </c>
      <c r="D14" s="22">
        <v>-9.1188417746844159</v>
      </c>
      <c r="E14" s="21">
        <v>24</v>
      </c>
    </row>
    <row r="15" spans="1:5" ht="19" x14ac:dyDescent="0.2">
      <c r="A15" s="21" t="s">
        <v>73</v>
      </c>
      <c r="B15" s="21">
        <v>3</v>
      </c>
      <c r="C15" s="22">
        <v>21.49910580431817</v>
      </c>
      <c r="D15" s="22">
        <v>50.500894195681823</v>
      </c>
      <c r="E15" s="21">
        <v>24</v>
      </c>
    </row>
    <row r="16" spans="1:5" ht="19" x14ac:dyDescent="0.2">
      <c r="A16" s="21" t="s">
        <v>75</v>
      </c>
      <c r="B16" s="21">
        <v>3</v>
      </c>
      <c r="C16" s="22">
        <v>21.363683393688561</v>
      </c>
      <c r="D16" s="22">
        <v>50.636316606311432</v>
      </c>
      <c r="E16" s="21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20230130</vt:lpstr>
      <vt:lpstr>20230614</vt:lpstr>
      <vt:lpstr>Sheet1</vt:lpstr>
      <vt:lpstr>final</vt:lpstr>
      <vt:lpstr>'20230614'!Print_Area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Doan, Paul</dc:creator>
  <cp:lastModifiedBy>Zhixin Li</cp:lastModifiedBy>
  <cp:lastPrinted>2023-07-10T22:15:41Z</cp:lastPrinted>
  <dcterms:created xsi:type="dcterms:W3CDTF">2022-01-19T20:21:31Z</dcterms:created>
  <dcterms:modified xsi:type="dcterms:W3CDTF">2023-07-10T23:39:19Z</dcterms:modified>
</cp:coreProperties>
</file>